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gif" ContentType="image/gif"/>
  <Default Extension="doc" ContentType="application/msword"/>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updateLinks="never" codeName="ThisWorkbook"/>
  <mc:AlternateContent xmlns:mc="http://schemas.openxmlformats.org/markup-compatibility/2006">
    <mc:Choice Requires="x15">
      <x15ac:absPath xmlns:x15ac="http://schemas.microsoft.com/office/spreadsheetml/2010/11/ac" url="C:\Users\degonzalez\Documents\Asignaciones\Hojas de cotización de préstamos\Préstamos hipotecario\2019\"/>
    </mc:Choice>
  </mc:AlternateContent>
  <bookViews>
    <workbookView xWindow="0" yWindow="0" windowWidth="28800" windowHeight="12435" tabRatio="917"/>
  </bookViews>
  <sheets>
    <sheet name="calculadora" sheetId="130" r:id="rId1"/>
    <sheet name="Tasas de Interés" sheetId="133" state="hidden" r:id="rId2"/>
    <sheet name="1.Hoja_de_Cotización" sheetId="1" state="hidden" r:id="rId3"/>
    <sheet name="C.Tasa" sheetId="131" state="veryHidden" r:id="rId4"/>
    <sheet name="2.Impresión" sheetId="10" state="hidden" r:id="rId5"/>
    <sheet name="Hoja_Cambio" sheetId="49" state="hidden" r:id="rId6"/>
    <sheet name="Impresión_Cambio" sheetId="50" state="hidden" r:id="rId7"/>
    <sheet name="Requisitos_Cambio" sheetId="67" state="hidden" r:id="rId8"/>
    <sheet name="Catálogos" sheetId="2" state="hidden" r:id="rId9"/>
    <sheet name="Cálculos" sheetId="3" state="veryHidden" r:id="rId10"/>
    <sheet name="Programa" sheetId="4" state="hidden" r:id="rId11"/>
    <sheet name="Comisiones_Cargos" sheetId="5" state="hidden" r:id="rId12"/>
    <sheet name="TabGtos" sheetId="7" state="hidden" r:id="rId13"/>
    <sheet name="GtosFwla" sheetId="9" state="hidden" r:id="rId14"/>
    <sheet name="3.Condiciones" sheetId="128" state="veryHidden" r:id="rId15"/>
    <sheet name="Hoja1" sheetId="132" state="veryHidden" r:id="rId16"/>
    <sheet name="3.1.COPA" sheetId="129" state="hidden" r:id="rId17"/>
    <sheet name="4.Check List - Requisitos" sheetId="115" state="hidden" r:id="rId18"/>
    <sheet name="5.Formularios" sheetId="28" state="hidden" r:id="rId19"/>
    <sheet name="Solicitud_SegVida" sheetId="27" state="hidden" r:id="rId20"/>
    <sheet name="6.Promotores Hacen Escritura" sheetId="11" state="hidden" r:id="rId21"/>
    <sheet name="7. Proyectos Interinos Const" sheetId="102" state="hidden" r:id="rId22"/>
    <sheet name="Traspaso" sheetId="73" state="hidden" r:id="rId23"/>
    <sheet name="Hoja2" sheetId="69" state="hidden" r:id="rId24"/>
    <sheet name="8.Proy NoFinanciados x Banco" sheetId="121" state="hidden" r:id="rId25"/>
    <sheet name="9.Contratista_Int" sheetId="93" state="hidden" r:id="rId26"/>
    <sheet name="10.Requisitos-Ley Preferencial" sheetId="77" state="hidden" r:id="rId27"/>
    <sheet name="11.Compra de Vivienda Nueva" sheetId="78" state="hidden" r:id="rId28"/>
    <sheet name="12.Compra de Vivienda Usada" sheetId="79" state="hidden" r:id="rId29"/>
    <sheet name="13.Traspaso de Acciones" sheetId="80" state="hidden" r:id="rId30"/>
    <sheet name="14.Compra Vivienda Vacacional" sheetId="81" state="hidden" r:id="rId31"/>
    <sheet name="15.Casa Cash" sheetId="82" state="hidden" r:id="rId32"/>
    <sheet name="16.Traspaso de Otro Banco" sheetId="83" state="hidden" r:id="rId33"/>
    <sheet name="17.Cambio de dueño deudor" sheetId="92" state="hidden" r:id="rId34"/>
    <sheet name="18.PrecalificaciónInterino" sheetId="48" state="hidden" r:id="rId35"/>
    <sheet name="19.Interino de Construcción" sheetId="85" state="hidden" r:id="rId36"/>
    <sheet name="20.Compra de Terreno" sheetId="86" state="hidden" r:id="rId37"/>
  </sheets>
  <externalReferences>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name="_xlnm._FilterDatabase" localSheetId="20" hidden="1">'6.Promotores Hacen Escritura'!$B$5:$C$114</definedName>
    <definedName name="_xlnm._FilterDatabase" localSheetId="21" hidden="1">'7. Proyectos Interinos Const'!$A$4:$D$4</definedName>
    <definedName name="_xlnm._FilterDatabase" localSheetId="8" hidden="1">Catálogos!$A$1:$K$115</definedName>
    <definedName name="_xlnm._FilterDatabase" localSheetId="11" hidden="1">Comisiones_Cargos!$A$1:$AS$104</definedName>
    <definedName name="_xlnm._FilterDatabase" localSheetId="10" hidden="1">Programa!$A$1:$Q$985</definedName>
    <definedName name="abono" localSheetId="0">[1]Cotización!$E$34</definedName>
    <definedName name="abono">Catálogos!$C$11:$C$12</definedName>
    <definedName name="acciones" localSheetId="33">Catálogos!$E$99:$E$100</definedName>
    <definedName name="acciones" localSheetId="17">[2]Catálogos!$E$99:$E$100</definedName>
    <definedName name="acciones" localSheetId="24">[3]Catálogos!$E$99:$E$100</definedName>
    <definedName name="acciones">Catálogos!$E$99:$E$100</definedName>
    <definedName name="agencia_auto">'[1]Cotización-análisis_auto'!#REF!</definedName>
    <definedName name="Año_auto">'[1]Cotización-análisis_auto'!#REF!</definedName>
    <definedName name="Añosdeautos">[1]Datos_lista!$K$42:$K$46</definedName>
    <definedName name="_xlnm.Print_Area" localSheetId="2">'1.Hoja_de_Cotización'!$B$64:$J$152</definedName>
    <definedName name="_xlnm.Print_Area" localSheetId="26">'10.Requisitos-Ley Preferencial'!$A$1:$J$38</definedName>
    <definedName name="_xlnm.Print_Area" localSheetId="28">'12.Compra de Vivienda Usada'!$A$1:$J$50</definedName>
    <definedName name="_xlnm.Print_Area" localSheetId="29">'13.Traspaso de Acciones'!$A$1:$J$56</definedName>
    <definedName name="_xlnm.Print_Area" localSheetId="4">'2.Impresión'!$A$1:$I$64</definedName>
    <definedName name="_xlnm.Print_Area" localSheetId="17">'4.Check List - Requisitos'!$A$1:$M$61</definedName>
    <definedName name="_xlnm.Print_Area" localSheetId="5">Hoja_Cambio!$B$26:$I$112</definedName>
    <definedName name="_xlnm.Print_Area" localSheetId="6">Impresión_Cambio!$A$1:$I$66</definedName>
    <definedName name="_xlnm.Print_Area" localSheetId="7">Requisitos_Cambio!$B$13:$B$25</definedName>
    <definedName name="Asalariado" localSheetId="33">#REF!</definedName>
    <definedName name="Asalariado" localSheetId="17">#REF!</definedName>
    <definedName name="Asalariado" localSheetId="7">#REF!</definedName>
    <definedName name="Asalariado">#REF!</definedName>
    <definedName name="bene_jubi" localSheetId="17">[2]Catálogos!$E$126:$E$127</definedName>
    <definedName name="bene_jubi" localSheetId="24">[3]Catálogos!$E$126:$E$127</definedName>
    <definedName name="bene_jubi">Catálogos!$E$126:$E$127</definedName>
    <definedName name="canal" localSheetId="26">Catálogos!$H$14:$H$27</definedName>
    <definedName name="canal" localSheetId="33">Catálogos!$H$14:$H$27</definedName>
    <definedName name="canal" localSheetId="17">[2]Catálogos!$H$14:$H$27</definedName>
    <definedName name="canal" localSheetId="24">[3]Catálogos!$H$14:$H$27</definedName>
    <definedName name="canal" localSheetId="19">[4]Catálogos!$H$14:$H$27</definedName>
    <definedName name="canal">Catálogos!$H$14:$H$27</definedName>
    <definedName name="cancela" localSheetId="26">Catálogos!$H$31:$H$32</definedName>
    <definedName name="cancela" localSheetId="33">Catálogos!$H$31:$H$32</definedName>
    <definedName name="cancela" localSheetId="17">[2]Catálogos!$H$31:$H$32</definedName>
    <definedName name="cancela" localSheetId="24">[3]Catálogos!$H$31:$H$32</definedName>
    <definedName name="Cancela" localSheetId="0">[5]Información_listas!$G$20:$G$24</definedName>
    <definedName name="cancela" localSheetId="19">[4]Catálogos!$H$31:$H$33</definedName>
    <definedName name="cancela">Catálogos!$H$31:$H$32</definedName>
    <definedName name="capacidad_pago_a">'[1]Cotización-análisis_auto'!#REF!</definedName>
    <definedName name="Cargo_a">[1]Cotización!$C$16</definedName>
    <definedName name="Casilla2" localSheetId="19">Solicitud_SegVida!$A$32</definedName>
    <definedName name="categoria" localSheetId="0">'[5]Cotización-Análisis_personal'!$K$4:$M$4</definedName>
    <definedName name="categoria">'[6]Cotización-Análisis_personal'!$K$4:$M$4</definedName>
    <definedName name="Categoría_trámite" localSheetId="0">[5]Información_listas!$H$15:$H$20</definedName>
    <definedName name="Categoría_trámite">[1]Datos_lista!$H$4:$H$9</definedName>
    <definedName name="Cédula" localSheetId="0">calculadora!#REF!</definedName>
    <definedName name="Cédula">#REF!</definedName>
    <definedName name="Cédula_a">[1]Cotización!$C$10</definedName>
    <definedName name="clasif_elegir" localSheetId="0">calculadora!#REF!</definedName>
    <definedName name="clasif_elegir">#REF!</definedName>
    <definedName name="Clasif_tipo_préstamo" localSheetId="0">[5]Información_listas!$E$5:$E$8</definedName>
    <definedName name="Clasif_tipo_préstamo">[6]Información_listas!$E$5:$E$8</definedName>
    <definedName name="comb_antiguedad" localSheetId="4">[7]base!$M$10:$N$11</definedName>
    <definedName name="comb_antiguedad" localSheetId="13">[7]base!$M$10:$N$11</definedName>
    <definedName name="comb_antiguedad" localSheetId="6">[7]base!$M$10:$N$11</definedName>
    <definedName name="comb_antiguedad" localSheetId="19">[4]Programa!#REF!</definedName>
    <definedName name="comb_antiguedad" localSheetId="12">[7]base!$M$10:$N$11</definedName>
    <definedName name="comb_cats">[8]Base!$AF$3:$AG$12</definedName>
    <definedName name="comb_escritura" localSheetId="26">Programa!#REF!</definedName>
    <definedName name="comb_escritura" localSheetId="33">Programa!#REF!</definedName>
    <definedName name="comb_escritura" localSheetId="4">[7]base!$H$29:$I$30</definedName>
    <definedName name="comb_escritura" localSheetId="17">[2]Programa!#REF!</definedName>
    <definedName name="comb_escritura" localSheetId="24">[3]Programa!#REF!</definedName>
    <definedName name="comb_escritura" localSheetId="13">[7]base!$H$29:$I$30</definedName>
    <definedName name="comb_escritura" localSheetId="5">Programa!#REF!</definedName>
    <definedName name="comb_escritura" localSheetId="6">[7]base!$H$29:$I$30</definedName>
    <definedName name="comb_escritura" localSheetId="7">Programa!#REF!</definedName>
    <definedName name="comb_escritura" localSheetId="19">[4]Programa!#REF!</definedName>
    <definedName name="comb_escritura" localSheetId="12">[7]base!$H$29:$I$30</definedName>
    <definedName name="comb_escritura">Programa!#REF!</definedName>
    <definedName name="comb_fideicomiso" localSheetId="26">Programa!#REF!</definedName>
    <definedName name="comb_fideicomiso" localSheetId="33">Programa!#REF!</definedName>
    <definedName name="comb_fideicomiso" localSheetId="4">[7]base!$L$34:$M$35</definedName>
    <definedName name="comb_fideicomiso" localSheetId="17">[2]Programa!#REF!</definedName>
    <definedName name="comb_fideicomiso" localSheetId="24">[3]Programa!#REF!</definedName>
    <definedName name="comb_fideicomiso" localSheetId="13">[7]base!$L$34:$M$35</definedName>
    <definedName name="comb_fideicomiso" localSheetId="5">Programa!#REF!</definedName>
    <definedName name="comb_fideicomiso" localSheetId="6">[7]base!$L$34:$M$35</definedName>
    <definedName name="comb_fideicomiso" localSheetId="7">Programa!#REF!</definedName>
    <definedName name="comb_fideicomiso" localSheetId="19">[4]Programa!#REF!</definedName>
    <definedName name="comb_fideicomiso" localSheetId="12">[7]base!$L$34:$M$35</definedName>
    <definedName name="comb_fideicomiso">Programa!#REF!</definedName>
    <definedName name="comb_fina" localSheetId="26">Programa!#REF!</definedName>
    <definedName name="comb_fina" localSheetId="33">Programa!#REF!</definedName>
    <definedName name="comb_fina" localSheetId="4">[7]base!$H$14:$I$25</definedName>
    <definedName name="comb_fina" localSheetId="17">[2]Programa!#REF!</definedName>
    <definedName name="comb_fina" localSheetId="24">[3]Programa!#REF!</definedName>
    <definedName name="comb_fina" localSheetId="13">[7]base!$H$14:$I$25</definedName>
    <definedName name="comb_fina" localSheetId="5">Programa!#REF!</definedName>
    <definedName name="comb_fina" localSheetId="6">[7]base!$H$14:$I$25</definedName>
    <definedName name="comb_fina" localSheetId="7">Programa!#REF!</definedName>
    <definedName name="comb_fina" localSheetId="19">[4]Programa!#REF!</definedName>
    <definedName name="comb_fina" localSheetId="12">[7]base!$H$14:$I$25</definedName>
    <definedName name="comb_fina">Programa!#REF!</definedName>
    <definedName name="comb_formapago">[7]base!$H$42:$I$46</definedName>
    <definedName name="comb_fwla" localSheetId="4">[7]Parametros!$A$140:$A$152</definedName>
    <definedName name="comb_fwla" localSheetId="13">[7]Parametros!$A$140:$A$152</definedName>
    <definedName name="comb_fwla" localSheetId="6">[7]Parametros!$A$140:$A$152</definedName>
    <definedName name="comb_fwla" localSheetId="12">[7]Parametros!$A$140:$A$152</definedName>
    <definedName name="comb_fwla">Cálculos!$A$144:$A$155</definedName>
    <definedName name="comb_garantia" localSheetId="26">Programa!#REF!</definedName>
    <definedName name="comb_garantia" localSheetId="33">Programa!#REF!</definedName>
    <definedName name="comb_garantia" localSheetId="4">[7]base!$L$29:$M$31</definedName>
    <definedName name="comb_garantia" localSheetId="17">[2]Programa!#REF!</definedName>
    <definedName name="comb_garantia" localSheetId="24">[3]Programa!#REF!</definedName>
    <definedName name="comb_garantia" localSheetId="13">[7]base!$L$29:$M$31</definedName>
    <definedName name="comb_garantia" localSheetId="5">Programa!#REF!</definedName>
    <definedName name="comb_garantia" localSheetId="6">[7]base!$L$29:$M$31</definedName>
    <definedName name="comb_garantia" localSheetId="7">Programa!#REF!</definedName>
    <definedName name="comb_garantia" localSheetId="19">[4]Programa!#REF!</definedName>
    <definedName name="comb_garantia" localSheetId="12">[7]base!$L$29:$M$31</definedName>
    <definedName name="comb_garantia">Programa!#REF!</definedName>
    <definedName name="comb_jubilado">Catálogos!$E$119:$E$123</definedName>
    <definedName name="comb_llave_gtos_fwla" localSheetId="4">[7]base!$BP$75:$BQ$94</definedName>
    <definedName name="comb_llave_gtos_fwla" localSheetId="13">[7]base!$BP$75:$BQ$94</definedName>
    <definedName name="comb_llave_gtos_fwla" localSheetId="6">[7]base!$BP$75:$BQ$94</definedName>
    <definedName name="comb_llave_gtos_fwla" localSheetId="12">[7]base!$BP$75:$BQ$94</definedName>
    <definedName name="comb_llave_gtos_fwla">Programa!$AY$76:$AZ$95</definedName>
    <definedName name="comb_llave_notaria" localSheetId="4">[7]base!$AY$2:$BI$94</definedName>
    <definedName name="comb_llave_notaria" localSheetId="13">[7]base!$AY$2:$BI$94</definedName>
    <definedName name="comb_llave_notaria" localSheetId="6">[7]base!$AY$2:$BI$94</definedName>
    <definedName name="comb_llave_notaria" localSheetId="12">[7]base!$AY$2:$BI$94</definedName>
    <definedName name="comb_llave_notaria">Programa!$AH$3:$AR$95</definedName>
    <definedName name="comb_llave_registro" localSheetId="4">[7]base!$AH$1:$AV$94</definedName>
    <definedName name="comb_llave_registro" localSheetId="13">[7]base!$AH$1:$AV$94</definedName>
    <definedName name="comb_llave_registro" localSheetId="6">[7]base!$AH$1:$AV$94</definedName>
    <definedName name="comb_llave_registro" localSheetId="12">[7]base!$AH$1:$AV$94</definedName>
    <definedName name="comb_llave_registro">Programa!$S$1:$AE$95</definedName>
    <definedName name="comb_llave_serleg" localSheetId="4">[7]base!$BL$2:$BM$94</definedName>
    <definedName name="comb_llave_serleg" localSheetId="13">[7]base!$BL$2:$BM$94</definedName>
    <definedName name="comb_llave_serleg" localSheetId="6">[7]base!$BL$2:$BM$94</definedName>
    <definedName name="comb_llave_serleg" localSheetId="12">[7]base!$BL$2:$BM$94</definedName>
    <definedName name="comb_llave_serleg">Programa!$AU$3:$AV$95</definedName>
    <definedName name="comb_prestamo" localSheetId="13">[7]base!$L$25:$M$26</definedName>
    <definedName name="comb_prestamo" localSheetId="12">[7]base!$L$25:$M$26</definedName>
    <definedName name="comb_promotor" localSheetId="33">Catálogos!$E$104:$F$105</definedName>
    <definedName name="comb_promotor" localSheetId="17">[2]Catálogos!$E$104:$F$105</definedName>
    <definedName name="comb_promotor" localSheetId="24">[3]Catálogos!$E$104:$F$105</definedName>
    <definedName name="comb_promotor">Catálogos!$E$104:$F$105</definedName>
    <definedName name="comb_renova" localSheetId="13">[7]base!$L$38:$M$39</definedName>
    <definedName name="comb_renova" localSheetId="12">[7]base!$L$38:$M$39</definedName>
    <definedName name="comb_serv_01" localSheetId="26">TabGtos!$B$2:$C$20</definedName>
    <definedName name="comb_serv_01" localSheetId="33">TabGtos!$B$2:$C$20</definedName>
    <definedName name="comb_serv_01" localSheetId="17">[2]TabGtos!$B$2:$C$20</definedName>
    <definedName name="comb_serv_01" localSheetId="24">[3]TabGtos!$B$2:$C$20</definedName>
    <definedName name="comb_serv_01" localSheetId="13">[7]TabGtos!$A$2:$B$20</definedName>
    <definedName name="comb_serv_01" localSheetId="19">[4]TabGtos!$B$2:$C$20</definedName>
    <definedName name="comb_serv_01">TabGtos!$B$2:$C$20</definedName>
    <definedName name="comb_serv_02" localSheetId="26">TabGtos!$B$25:$C$43</definedName>
    <definedName name="comb_serv_02" localSheetId="33">TabGtos!$B$25:$C$43</definedName>
    <definedName name="comb_serv_02" localSheetId="17">[2]TabGtos!$B$25:$C$43</definedName>
    <definedName name="comb_serv_02" localSheetId="24">[3]TabGtos!$B$25:$C$43</definedName>
    <definedName name="comb_serv_02" localSheetId="13">[7]TabGtos!$A$25:$B$43</definedName>
    <definedName name="comb_serv_02" localSheetId="19">[4]TabGtos!$B$25:$C$43</definedName>
    <definedName name="comb_serv_02">TabGtos!$B$25:$C$43</definedName>
    <definedName name="comb_serv_03" localSheetId="26">TabGtos!$B$47:$C$57</definedName>
    <definedName name="comb_serv_03" localSheetId="33">TabGtos!$B$47:$C$57</definedName>
    <definedName name="comb_serv_03" localSheetId="17">[2]TabGtos!$B$47:$C$57</definedName>
    <definedName name="comb_serv_03" localSheetId="24">[3]TabGtos!$B$47:$C$57</definedName>
    <definedName name="comb_serv_03" localSheetId="13">[7]TabGtos!$A$47:$B$57</definedName>
    <definedName name="comb_serv_03" localSheetId="19">[4]TabGtos!$B$47:$C$57</definedName>
    <definedName name="comb_serv_03">TabGtos!$B$47:$C$57</definedName>
    <definedName name="comb_serv_04" localSheetId="26">TabGtos!$B$63:$C$71</definedName>
    <definedName name="comb_serv_04" localSheetId="33">TabGtos!$B$63:$C$71</definedName>
    <definedName name="comb_serv_04" localSheetId="17">[2]TabGtos!$B$63:$C$71</definedName>
    <definedName name="comb_serv_04" localSheetId="24">[3]TabGtos!$B$63:$C$71</definedName>
    <definedName name="comb_serv_04" localSheetId="13">[7]TabGtos!$A$63:$B$71</definedName>
    <definedName name="comb_serv_04" localSheetId="19">[4]TabGtos!$B$63:$C$71</definedName>
    <definedName name="comb_serv_04">TabGtos!$B$63:$C$71</definedName>
    <definedName name="comb_serv_05" localSheetId="26">TabGtos!$G$2:$H$20</definedName>
    <definedName name="comb_serv_05" localSheetId="33">TabGtos!$G$2:$H$20</definedName>
    <definedName name="comb_serv_05" localSheetId="17">[2]TabGtos!$G$2:$H$20</definedName>
    <definedName name="comb_serv_05" localSheetId="24">[3]TabGtos!$G$2:$H$20</definedName>
    <definedName name="comb_serv_05" localSheetId="13">[7]TabGtos!$F$2:$G$20</definedName>
    <definedName name="comb_serv_05" localSheetId="19">[4]TabGtos!$G$2:$H$20</definedName>
    <definedName name="comb_serv_05">TabGtos!$G$2:$H$20</definedName>
    <definedName name="comb_serv_06" localSheetId="26">TabGtos!$G$25:$H$26</definedName>
    <definedName name="comb_serv_06" localSheetId="33">TabGtos!$G$25:$H$26</definedName>
    <definedName name="comb_serv_06" localSheetId="17">[2]TabGtos!$G$25:$H$26</definedName>
    <definedName name="comb_serv_06" localSheetId="24">[3]TabGtos!$G$25:$H$26</definedName>
    <definedName name="comb_serv_06" localSheetId="13">[7]TabGtos!$F$25:$G$26</definedName>
    <definedName name="comb_serv_06" localSheetId="19">[4]TabGtos!$G$25:$H$26</definedName>
    <definedName name="comb_serv_06">TabGtos!$G$25:$H$26</definedName>
    <definedName name="comb_serv_07" localSheetId="26">TabGtos!$G$31:$H$41</definedName>
    <definedName name="comb_serv_07" localSheetId="33">TabGtos!$G$31:$H$41</definedName>
    <definedName name="comb_serv_07" localSheetId="17">[2]TabGtos!$G$31:$H$41</definedName>
    <definedName name="comb_serv_07" localSheetId="24">[3]TabGtos!$G$31:$H$41</definedName>
    <definedName name="comb_serv_07" localSheetId="13">[7]TabGtos!$F$31:$G$41</definedName>
    <definedName name="comb_serv_07" localSheetId="19">[4]TabGtos!$G$31:$H$41</definedName>
    <definedName name="comb_serv_07">TabGtos!$G$31:$H$41</definedName>
    <definedName name="comb_serv_08" localSheetId="26">TabGtos!$G$55:$H$63</definedName>
    <definedName name="comb_serv_08" localSheetId="33">TabGtos!$G$55:$H$63</definedName>
    <definedName name="comb_serv_08" localSheetId="17">[2]TabGtos!$G$55:$H$63</definedName>
    <definedName name="comb_serv_08" localSheetId="24">[3]TabGtos!$G$55:$H$63</definedName>
    <definedName name="comb_serv_08" localSheetId="13">[7]TabGtos!$F$55:$G$63</definedName>
    <definedName name="comb_serv_08" localSheetId="19">[4]TabGtos!$G$55:$H$63</definedName>
    <definedName name="comb_serv_08">TabGtos!$G$55:$H$63</definedName>
    <definedName name="comb_serv_09" localSheetId="26">TabGtos!$L$2:$M$20</definedName>
    <definedName name="comb_serv_09" localSheetId="33">TabGtos!$L$2:$M$20</definedName>
    <definedName name="comb_serv_09" localSheetId="17">[2]TabGtos!$L$2:$M$20</definedName>
    <definedName name="comb_serv_09" localSheetId="24">[3]TabGtos!$L$2:$M$20</definedName>
    <definedName name="comb_serv_09" localSheetId="13">[7]TabGtos!$J$2:$K$20</definedName>
    <definedName name="comb_serv_09" localSheetId="19">[4]TabGtos!$L$2:$M$20</definedName>
    <definedName name="comb_serv_09">TabGtos!$L$2:$M$20</definedName>
    <definedName name="comb_serv_10" localSheetId="26">TabGtos!$L$25:$M$43</definedName>
    <definedName name="comb_serv_10" localSheetId="33">TabGtos!$L$25:$M$43</definedName>
    <definedName name="comb_serv_10" localSheetId="17">[2]TabGtos!$L$25:$M$43</definedName>
    <definedName name="comb_serv_10" localSheetId="24">[3]TabGtos!$L$25:$M$43</definedName>
    <definedName name="comb_serv_10" localSheetId="13">[7]TabGtos!$J$25:$K$43</definedName>
    <definedName name="comb_serv_10" localSheetId="19">[4]TabGtos!$L$25:$M$43</definedName>
    <definedName name="comb_serv_10">TabGtos!$L$25:$M$43</definedName>
    <definedName name="comb_serv_11" localSheetId="26">TabGtos!$G$70:$H$80</definedName>
    <definedName name="comb_serv_11" localSheetId="33">TabGtos!$G$70:$H$80</definedName>
    <definedName name="comb_serv_11" localSheetId="17">[2]TabGtos!$G$70:$H$80</definedName>
    <definedName name="comb_serv_11" localSheetId="24">[3]TabGtos!$G$70:$H$80</definedName>
    <definedName name="comb_serv_11" localSheetId="13">[7]TabGtos!$F$70:$G$80</definedName>
    <definedName name="comb_serv_11" localSheetId="19">[4]TabGtos!$G$70:$H$80</definedName>
    <definedName name="comb_serv_11">TabGtos!$G$70:$H$80</definedName>
    <definedName name="comb_serv_12" localSheetId="26">TabGtos!$G$83:$H$87</definedName>
    <definedName name="comb_serv_12" localSheetId="33">TabGtos!$G$83:$H$87</definedName>
    <definedName name="comb_serv_12" localSheetId="17">[2]TabGtos!$G$83:$H$87</definedName>
    <definedName name="comb_serv_12" localSheetId="24">[3]TabGtos!$G$83:$H$87</definedName>
    <definedName name="comb_serv_12" localSheetId="13">[7]TabGtos!$F$83:$G$87</definedName>
    <definedName name="comb_serv_12" localSheetId="19">[4]TabGtos!$G$83:$H$87</definedName>
    <definedName name="comb_serv_12">TabGtos!$G$83:$H$87</definedName>
    <definedName name="comb_serv_13" localSheetId="26">TabGtos!$G$92:$H$101</definedName>
    <definedName name="comb_serv_13" localSheetId="33">TabGtos!$G$92:$H$101</definedName>
    <definedName name="comb_serv_13" localSheetId="17">[2]TabGtos!$G$92:$H$101</definedName>
    <definedName name="comb_serv_13" localSheetId="24">[3]TabGtos!$G$92:$H$101</definedName>
    <definedName name="comb_serv_13" localSheetId="13">[7]TabGtos!$F$92:$G$101</definedName>
    <definedName name="comb_serv_13" localSheetId="19">[4]TabGtos!$G$92:$H$101</definedName>
    <definedName name="comb_serv_13">TabGtos!$G$92:$H$101</definedName>
    <definedName name="comb_serv_14" localSheetId="26">TabGtos!$B$77:$C$87</definedName>
    <definedName name="comb_serv_14" localSheetId="33">TabGtos!$B$77:$C$87</definedName>
    <definedName name="comb_serv_14" localSheetId="17">[2]TabGtos!$B$77:$C$87</definedName>
    <definedName name="comb_serv_14" localSheetId="24">[3]TabGtos!$B$77:$C$87</definedName>
    <definedName name="comb_serv_14" localSheetId="13">[7]TabGtos!$A$77:$B$87</definedName>
    <definedName name="comb_serv_14" localSheetId="19">[4]TabGtos!$B$77:$C$87</definedName>
    <definedName name="comb_serv_14">TabGtos!$B$77:$C$87</definedName>
    <definedName name="comb_serv_15" localSheetId="26">TabGtos!$B$94:$C$95</definedName>
    <definedName name="comb_serv_15" localSheetId="33">TabGtos!$B$94:$C$95</definedName>
    <definedName name="comb_serv_15" localSheetId="17">[2]TabGtos!$B$94:$C$95</definedName>
    <definedName name="comb_serv_15" localSheetId="24">[3]TabGtos!$B$94:$C$95</definedName>
    <definedName name="comb_serv_15" localSheetId="13">[7]TabGtos!$A$94:$B$95</definedName>
    <definedName name="comb_serv_15" localSheetId="19">[4]TabGtos!$B$94:$C$95</definedName>
    <definedName name="comb_serv_15">TabGtos!$B$94:$C$95</definedName>
    <definedName name="comb_tipocliente" localSheetId="33">Catálogos!$E$75:$F$82</definedName>
    <definedName name="comb_tipocliente" localSheetId="17">[2]Catálogos!$E$75:$F$82</definedName>
    <definedName name="comb_tipocliente" localSheetId="24">[3]Catálogos!$E$75:$F$82</definedName>
    <definedName name="comb_tipocliente">Catálogos!$E$75:$F$82</definedName>
    <definedName name="comb_tramite" localSheetId="13">[7]base!$L$15:$M$21</definedName>
    <definedName name="comb_tramite" localSheetId="12">[7]base!$L$15:$M$21</definedName>
    <definedName name="combo_acciones" localSheetId="33">Catálogos!$E$99:$F$100</definedName>
    <definedName name="combo_acciones" localSheetId="17">[2]Catálogos!$E$99:$F$100</definedName>
    <definedName name="combo_acciones" localSheetId="24">[3]Catálogos!$E$99:$F$100</definedName>
    <definedName name="combo_acciones">Catálogos!$E$99:$F$100</definedName>
    <definedName name="combo_antiguedad" localSheetId="26">Catálogos!$AA$3:$AB$4</definedName>
    <definedName name="combo_antiguedad" localSheetId="33">Catálogos!$AA$3:$AB$4</definedName>
    <definedName name="combo_antiguedad" localSheetId="17">[2]Catálogos!$AA$3:$AB$4</definedName>
    <definedName name="combo_antiguedad" localSheetId="24">[3]Catálogos!$AA$3:$AB$4</definedName>
    <definedName name="combo_antiguedad" localSheetId="19">[4]Catálogos!$Z$3:$AA$4</definedName>
    <definedName name="combo_antiguedad">Catálogos!$AA$3:$AB$4</definedName>
    <definedName name="combo_canal">Catálogos!$H$15:$I$27</definedName>
    <definedName name="combo_cancela">Catálogos!$H$31:$I$33</definedName>
    <definedName name="combo_feci" localSheetId="26">Catálogos!$E$11:$F$12</definedName>
    <definedName name="combo_feci" localSheetId="33">Catálogos!$E$11:$F$12</definedName>
    <definedName name="combo_feci" localSheetId="17">[2]Catálogos!$E$11:$F$12</definedName>
    <definedName name="combo_feci" localSheetId="24">[3]Catálogos!$E$11:$F$12</definedName>
    <definedName name="combo_feci" localSheetId="19">[4]Catálogos!$E$11:$F$12</definedName>
    <definedName name="combo_feci">Catálogos!$E$11:$F$12</definedName>
    <definedName name="combo_fideicomiso" localSheetId="26">Catálogos!$D$20:$E$21</definedName>
    <definedName name="combo_fideicomiso" localSheetId="33">Catálogos!$D$22:$E$23</definedName>
    <definedName name="combo_fideicomiso" localSheetId="17">[2]Catálogos!$D$22:$E$23</definedName>
    <definedName name="combo_fideicomiso" localSheetId="24">[3]Catálogos!$D$22:$E$23</definedName>
    <definedName name="combo_fideicomiso" localSheetId="19">[4]Catálogos!$D$20:$E$21</definedName>
    <definedName name="combo_fideicomiso">Catálogos!$D$22:$E$23</definedName>
    <definedName name="combo_finalidad" localSheetId="26">Catálogos!$B$16:$C$27</definedName>
    <definedName name="combo_finalidad" localSheetId="33">Catálogos!$B$16:$C$27</definedName>
    <definedName name="combo_finalidad" localSheetId="17">[2]Catálogos!$B$16:$C$27</definedName>
    <definedName name="combo_finalidad" localSheetId="24">[3]Catálogos!$B$16:$C$27</definedName>
    <definedName name="combo_finalidad" localSheetId="19">[4]Catálogos!$B$16:$C$26</definedName>
    <definedName name="combo_finalidad">Catálogos!$B$16:$C$27</definedName>
    <definedName name="combo_financiamiento">Programa!$J$3:$P$95</definedName>
    <definedName name="combo_forma_pago" localSheetId="26">Catálogos!$C$30:$D$34</definedName>
    <definedName name="combo_forma_pago" localSheetId="33">Catálogos!$C$30:$D$34</definedName>
    <definedName name="combo_forma_pago" localSheetId="17">[2]Catálogos!$C$30:$D$34</definedName>
    <definedName name="combo_forma_pago" localSheetId="24">[3]Catálogos!$C$30:$D$34</definedName>
    <definedName name="combo_forma_pago" localSheetId="19">[4]Catálogos!$C$30:$D$34</definedName>
    <definedName name="combo_forma_pago">Catálogos!$C$30:$D$34</definedName>
    <definedName name="combo_fwla" localSheetId="26">Cálculos!$A$74:$B$86</definedName>
    <definedName name="combo_fwla" localSheetId="33">Cálculos!$A$74:$B$86</definedName>
    <definedName name="combo_fwla" localSheetId="17">[2]Cálculos!$A$74:$B$86</definedName>
    <definedName name="combo_fwla" localSheetId="24">[3]Cálculos!$A$74:$B$86</definedName>
    <definedName name="combo_fwla" localSheetId="19">[4]Cálculos!$A$74:$B$86</definedName>
    <definedName name="combo_fwla">Cálculos!$A$74:$B$86</definedName>
    <definedName name="combo_garantía" localSheetId="26">Catálogos!$T$3:$U$5</definedName>
    <definedName name="combo_garantía" localSheetId="33">Catálogos!$T$3:$U$5</definedName>
    <definedName name="combo_garantía" localSheetId="17">[2]Catálogos!$T$3:$U$5</definedName>
    <definedName name="combo_garantía" localSheetId="24">[3]Catálogos!$T$3:$U$5</definedName>
    <definedName name="combo_garantía" localSheetId="19">[4]Catálogos!$S$3:$T$4</definedName>
    <definedName name="combo_garantía">Catálogos!$T$3:$U$5</definedName>
    <definedName name="combo_gastos_empl" localSheetId="26">Catálogos!$H$48:$I$49</definedName>
    <definedName name="combo_gastos_empl" localSheetId="33">Catálogos!$H$48:$I$49</definedName>
    <definedName name="combo_gastos_empl" localSheetId="17">[2]Catálogos!$H$48:$I$49</definedName>
    <definedName name="combo_gastos_empl" localSheetId="24">[3]Catálogos!$H$48:$I$49</definedName>
    <definedName name="combo_gastos_empl">Catálogos!$H$48:$I$49</definedName>
    <definedName name="combo_hace_escritura" localSheetId="26">Catálogos!$D$25:$E$26</definedName>
    <definedName name="combo_hace_escritura" localSheetId="33">Catálogos!$D$27:$E$28</definedName>
    <definedName name="combo_hace_escritura" localSheetId="17">[2]Catálogos!$D$27:$E$28</definedName>
    <definedName name="combo_hace_escritura" localSheetId="24">[3]Catálogos!$D$27:$E$28</definedName>
    <definedName name="combo_hace_escritura" localSheetId="19">[4]Catálogos!$D$25:$E$26</definedName>
    <definedName name="combo_hace_escritura">Catálogos!$D$27:$E$28</definedName>
    <definedName name="combo_notaria" localSheetId="26">Comisiones_Cargos!$AF$2:$AP$104</definedName>
    <definedName name="combo_notaria" localSheetId="33">Comisiones_Cargos!$AF$2:$AP$104</definedName>
    <definedName name="combo_notaria" localSheetId="17">[2]Comisiones_Cargos!$AF$2:$AP$104</definedName>
    <definedName name="combo_notaria" localSheetId="24">[3]Comisiones_Cargos!$AF$2:$AP$104</definedName>
    <definedName name="combo_notaria" localSheetId="19">[4]Comisiones_Cargos!$AF$2:$AP$84</definedName>
    <definedName name="combo_notaria">Comisiones_Cargos!$AF$2:$AP$104</definedName>
    <definedName name="combo_participante" localSheetId="26">Catálogos!$W$8:$X$11</definedName>
    <definedName name="combo_participante" localSheetId="33">Catálogos!$W$8:$X$11</definedName>
    <definedName name="combo_participante" localSheetId="17">[2]Catálogos!$W$8:$X$11</definedName>
    <definedName name="combo_participante" localSheetId="24">[3]Catálogos!$W$8:$X$11</definedName>
    <definedName name="combo_participante" localSheetId="19">[4]Catálogos!$V$8:$W$11</definedName>
    <definedName name="combo_participante">Catálogos!$W$8:$X$11</definedName>
    <definedName name="combo_PolIncendio" localSheetId="26">Catálogos!$AC$3:$AD$4</definedName>
    <definedName name="combo_PolIncendio" localSheetId="33">Catálogos!$AC$3:$AD$4</definedName>
    <definedName name="combo_PolIncendio" localSheetId="17">[2]Catálogos!$AC$3:$AD$4</definedName>
    <definedName name="combo_PolIncendio" localSheetId="24">[3]Catálogos!$AC$3:$AD$4</definedName>
    <definedName name="combo_PolIncendio" localSheetId="19">[4]Catálogos!$AB$3:$AC$4</definedName>
    <definedName name="combo_PolIncendio">Catálogos!$AC$3:$AD$4</definedName>
    <definedName name="combo_politica">Catálogos!$E$68:$F$72</definedName>
    <definedName name="combo_prog" localSheetId="26">Catálogos!$E$15:$F$18</definedName>
    <definedName name="combo_prog" localSheetId="33">Catálogos!$E$15:$F$19</definedName>
    <definedName name="combo_prog" localSheetId="17">[2]Catálogos!$E$15:$F$19</definedName>
    <definedName name="combo_prog" localSheetId="24">[3]Catálogos!$E$15:$F$19</definedName>
    <definedName name="combo_prog" localSheetId="19">[4]Catálogos!$E$15:$F$17</definedName>
    <definedName name="combo_prog">Catálogos!$E$15:$F$19</definedName>
    <definedName name="combo_registro" localSheetId="26">Comisiones_Cargos!$P$2:$AD$104</definedName>
    <definedName name="combo_registro" localSheetId="33">Comisiones_Cargos!$P$2:$AD$104</definedName>
    <definedName name="combo_registro" localSheetId="17">[2]Comisiones_Cargos!$P$2:$AD$104</definedName>
    <definedName name="combo_registro" localSheetId="24">[3]Comisiones_Cargos!$P$2:$AD$104</definedName>
    <definedName name="combo_registro" localSheetId="19">[4]Comisiones_Cargos!$P$2:$AD$84</definedName>
    <definedName name="combo_registro">Comisiones_Cargos!$P$2:$AD$104</definedName>
    <definedName name="combo_relación">Catálogos!$B$43:$C$66</definedName>
    <definedName name="combo_renovación" localSheetId="26">Catálogos!$E$38:$F$39</definedName>
    <definedName name="combo_renovación" localSheetId="33">Catálogos!$E$38:$F$39</definedName>
    <definedName name="combo_renovación" localSheetId="17">[2]Catálogos!$E$38:$F$39</definedName>
    <definedName name="combo_renovación" localSheetId="24">[3]Catálogos!$E$38:$F$39</definedName>
    <definedName name="combo_renovación" localSheetId="19">[4]Catálogos!$E$38:$F$39</definedName>
    <definedName name="combo_renovación">Catálogos!$E$38:$F$39</definedName>
    <definedName name="combo_serv_Fideicomiso" localSheetId="26">Comisiones_Cargos!$AV$70:$AW$104</definedName>
    <definedName name="combo_serv_Fideicomiso" localSheetId="33">Comisiones_Cargos!$AV$70:$AW$104</definedName>
    <definedName name="combo_serv_Fideicomiso" localSheetId="17">[2]Comisiones_Cargos!$AV$70:$AW$104</definedName>
    <definedName name="combo_serv_Fideicomiso" localSheetId="24">[3]Comisiones_Cargos!$AV$70:$AW$104</definedName>
    <definedName name="combo_serv_Fideicomiso" localSheetId="19">[4]Comisiones_Cargos!$AV$62:$AW$84</definedName>
    <definedName name="combo_serv_Fideicomiso">Comisiones_Cargos!$AV$70:$AW$104</definedName>
    <definedName name="combo_servicios_Legales" localSheetId="26">Comisiones_Cargos!$AR$2:$AS$104</definedName>
    <definedName name="combo_servicios_Legales" localSheetId="33">Comisiones_Cargos!$AR$2:$AS$104</definedName>
    <definedName name="combo_servicios_Legales" localSheetId="17">[2]Comisiones_Cargos!$AR$2:$AS$104</definedName>
    <definedName name="combo_servicios_Legales" localSheetId="24">[3]Comisiones_Cargos!$AR$2:$AS$104</definedName>
    <definedName name="combo_servicios_Legales" localSheetId="19">[4]Comisiones_Cargos!$AR$2:$AS$84</definedName>
    <definedName name="combo_servicios_Legales">Comisiones_Cargos!$AR$2:$AS$104</definedName>
    <definedName name="combo_terreno" localSheetId="33">Catálogos!$E$95:$F$96</definedName>
    <definedName name="combo_terreno" localSheetId="17">[2]Catálogos!$E$95:$F$96</definedName>
    <definedName name="combo_terreno" localSheetId="24">[3]Catálogos!$E$95:$F$96</definedName>
    <definedName name="combo_terreno">Catálogos!$E$95:$F$96</definedName>
    <definedName name="combo_tipocliente" localSheetId="33">Catálogos!$E$75:$F$78</definedName>
    <definedName name="combo_tipocliente" localSheetId="17">[2]Catálogos!$E$75:$F$78</definedName>
    <definedName name="combo_tipocliente" localSheetId="24">[3]Catálogos!$E$75:$F$78</definedName>
    <definedName name="combo_tipocliente">Catálogos!$E$75:$F$78</definedName>
    <definedName name="combo_tipoPrestamo" localSheetId="26">Catálogos!$G$3:$H$5</definedName>
    <definedName name="combo_tipoPrestamo" localSheetId="33">Catálogos!$G$3:$H$5</definedName>
    <definedName name="combo_tipoPrestamo" localSheetId="17">[2]Catálogos!$G$3:$H$5</definedName>
    <definedName name="combo_tipoPrestamo" localSheetId="24">[3]Catálogos!$G$3:$H$5</definedName>
    <definedName name="combo_tipoPrestamo" localSheetId="19">[4]Catálogos!$G$3:$H$4</definedName>
    <definedName name="combo_tipoPrestamo">Catálogos!$G$3:$H$5</definedName>
    <definedName name="combo_tipoTrámite" localSheetId="26">Catálogos!$M$3:$N$9</definedName>
    <definedName name="combo_tipoTrámite" localSheetId="33">Catálogos!$M$3:$N$9</definedName>
    <definedName name="combo_tipoTrámite" localSheetId="17">[2]Catálogos!$M$3:$N$9</definedName>
    <definedName name="combo_tipoTrámite" localSheetId="24">[3]Catálogos!$M$3:$N$9</definedName>
    <definedName name="combo_tipoTrámite" localSheetId="19">[4]Catálogos!$L$3:$M$9</definedName>
    <definedName name="combo_tipoTrámite">Catálogos!$M$3:$N$9</definedName>
    <definedName name="combo_trabajo" localSheetId="26">Catálogos!$W$14:$X$15</definedName>
    <definedName name="combo_trabajo" localSheetId="33">Catálogos!$W$14:$X$15</definedName>
    <definedName name="combo_trabajo" localSheetId="17">[2]Catálogos!$W$14:$X$15</definedName>
    <definedName name="combo_trabajo" localSheetId="24">[3]Catálogos!$W$14:$X$15</definedName>
    <definedName name="combo_trabajo" localSheetId="19">[4]Catálogos!$V$14:$W$15</definedName>
    <definedName name="combo_trabajo">Catálogos!$W$14:$X$15</definedName>
    <definedName name="compra_ley" localSheetId="26">Catálogos!$X$3</definedName>
    <definedName name="compra_ley" localSheetId="33">Catálogos!$X$3</definedName>
    <definedName name="compra_ley" localSheetId="17">[2]Catálogos!$X$3</definedName>
    <definedName name="compra_ley" localSheetId="24">[3]Catálogos!$X$3</definedName>
    <definedName name="compra_ley" localSheetId="19">[4]Catálogos!$W$3</definedName>
    <definedName name="compra_ley">Catálogos!$X$3</definedName>
    <definedName name="demas" localSheetId="26">Catálogos!$Y$3:$Y$4</definedName>
    <definedName name="demas" localSheetId="33">Catálogos!$Y$3:$Y$4</definedName>
    <definedName name="demas" localSheetId="17">[2]Catálogos!$Y$3:$Y$4</definedName>
    <definedName name="demas" localSheetId="24">[3]Catálogos!$Y$3:$Y$4</definedName>
    <definedName name="demas" localSheetId="19">[4]Catálogos!$X$3:$X$4</definedName>
    <definedName name="demas">Catálogos!$Y$3:$Y$4</definedName>
    <definedName name="dueño_deuda" localSheetId="26">Catálogos!$H$38:$H$42</definedName>
    <definedName name="dueño_deuda" localSheetId="33">Catálogos!$H$38:$H$42</definedName>
    <definedName name="dueño_deuda" localSheetId="17">[2]Catálogos!$H$38:$H$42</definedName>
    <definedName name="dueño_deuda" localSheetId="24">[3]Catálogos!$H$38:$H$42</definedName>
    <definedName name="dueño_deuda">Catálogos!$H$38:$H$42</definedName>
    <definedName name="Edad" localSheetId="0">'[5]Cotización-Análisis_personal'!$F$12</definedName>
    <definedName name="Edad">'[6]Cotización-Análisis_personal'!$F$12</definedName>
    <definedName name="Edad_a">'[1]Cotización-análisis_auto'!$G$8</definedName>
    <definedName name="edad1" localSheetId="0">calculadora!#REF!</definedName>
    <definedName name="ejec_nego_a">'[1]Cotización-análisis_auto'!#REF!</definedName>
    <definedName name="Ejec_negocios">[1]Datos_lista!$B$15:$B$20</definedName>
    <definedName name="ejecutivodd" localSheetId="0">[5]Información_listas!$D$31:$D$36</definedName>
    <definedName name="ejecutivodd">[6]Información_listas!$D$31:$D$36</definedName>
    <definedName name="EmplBG_gtosGratis" localSheetId="26">Catálogos!$H$48:$H$49</definedName>
    <definedName name="EmplBG_gtosGratis" localSheetId="33">Catálogos!$H$48:$H$49</definedName>
    <definedName name="EmplBG_gtosGratis" localSheetId="17">[2]Catálogos!$H$48:$H$49</definedName>
    <definedName name="EmplBG_gtosGratis" localSheetId="24">[3]Catálogos!$H$48:$H$49</definedName>
    <definedName name="EmplBG_gtosGratis">Catálogos!$H$48:$H$49</definedName>
    <definedName name="Empresa" localSheetId="0">[5]Información_listas!$C$5:$C$10</definedName>
    <definedName name="Empresa">[1]Datos_lista!$B$4:$B$9</definedName>
    <definedName name="empresa_anterior" localSheetId="0">calculadora!#REF!</definedName>
    <definedName name="equi_ccash" localSheetId="33">Catálogos!$Q$10:$R$17</definedName>
    <definedName name="equi_ccash" localSheetId="17">[2]Catálogos!$Q$10:$R$17</definedName>
    <definedName name="equi_ccash" localSheetId="24">[3]Catálogos!$Q$10:$R$17</definedName>
    <definedName name="equi_ccash">Catálogos!$Q$10:$R$17</definedName>
    <definedName name="fecha" localSheetId="0">'[5]Cotización-Análisis_personal'!#REF!</definedName>
    <definedName name="fecha">'[6]Cotización-Análisis_personal'!#REF!</definedName>
    <definedName name="fecha_a">'[1]Cotización-análisis_auto'!#REF!</definedName>
    <definedName name="fecha_nac" localSheetId="0">calculadora!#REF!</definedName>
    <definedName name="fecha_nac">#REF!</definedName>
    <definedName name="feci" localSheetId="26">Catálogos!$AF$2:$AF$3</definedName>
    <definedName name="feci" localSheetId="33">Catálogos!$AF$2:$AF$3</definedName>
    <definedName name="feci" localSheetId="17">[2]Catálogos!$AF$2:$AF$3</definedName>
    <definedName name="feci" localSheetId="24">[3]Catálogos!$AF$2:$AF$3</definedName>
    <definedName name="FECI" localSheetId="0">'[5]Cotización-Análisis_personal'!$C$25</definedName>
    <definedName name="feci" localSheetId="19">[4]Catálogos!$AE$2:$AE$3</definedName>
    <definedName name="feci">Catálogos!$AF$2:$AF$3</definedName>
    <definedName name="Feci1" localSheetId="0">calculadora!#REF!</definedName>
    <definedName name="Feci1">#REF!</definedName>
    <definedName name="FECIH">'[6]Cotización-Análisis_personal'!$C$25</definedName>
    <definedName name="Feria">[1]Datos_lista!$H$15:$H$17</definedName>
    <definedName name="fideicomiso" localSheetId="26">Catálogos!$D$20:$D$21</definedName>
    <definedName name="fideicomiso" localSheetId="33">Catálogos!$D$22:$D$23</definedName>
    <definedName name="fideicomiso" localSheetId="17">[2]Catálogos!$D$22:$D$23</definedName>
    <definedName name="fideicomiso" localSheetId="24">[3]Catálogos!$D$22:$D$23</definedName>
    <definedName name="fideicomiso" localSheetId="13">[7]base!$L$34:$L$35</definedName>
    <definedName name="fideicomiso" localSheetId="19">[4]Catálogos!$D$20:$D$21</definedName>
    <definedName name="fideicomiso" localSheetId="12">[7]base!$L$34:$L$35</definedName>
    <definedName name="fideicomiso">Catálogos!$D$22:$D$23</definedName>
    <definedName name="Finalidad" localSheetId="26">Catálogos!$B$2:$B$13</definedName>
    <definedName name="Finalidad" localSheetId="33">Catálogos!$B$2:$B$13</definedName>
    <definedName name="Finalidad" localSheetId="17">[2]Catálogos!$B$2:$B$13</definedName>
    <definedName name="Finalidad" localSheetId="24">[3]Catálogos!$B$2:$B$13</definedName>
    <definedName name="Finalidad" localSheetId="19">[4]Catálogos!$B$2:$B$12</definedName>
    <definedName name="Finalidad">Catálogos!$B$2:$B$13</definedName>
    <definedName name="finalidad_bg" localSheetId="26">Catálogos!$E$49:$E$55</definedName>
    <definedName name="finalidad_bg" localSheetId="33">Catálogos!$E$49:$E$55</definedName>
    <definedName name="finalidad_bg" localSheetId="17">[2]Catálogos!$E$49:$E$55</definedName>
    <definedName name="finalidad_bg" localSheetId="24">[3]Catálogos!$E$49:$E$55</definedName>
    <definedName name="finalidad_bg" localSheetId="19">[4]Catálogos!$E$49:$E$54</definedName>
    <definedName name="finalidad_bg">Catálogos!$E$49:$E$55</definedName>
    <definedName name="finalidad_otros" localSheetId="33">Catálogos!$E$58:$E$61</definedName>
    <definedName name="finalidad_otros" localSheetId="17">[2]Catálogos!$E$58:$E$61</definedName>
    <definedName name="finalidad_otros" localSheetId="24">[3]Catálogos!$E$58:$E$61</definedName>
    <definedName name="finalidad_otros">Catálogos!$E$58:$E$61</definedName>
    <definedName name="finalidad1">"Compra de Vivienda"</definedName>
    <definedName name="finalidad2">Compra de Vivienda vacacional</definedName>
    <definedName name="forma_pago" localSheetId="26">Catálogos!$B$30:$B$33</definedName>
    <definedName name="forma_pago" localSheetId="33">Catálogos!$B$30:$B$33</definedName>
    <definedName name="forma_pago" localSheetId="17">[2]Catálogos!$B$30:$B$33</definedName>
    <definedName name="forma_pago" localSheetId="24">[3]Catálogos!$B$30:$B$33</definedName>
    <definedName name="Forma_pago" localSheetId="0">[5]Información_listas!$H$5:$H$8</definedName>
    <definedName name="forma_pago" localSheetId="13">[7]base!$D$2:$D$6</definedName>
    <definedName name="forma_pago" localSheetId="19">[4]Catálogos!$B$30:$B$33</definedName>
    <definedName name="forma_pago" localSheetId="12">[7]base!$D$2:$D$6</definedName>
    <definedName name="forma_pago">Catálogos!$B$30:$B$33</definedName>
    <definedName name="Forma_pagoH">[1]Datos_lista!$E$4:$E$7</definedName>
    <definedName name="Gtos_Financiados">Catálogos!$J$31:$J$32</definedName>
    <definedName name="habonominimo">calculadora!$E$8*'C.Tasa'!$A$1</definedName>
    <definedName name="hace_escritura" localSheetId="26">Catálogos!$D$25:$D$26</definedName>
    <definedName name="hace_escritura" localSheetId="33">Catálogos!$D$27:$D$28</definedName>
    <definedName name="hace_escritura" localSheetId="17">[2]Catálogos!$D$27:$D$28</definedName>
    <definedName name="hace_escritura" localSheetId="24">[3]Catálogos!$D$27:$D$28</definedName>
    <definedName name="hace_escritura" localSheetId="13">[7]base!$H$29:$H$30</definedName>
    <definedName name="hace_escritura" localSheetId="19">[4]Catálogos!$D$25:$D$26</definedName>
    <definedName name="hace_escritura" localSheetId="12">[7]base!$H$29:$H$30</definedName>
    <definedName name="hace_escritura">Catálogos!$D$27:$D$28</definedName>
    <definedName name="interior" localSheetId="33">'6.Promotores Hacen Escritura'!$F$6:$F$85</definedName>
    <definedName name="interior" localSheetId="17">'[2]6.Promotores Hacen Escritura'!$F$6:$F$85</definedName>
    <definedName name="interior" localSheetId="24">'[3]6.Promotores Hacen Escritura'!$F$6:$F$85</definedName>
    <definedName name="interior">'6.Promotores Hacen Escritura'!$F$6:$F$85</definedName>
    <definedName name="lista_casacash" localSheetId="26">Catálogos!$K$3</definedName>
    <definedName name="lista_casacash" localSheetId="33">Catálogos!$K$3</definedName>
    <definedName name="lista_casacash" localSheetId="17">[2]Catálogos!$K$3</definedName>
    <definedName name="lista_casacash" localSheetId="24">[3]Catálogos!$K$3</definedName>
    <definedName name="lista_casacash" localSheetId="19">[4]Catálogos!$K$3</definedName>
    <definedName name="lista_casacash">Catálogos!$K$3</definedName>
    <definedName name="lista_ccash" localSheetId="26">Catálogos!$R$3:$R$5</definedName>
    <definedName name="lista_ccash" localSheetId="33">Catálogos!$R$3:$R$6</definedName>
    <definedName name="lista_ccash" localSheetId="17">[2]Catálogos!$R$3:$R$6</definedName>
    <definedName name="lista_ccash" localSheetId="24">[3]Catálogos!$R$3:$R$6</definedName>
    <definedName name="lista_ccash" localSheetId="19">[4]Catálogos!$Q$3:$Q$5</definedName>
    <definedName name="lista_ccash">Catálogos!$R$3:$R$6</definedName>
    <definedName name="Lista_compra" localSheetId="26">Catálogos!$I$3:$I$5</definedName>
    <definedName name="Lista_compra" localSheetId="33">Catálogos!$I$3:$I$5</definedName>
    <definedName name="Lista_compra" localSheetId="17">[2]Catálogos!$I$3:$I$5</definedName>
    <definedName name="Lista_compra" localSheetId="24">[3]Catálogos!$I$3:$I$5</definedName>
    <definedName name="Lista_compra" localSheetId="19">[4]Catálogos!$I$3:$I$4</definedName>
    <definedName name="Lista_compra">Catálogos!$I$3:$I$5</definedName>
    <definedName name="lista_compras" localSheetId="26">Catálogos!$Q$3:$Q$4</definedName>
    <definedName name="lista_compras" localSheetId="33">Catálogos!$Q$3:$Q$4</definedName>
    <definedName name="lista_compras" localSheetId="17">[2]Catálogos!$Q$3:$Q$4</definedName>
    <definedName name="lista_compras" localSheetId="24">[3]Catálogos!$Q$3:$Q$4</definedName>
    <definedName name="lista_compras" localSheetId="19">[4]Catálogos!$P$3:$P$4</definedName>
    <definedName name="lista_compras">Catálogos!$Q$3:$Q$4</definedName>
    <definedName name="lista_const" localSheetId="26">Catálogos!$O$3</definedName>
    <definedName name="lista_const" localSheetId="33">Catálogos!$O$3</definedName>
    <definedName name="lista_const" localSheetId="17">[2]Catálogos!$O$3</definedName>
    <definedName name="lista_const" localSheetId="24">[3]Catálogos!$O$3</definedName>
    <definedName name="lista_const" localSheetId="19">[4]Catálogos!$N$3</definedName>
    <definedName name="lista_const">Catálogos!$O$3</definedName>
    <definedName name="lista_ext" localSheetId="26">Catálogos!$P$3</definedName>
    <definedName name="lista_ext" localSheetId="33">Catálogos!$P$3</definedName>
    <definedName name="lista_ext" localSheetId="17">[2]Catálogos!$P$3</definedName>
    <definedName name="lista_ext" localSheetId="24">[3]Catálogos!$P$3</definedName>
    <definedName name="lista_ext" localSheetId="19">[4]Catálogos!$O$3</definedName>
    <definedName name="lista_ext">Catálogos!$P$3</definedName>
    <definedName name="lista_traspaso" localSheetId="26">Catálogos!$J$3</definedName>
    <definedName name="lista_traspaso" localSheetId="33">Catálogos!$J$3</definedName>
    <definedName name="lista_traspaso" localSheetId="17">[2]Catálogos!$J$3</definedName>
    <definedName name="lista_traspaso" localSheetId="24">[3]Catálogos!$J$3</definedName>
    <definedName name="lista_traspaso" localSheetId="19">[4]Catálogos!$J$3</definedName>
    <definedName name="lista_traspaso">Catálogos!$J$3</definedName>
    <definedName name="lista_vaca" localSheetId="26">Catálogos!$S$3</definedName>
    <definedName name="lista_vaca" localSheetId="33">Catálogos!$S$3</definedName>
    <definedName name="lista_vaca" localSheetId="17">[2]Catálogos!$S$3</definedName>
    <definedName name="lista_vaca" localSheetId="24">[3]Catálogos!$S$3</definedName>
    <definedName name="lista_vaca" localSheetId="19">[4]Catálogos!$R$3</definedName>
    <definedName name="lista_vaca">Catálogos!$S$3</definedName>
    <definedName name="llave_programa" localSheetId="26">Programa!$I$2:$O$985</definedName>
    <definedName name="llave_programa" localSheetId="33">Programa!$J$2:$P$985</definedName>
    <definedName name="llave_programa" localSheetId="17">[2]Programa!$J$2:$P$985</definedName>
    <definedName name="llave_programa" localSheetId="24">[3]Programa!$J$2:$P$985</definedName>
    <definedName name="llave_programa" localSheetId="19">[4]Programa!$I$2:$O$185</definedName>
    <definedName name="llave_programa">Programa!$J$2:$P$985</definedName>
    <definedName name="Mantiene_póliza_vigente">[1]Datos_lista!$F$15:$F$17</definedName>
    <definedName name="Marca_auto">'[1]Cotización-análisis_auto'!#REF!</definedName>
    <definedName name="MENSUALIDAD">ROUND(-PMT([1]Cotización!$E$40/12,[1]Cotización!$E$41,[1]Cotización!$E$37)+IF([1]Cotización!$N$12=1,(([1]Cotización!$E$40*([1]Cotización!$E$37/360))*30*INT([1]Cotización!$E$41/12))/[1]Cotización!$E$41,0),2)</definedName>
    <definedName name="MENSUALIDAD2" localSheetId="0">ROUND(-PMT((calculadora!$E$15)/12,calculadora!$E$10,calculadora!$E$12)+IF(calculadora!$H$3=2,((calculadora!$E$15*(calculadora!$E$12/360))*30*INT(calculadora!$E$10/12))/calculadora!$E$10,0),2)</definedName>
    <definedName name="MENSUALIDAD2">ROUND(-PMT((#REF!)/12,#REF!,#REF!)+IF(#REF!=2,((#REF!*(#REF!/360))*30*INT(#REF!/12))/#REF!,0),2)</definedName>
    <definedName name="Mercado_" localSheetId="26">Catálogos!$E$43:$E$46</definedName>
    <definedName name="Mercado_" localSheetId="33">Catálogos!$E$43:$E$46</definedName>
    <definedName name="Mercado_" localSheetId="17">[2]Catálogos!$E$43:$E$46</definedName>
    <definedName name="Mercado_" localSheetId="24">[3]Catálogos!$E$43:$E$46</definedName>
    <definedName name="Mercado_" localSheetId="19">[4]Catálogos!$E$43:$E$46</definedName>
    <definedName name="Mercado_">Catálogos!$E$43:$E$46</definedName>
    <definedName name="mercado_obj" localSheetId="0">'[5]Cotización-Análisis_personal'!#REF!</definedName>
    <definedName name="mercado_obj">'[6]Cotización-Análisis_personal'!#REF!</definedName>
    <definedName name="mercado_obj_a">'[1]Cotización-análisis_auto'!#REF!</definedName>
    <definedName name="mhtml_http___miredestrella_TasasyCargos_Documents_Tasas_20y_20Plazos_20junio_202016.mht" comment="ljhñuo">calculadora!$F$13</definedName>
    <definedName name="modelo_auto">'[1]Cotización-análisis_auto'!#REF!</definedName>
    <definedName name="Nombre" localSheetId="0">calculadora!#REF!</definedName>
    <definedName name="Nombre">#REF!</definedName>
    <definedName name="Nombre_a">[1]Cotización!$C$8</definedName>
    <definedName name="nombre_ejecnego" localSheetId="0">'[5]Cotización-Análisis_personal'!#REF!</definedName>
    <definedName name="nombre_ejecnego">'[6]Cotización-Análisis_personal'!#REF!</definedName>
    <definedName name="nueva_usada">'C.Tasa'!$C$13:$H$13</definedName>
    <definedName name="num_colab" localSheetId="0">'[5]Cotización-Análisis_personal'!$C$12</definedName>
    <definedName name="num_colab">'[6]Cotización-Análisis_personal'!$C$12</definedName>
    <definedName name="num_colab_ejec" localSheetId="0">'[5]Cotización-Análisis_personal'!#REF!</definedName>
    <definedName name="num_colab_ejec">'[6]Cotización-Análisis_personal'!#REF!</definedName>
    <definedName name="num_colab_ejec_a">'[1]Cotización-análisis_auto'!#REF!</definedName>
    <definedName name="num_ente" localSheetId="0">'[5]Cotización-Análisis_personal'!$K$6</definedName>
    <definedName name="num_ente">'[6]Cotización-Análisis_personal'!$K$6</definedName>
    <definedName name="num_ente_a">'[1]Cotización-análisis_auto'!#REF!</definedName>
    <definedName name="Oficina" localSheetId="26">Catálogos!$A$2:$A$89</definedName>
    <definedName name="Oficina" localSheetId="33">Catálogos!$A$2:$A$89</definedName>
    <definedName name="Oficina" localSheetId="17">[2]Catálogos!$A$2:$A$87</definedName>
    <definedName name="Oficina" localSheetId="24">[3]Catálogos!$A$2:$A$89</definedName>
    <definedName name="Oficina" localSheetId="19">[4]Catálogos!$A$2:$A$75</definedName>
    <definedName name="Oficina">Catálogos!$A$2:$A$89</definedName>
    <definedName name="opcion">[6]Información_listas!#REF!</definedName>
    <definedName name="pago_elegir" localSheetId="0">calculadora!#REF!</definedName>
    <definedName name="pago_elegir">#REF!</definedName>
    <definedName name="pago_elige">[1]Cotización!$K$12</definedName>
    <definedName name="panama" localSheetId="33">'6.Promotores Hacen Escritura'!$B$6:$B$108</definedName>
    <definedName name="panama" localSheetId="17">'[2]6.Promotores Hacen Escritura'!$B$6:$B$108</definedName>
    <definedName name="panama" localSheetId="24">'[3]6.Promotores Hacen Escritura'!$B$6:$B$108</definedName>
    <definedName name="panama">'6.Promotores Hacen Escritura'!$B$6:$B$108</definedName>
    <definedName name="participante" localSheetId="26">Catálogos!$W$2:$W$5</definedName>
    <definedName name="participante" localSheetId="33">Catálogos!$W$2:$W$5</definedName>
    <definedName name="participante" localSheetId="17">[2]Catálogos!$W$2:$W$5</definedName>
    <definedName name="participante" localSheetId="24">[3]Catálogos!$W$2:$W$5</definedName>
    <definedName name="participante" localSheetId="19">[4]Catálogos!$V$2:$V$5</definedName>
    <definedName name="participante">Catálogos!$W$2:$W$5</definedName>
    <definedName name="plazo_auto">[1]Cotización!$E$41</definedName>
    <definedName name="plazo_dic" localSheetId="0">calculadora!#REF!</definedName>
    <definedName name="plazo_dic">#REF!</definedName>
    <definedName name="plazo_diciembre">[1]Cotización!#REF!</definedName>
    <definedName name="Pol_incendio" localSheetId="26">Catálogos!$AE$2:$AE$3</definedName>
    <definedName name="Pol_incendio" localSheetId="33">Catálogos!$AE$2:$AE$3</definedName>
    <definedName name="Pol_incendio" localSheetId="17">[2]Catálogos!$AE$2:$AE$3</definedName>
    <definedName name="Pol_incendio" localSheetId="24">[3]Catálogos!$AE$2:$AE$3</definedName>
    <definedName name="Pol_incendio" localSheetId="19">[4]Catálogos!$AD$2:$AD$3</definedName>
    <definedName name="Pol_incendio">Catálogos!$AE$2:$AE$3</definedName>
    <definedName name="politica" localSheetId="33">Catálogos!$E$68:$E$72</definedName>
    <definedName name="politica" localSheetId="17">[2]Catálogos!$E$68:$E$72</definedName>
    <definedName name="politica" localSheetId="24">[3]Catálogos!$E$68:$E$72</definedName>
    <definedName name="politica">Catálogos!$E$68:$E$72</definedName>
    <definedName name="politica_comb_2" localSheetId="33">Catálogos!$E$68:$G$72</definedName>
    <definedName name="politica_comb_2" localSheetId="17">[2]Catálogos!$E$68:$G$72</definedName>
    <definedName name="politica_comb_2" localSheetId="24">[3]Catálogos!$E$68:$G$72</definedName>
    <definedName name="politica_comb_2">Catálogos!$E$68:$G$72</definedName>
    <definedName name="póliza">[1]Cotización!$K$24</definedName>
    <definedName name="Póliza_auto">[1]Datos_lista!$G$15:$G$17</definedName>
    <definedName name="préstamo" localSheetId="0">'[5]Cotización-Análisis_personal'!#REF!</definedName>
    <definedName name="préstamo">'[6]Cotización-Análisis_personal'!#REF!</definedName>
    <definedName name="préstamo_a">'[1]Cotización-análisis_auto'!#REF!</definedName>
    <definedName name="programa" localSheetId="26">Catálogos!$D$15:$D$18</definedName>
    <definedName name="programa" localSheetId="33">Catálogos!$D$15:$D$19</definedName>
    <definedName name="programa" localSheetId="17">[2]Catálogos!$D$15:$D$19</definedName>
    <definedName name="programa" localSheetId="24">[3]Catálogos!$D$15:$D$19</definedName>
    <definedName name="programa" localSheetId="19">[4]Catálogos!$D$15:$D$17</definedName>
    <definedName name="programa">Catálogos!$D$15:$D$19</definedName>
    <definedName name="Propósito" localSheetId="0">[5]Información_listas!$I$5:$I$13</definedName>
    <definedName name="Propósito_auto">'[1]Cotización-análisis_auto'!#REF!</definedName>
    <definedName name="propósito_prest" localSheetId="0">'[5]Cotización-Análisis_personal'!$B$58</definedName>
    <definedName name="propósito_prest">'[6]Cotización-Análisis_personal'!$B$58</definedName>
    <definedName name="propositos" localSheetId="0">[5]Información_listas!$I$5:$I$14</definedName>
    <definedName name="propositos">[6]Información_listas!$I$5:$I$14</definedName>
    <definedName name="prueba">Catálogos!$R$3:$R$5</definedName>
    <definedName name="recargo" localSheetId="0">'[5]Cotización-Análisis_personal'!$K$14</definedName>
    <definedName name="recargo">'[6]Cotización-Análisis_personal'!$K$14</definedName>
    <definedName name="recargo_a">[1]Cotización!$K$16</definedName>
    <definedName name="recargo1" localSheetId="0">calculadora!#REF!</definedName>
    <definedName name="recargo1">#REF!</definedName>
    <definedName name="referencias_a">'[1]Cotización-análisis_auto'!#REF!</definedName>
    <definedName name="relacion" localSheetId="17">[2]Catálogos!$E$141:$E$143</definedName>
    <definedName name="relacion" localSheetId="24">[3]Catálogos!$E$141:$E$143</definedName>
    <definedName name="relacion">Catálogos!$E$141:$E$143</definedName>
    <definedName name="relación" localSheetId="26">Catálogos!$B$43:$B$66</definedName>
    <definedName name="relación" localSheetId="33">Catálogos!$B$43:$B$66</definedName>
    <definedName name="relación" localSheetId="17">[2]Catálogos!$B$43:$B$66</definedName>
    <definedName name="relación" localSheetId="24">[3]Catálogos!$B$43:$B$66</definedName>
    <definedName name="relación" localSheetId="19">[4]Catálogos!$B$43:$B$66</definedName>
    <definedName name="relación">Catálogos!$B$43:$B$66</definedName>
    <definedName name="Renovación" localSheetId="26">Catálogos!$E$38:$E$39</definedName>
    <definedName name="Renovación" localSheetId="33">Catálogos!$E$38:$E$39</definedName>
    <definedName name="Renovación" localSheetId="17">[2]Catálogos!$E$38:$E$39</definedName>
    <definedName name="Renovación" localSheetId="24">[3]Catálogos!$E$38:$E$39</definedName>
    <definedName name="Renovación" localSheetId="19">[4]Catálogos!$E$38:$E$39</definedName>
    <definedName name="Renovación">Catálogos!$E$38:$E$39</definedName>
    <definedName name="salario" localSheetId="0">calculadora!#REF!</definedName>
    <definedName name="salario">#REF!</definedName>
    <definedName name="salario2">[1]Cotización!$K$18</definedName>
    <definedName name="segmento" localSheetId="17">[2]Catálogos!$E$132:$E$137</definedName>
    <definedName name="segmento" localSheetId="24">[3]Catálogos!$E$132:$E$137</definedName>
    <definedName name="segmento">Catálogos!$E$132:$E$137</definedName>
    <definedName name="Seguro" localSheetId="0">[5]Información_listas!$C$15:$C$17</definedName>
    <definedName name="Seguro">[1]Datos_lista!$G$4:$G$6</definedName>
    <definedName name="seguro_selec">[1]Cotización!$K$14</definedName>
    <definedName name="seguro_selección" localSheetId="0">#REF!</definedName>
    <definedName name="seguro_selección">#REF!</definedName>
    <definedName name="seguro_seleccionar" localSheetId="0">calculadora!#REF!</definedName>
    <definedName name="seguro_seleccionar">#REF!</definedName>
    <definedName name="sss" localSheetId="26">#REF!</definedName>
    <definedName name="sss" localSheetId="33">#REF!</definedName>
    <definedName name="sss" localSheetId="17">#REF!</definedName>
    <definedName name="sss" localSheetId="5">#REF!</definedName>
    <definedName name="sss" localSheetId="6">#REF!</definedName>
    <definedName name="sss" localSheetId="7">#REF!</definedName>
    <definedName name="sss">#REF!</definedName>
    <definedName name="sucursales" localSheetId="17">[2]Catálogos!$A$2:$A$122</definedName>
    <definedName name="sucursales" localSheetId="13">[7]base!$Q$2:$Q$78</definedName>
    <definedName name="sucursales" localSheetId="12">[7]base!$Q$2:$Q$78</definedName>
    <definedName name="sucursales">Catálogos!$A$2:$A$125</definedName>
    <definedName name="tasa_banco" localSheetId="0">'[5]Cotización-Análisis_personal'!$C$23</definedName>
    <definedName name="tasa_banco">'[6]Cotización-Análisis_personal'!$C$23</definedName>
    <definedName name="tasa1" localSheetId="0">calculadora!$E$13</definedName>
    <definedName name="tasa1">#REF!</definedName>
    <definedName name="tasa2">[1]Cotización!$E$38</definedName>
    <definedName name="Tasas" localSheetId="0">[5]Información_listas!$D$15:$D$18</definedName>
    <definedName name="Tasas">[9]Información_listas!$D$15:$D$18</definedName>
    <definedName name="terreno">Catálogos!$E$95:$E$96</definedName>
    <definedName name="tiempo_actual" localSheetId="0">calculadora!#REF!</definedName>
    <definedName name="tiempo_actual">#REF!</definedName>
    <definedName name="tiempo_actual_a">[1]Cotización!$C$20</definedName>
    <definedName name="tiempo_anterior" localSheetId="0">calculadora!#REF!</definedName>
    <definedName name="tiempo_anterior">#REF!</definedName>
    <definedName name="tiempo_anterior_a">[1]Cotización!$C$22</definedName>
    <definedName name="tipo">[6]Información_listas!$P$17:$P$18</definedName>
    <definedName name="tipo_auto">'[1]Cotización-análisis_auto'!#REF!</definedName>
    <definedName name="tipo_cliente" localSheetId="33">Catálogos!$E$75:$E$82</definedName>
    <definedName name="tipo_cliente" localSheetId="17">[2]Catálogos!$E$75:$E$82</definedName>
    <definedName name="tipo_cliente" localSheetId="24">[3]Catálogos!$E$75:$E$82</definedName>
    <definedName name="tipo_cliente">Catálogos!$E$75:$E$82</definedName>
    <definedName name="Tipo_contacto" localSheetId="0">[5]Información_listas!$D$23:$D$26</definedName>
    <definedName name="Tipo_contacto">[1]Datos_lista!$E$15:$E$18</definedName>
    <definedName name="tipo_de_préstamo">[1]Datos_lista!$D$4:$D$6</definedName>
    <definedName name="tipo_excepción_a">'[1]Cotización-análisis_auto'!#REF!</definedName>
    <definedName name="tipo_garantía" localSheetId="26">Catálogos!$F$2:$F$4</definedName>
    <definedName name="tipo_garantía" localSheetId="33">Catálogos!$F$2:$F$4</definedName>
    <definedName name="tipo_garantía" localSheetId="17">[2]Catálogos!$F$2:$F$4</definedName>
    <definedName name="tipo_garantía" localSheetId="24">[3]Catálogos!$F$2:$F$4</definedName>
    <definedName name="tipo_garantía" localSheetId="13">[7]base!$N$2:$N$3</definedName>
    <definedName name="tipo_garantía" localSheetId="19">[4]Catálogos!$F$2:$F$3</definedName>
    <definedName name="tipo_garantía" localSheetId="12">[7]base!$N$2:$N$3</definedName>
    <definedName name="tipo_garantía">Catálogos!$F$2:$F$4</definedName>
    <definedName name="tipo_Referencias" localSheetId="0">[5]Información_listas!$C$23:$C$26</definedName>
    <definedName name="trabajo" localSheetId="0">calculadora!#REF!</definedName>
    <definedName name="trabajo">#REF!</definedName>
    <definedName name="trabajo_a">[1]Cotización!$C$18</definedName>
    <definedName name="ubi_promotor" localSheetId="33">Catálogos!$E$104:$E$105</definedName>
    <definedName name="ubi_promotor" localSheetId="17">[2]Catálogos!$E$104:$E$105</definedName>
    <definedName name="ubi_promotor" localSheetId="24">[3]Catálogos!$E$104:$E$105</definedName>
    <definedName name="ubi_promotor">Catálogos!$E$104:$E$105</definedName>
    <definedName name="usada" localSheetId="26">Catálogos!$Z$3</definedName>
    <definedName name="usada" localSheetId="33">Catálogos!$Z$3</definedName>
    <definedName name="usada" localSheetId="17">[2]Catálogos!$Z$3</definedName>
    <definedName name="usada" localSheetId="24">[3]Catálogos!$Z$3</definedName>
    <definedName name="usada" localSheetId="19">[4]Catálogos!$Y$3</definedName>
    <definedName name="usada">Catálogos!$Z$3</definedName>
    <definedName name="uso_propiedad" localSheetId="26">Catálogos!$B$38:$B$40</definedName>
    <definedName name="uso_propiedad" localSheetId="33">Catálogos!$B$38:$B$40</definedName>
    <definedName name="uso_propiedad" localSheetId="17">[2]Catálogos!$B$38:$B$40</definedName>
    <definedName name="uso_propiedad" localSheetId="24">[3]Catálogos!$B$38:$B$40</definedName>
    <definedName name="uso_propiedad" localSheetId="19">[4]Catálogos!$B$38:$B$40</definedName>
    <definedName name="uso_propiedad">Catálogos!$B$38:$B$40</definedName>
    <definedName name="vacacional">'C.Tasa'!$C$15:$F$15</definedName>
    <definedName name="valor_auto">[1]Cotización!$K$22</definedName>
    <definedName name="Ver">calculadora!$F$13</definedName>
    <definedName name="Ver_Tasas">calculadora!$F$13</definedName>
    <definedName name="vida" localSheetId="26">Catálogos!$C$38:$C$39</definedName>
    <definedName name="vida" localSheetId="33">Catálogos!$C$38:$C$39</definedName>
    <definedName name="vida" localSheetId="17">[2]Catálogos!$C$38:$C$39</definedName>
    <definedName name="vida" localSheetId="24">[3]Catálogos!$C$38:$C$39</definedName>
    <definedName name="vida" localSheetId="19">[4]Catálogos!$C$38:$C$39</definedName>
    <definedName name="vida">Catálogos!$C$38:$C$39</definedName>
  </definedNames>
  <calcPr calcId="152511"/>
</workbook>
</file>

<file path=xl/calcChain.xml><?xml version="1.0" encoding="utf-8"?>
<calcChain xmlns="http://schemas.openxmlformats.org/spreadsheetml/2006/main">
  <c r="F9" i="131" l="1"/>
  <c r="F8" i="131"/>
  <c r="F7" i="131"/>
  <c r="F5" i="131"/>
  <c r="F4" i="131"/>
  <c r="F2" i="131"/>
  <c r="E11" i="130" l="1"/>
  <c r="F3" i="131"/>
  <c r="F16" i="1"/>
  <c r="C42" i="1" l="1"/>
  <c r="C55" i="1" l="1"/>
  <c r="K2" i="1" l="1"/>
  <c r="C16" i="1"/>
  <c r="C33" i="1" l="1"/>
  <c r="F7" i="130"/>
  <c r="F10" i="131" l="1"/>
  <c r="F6" i="131"/>
  <c r="A1" i="131" l="1"/>
  <c r="F12" i="130" s="1"/>
  <c r="E14" i="130"/>
  <c r="H4" i="115"/>
  <c r="B4" i="115"/>
  <c r="F11" i="130" l="1"/>
  <c r="E13" i="130" s="1"/>
  <c r="F9" i="130"/>
  <c r="E54" i="80"/>
  <c r="E53" i="80"/>
  <c r="D24" i="50"/>
  <c r="R22" i="1"/>
  <c r="E12" i="130" l="1"/>
  <c r="J950" i="4"/>
  <c r="J947" i="4"/>
  <c r="J944" i="4"/>
  <c r="J941" i="4"/>
  <c r="J938" i="4"/>
  <c r="J935" i="4"/>
  <c r="J932" i="4"/>
  <c r="J929" i="4"/>
  <c r="J926" i="4"/>
  <c r="J923" i="4"/>
  <c r="J920" i="4"/>
  <c r="J917" i="4"/>
  <c r="J985" i="4"/>
  <c r="J983" i="4"/>
  <c r="J984" i="4"/>
  <c r="J982" i="4"/>
  <c r="J981" i="4"/>
  <c r="J980" i="4"/>
  <c r="J979" i="4"/>
  <c r="J978" i="4"/>
  <c r="J977" i="4"/>
  <c r="J976" i="4"/>
  <c r="J974" i="4"/>
  <c r="J975" i="4"/>
  <c r="J973" i="4"/>
  <c r="J972" i="4"/>
  <c r="J971" i="4"/>
  <c r="J970" i="4"/>
  <c r="J969" i="4"/>
  <c r="J968" i="4"/>
  <c r="J951" i="4"/>
  <c r="J948" i="4"/>
  <c r="J945" i="4"/>
  <c r="J942" i="4"/>
  <c r="J939" i="4"/>
  <c r="J936" i="4"/>
  <c r="J933" i="4"/>
  <c r="J930" i="4"/>
  <c r="J927" i="4"/>
  <c r="J924" i="4"/>
  <c r="J921" i="4"/>
  <c r="J918" i="4"/>
  <c r="R30" i="1"/>
  <c r="D43" i="1" s="1"/>
  <c r="H44" i="1" l="1"/>
  <c r="R14" i="1"/>
  <c r="S14" i="1"/>
  <c r="E49" i="92"/>
  <c r="E48" i="92"/>
  <c r="AL57" i="5"/>
  <c r="AL56" i="5"/>
  <c r="AL55" i="5"/>
  <c r="AL54" i="5"/>
  <c r="AL53" i="5"/>
  <c r="AL52" i="5"/>
  <c r="AL51" i="5"/>
  <c r="AL58" i="5"/>
  <c r="AH58" i="5"/>
  <c r="AK58" i="5"/>
  <c r="AH57" i="5"/>
  <c r="AK57" i="5"/>
  <c r="AH56" i="5"/>
  <c r="AK56" i="5"/>
  <c r="AH55" i="5"/>
  <c r="AK55" i="5"/>
  <c r="AH54" i="5"/>
  <c r="AK54" i="5"/>
  <c r="AH53" i="5"/>
  <c r="AK53" i="5"/>
  <c r="AH52" i="5"/>
  <c r="AK52" i="5"/>
  <c r="AH51" i="5"/>
  <c r="AK51" i="5"/>
  <c r="P51" i="5"/>
  <c r="P52" i="5"/>
  <c r="P53" i="5"/>
  <c r="P54" i="5"/>
  <c r="P55" i="5"/>
  <c r="P56" i="5"/>
  <c r="P57" i="5"/>
  <c r="P58" i="5"/>
  <c r="J214" i="4"/>
  <c r="J215" i="4"/>
  <c r="J216" i="4"/>
  <c r="J217" i="4"/>
  <c r="J524" i="4"/>
  <c r="J525" i="4"/>
  <c r="J526" i="4"/>
  <c r="J527" i="4"/>
  <c r="J695" i="4"/>
  <c r="J696" i="4"/>
  <c r="J697" i="4"/>
  <c r="J698" i="4"/>
  <c r="J815" i="4"/>
  <c r="J816" i="4"/>
  <c r="J817" i="4"/>
  <c r="J818" i="4"/>
  <c r="J218" i="4"/>
  <c r="J219" i="4"/>
  <c r="J220" i="4"/>
  <c r="J221" i="4"/>
  <c r="J222" i="4"/>
  <c r="J223" i="4"/>
  <c r="J224" i="4"/>
  <c r="J225" i="4"/>
  <c r="J226" i="4"/>
  <c r="J227" i="4"/>
  <c r="J228" i="4"/>
  <c r="J229" i="4"/>
  <c r="J230" i="4"/>
  <c r="J231" i="4"/>
  <c r="J528" i="4"/>
  <c r="J529" i="4"/>
  <c r="J530" i="4"/>
  <c r="J531" i="4"/>
  <c r="J532" i="4"/>
  <c r="J533" i="4"/>
  <c r="J534" i="4"/>
  <c r="J535" i="4"/>
  <c r="J536" i="4"/>
  <c r="J537" i="4"/>
  <c r="J538" i="4"/>
  <c r="J539" i="4"/>
  <c r="J540" i="4"/>
  <c r="J541" i="4"/>
  <c r="J699" i="4"/>
  <c r="J700" i="4"/>
  <c r="J701" i="4"/>
  <c r="J702" i="4"/>
  <c r="J703" i="4"/>
  <c r="J704" i="4"/>
  <c r="J705" i="4"/>
  <c r="J706" i="4"/>
  <c r="J707" i="4"/>
  <c r="J708" i="4"/>
  <c r="J709" i="4"/>
  <c r="J710" i="4"/>
  <c r="J711" i="4"/>
  <c r="J712" i="4"/>
  <c r="J819" i="4"/>
  <c r="J820" i="4"/>
  <c r="J821" i="4"/>
  <c r="J822" i="4"/>
  <c r="J823" i="4"/>
  <c r="J824" i="4"/>
  <c r="J825" i="4"/>
  <c r="J826" i="4"/>
  <c r="J827" i="4"/>
  <c r="J828" i="4"/>
  <c r="J829" i="4"/>
  <c r="J830" i="4"/>
  <c r="J832" i="4"/>
  <c r="J831" i="4"/>
  <c r="J956" i="4"/>
  <c r="J957" i="4"/>
  <c r="J958" i="4"/>
  <c r="J959" i="4"/>
  <c r="J960" i="4"/>
  <c r="J961" i="4"/>
  <c r="J962" i="4"/>
  <c r="J963" i="4"/>
  <c r="J964" i="4"/>
  <c r="J965" i="4"/>
  <c r="J966" i="4"/>
  <c r="J967" i="4"/>
  <c r="R1" i="1"/>
  <c r="D33" i="1" l="1"/>
  <c r="E20" i="1"/>
  <c r="D44" i="1"/>
  <c r="J475" i="4"/>
  <c r="J476" i="4"/>
  <c r="J477" i="4"/>
  <c r="J167" i="4"/>
  <c r="J166" i="4"/>
  <c r="J165" i="4"/>
  <c r="J154" i="4"/>
  <c r="C198" i="3"/>
  <c r="C199" i="3"/>
  <c r="C200" i="3"/>
  <c r="C201" i="3"/>
  <c r="C202" i="3"/>
  <c r="C203" i="3"/>
  <c r="C204" i="3"/>
  <c r="C205" i="3"/>
  <c r="C206" i="3"/>
  <c r="C207" i="3"/>
  <c r="C208" i="3"/>
  <c r="C209" i="3"/>
  <c r="C210" i="3"/>
  <c r="C211" i="3"/>
  <c r="C212" i="3"/>
  <c r="C213" i="3"/>
  <c r="C214" i="3"/>
  <c r="A198" i="3"/>
  <c r="A199" i="3"/>
  <c r="A200" i="3"/>
  <c r="A201" i="3"/>
  <c r="A202" i="3"/>
  <c r="A203" i="3"/>
  <c r="A204" i="3"/>
  <c r="A205" i="3"/>
  <c r="A206" i="3"/>
  <c r="A207" i="3"/>
  <c r="A208" i="3"/>
  <c r="A209" i="3"/>
  <c r="A210" i="3"/>
  <c r="A211" i="3"/>
  <c r="A212" i="3"/>
  <c r="A213" i="3"/>
  <c r="A214" i="3"/>
  <c r="H149" i="1"/>
  <c r="F30" i="50" l="1"/>
  <c r="F29" i="50"/>
  <c r="F28" i="10"/>
  <c r="F27" i="10"/>
  <c r="B114" i="3"/>
  <c r="C39" i="1" l="1"/>
  <c r="C41" i="1" l="1"/>
  <c r="E46" i="86"/>
  <c r="E45" i="86"/>
  <c r="E49" i="85"/>
  <c r="E48" i="85"/>
  <c r="E48" i="83"/>
  <c r="E47" i="83"/>
  <c r="E52" i="82"/>
  <c r="E51" i="82"/>
  <c r="E51" i="81"/>
  <c r="E50" i="81"/>
  <c r="E49" i="79"/>
  <c r="E48" i="79"/>
  <c r="E45" i="78"/>
  <c r="E46" i="78"/>
  <c r="E37" i="77"/>
  <c r="E36" i="77"/>
  <c r="E50" i="1" l="1"/>
  <c r="J38" i="49" l="1"/>
  <c r="E28" i="10"/>
  <c r="B25" i="67" l="1"/>
  <c r="B24" i="67"/>
  <c r="B22" i="67"/>
  <c r="B21" i="67"/>
  <c r="B19" i="67"/>
  <c r="B18" i="67"/>
  <c r="B15" i="67"/>
  <c r="B16" i="67"/>
  <c r="A7" i="73" l="1"/>
  <c r="R26" i="49"/>
  <c r="S26" i="49" s="1"/>
  <c r="F28" i="50" l="1"/>
  <c r="A8" i="73"/>
  <c r="A14" i="73"/>
  <c r="A13" i="73"/>
  <c r="A11" i="73"/>
  <c r="A12" i="73"/>
  <c r="A9" i="73"/>
  <c r="A10" i="73"/>
  <c r="R4" i="1" l="1"/>
  <c r="G20" i="1"/>
  <c r="R3" i="1" s="1"/>
  <c r="R20" i="1"/>
  <c r="R21" i="1"/>
  <c r="R33" i="1"/>
  <c r="C25" i="50"/>
  <c r="H46" i="49"/>
  <c r="R30" i="49" s="1"/>
  <c r="S30" i="49" s="1"/>
  <c r="F32" i="50" s="1"/>
  <c r="H44" i="49"/>
  <c r="R29" i="49" s="1"/>
  <c r="S29" i="49" s="1"/>
  <c r="F31" i="50" s="1"/>
  <c r="H42" i="49"/>
  <c r="R58" i="49" s="1"/>
  <c r="S59" i="49" s="1"/>
  <c r="H40" i="49"/>
  <c r="R28" i="49" s="1"/>
  <c r="H34" i="49"/>
  <c r="H32" i="49"/>
  <c r="S31" i="49" l="1"/>
  <c r="F33" i="50" s="1"/>
  <c r="F103" i="49"/>
  <c r="R59" i="49"/>
  <c r="D21" i="50"/>
  <c r="B103" i="49"/>
  <c r="R73" i="49"/>
  <c r="R72" i="49"/>
  <c r="R71" i="49"/>
  <c r="R70" i="49"/>
  <c r="S70" i="49" s="1"/>
  <c r="S71" i="49" l="1"/>
  <c r="R66" i="49"/>
  <c r="S72" i="49" l="1"/>
  <c r="B227" i="3"/>
  <c r="B224" i="3"/>
  <c r="B225" i="3"/>
  <c r="B226" i="3"/>
  <c r="S73" i="49" l="1"/>
  <c r="X5" i="1"/>
  <c r="X4" i="1"/>
  <c r="X2" i="1"/>
  <c r="X3" i="1"/>
  <c r="J7" i="4"/>
  <c r="J10" i="4"/>
  <c r="J13" i="4"/>
  <c r="J16" i="4"/>
  <c r="J19" i="4"/>
  <c r="J22" i="4"/>
  <c r="J25" i="4"/>
  <c r="J28" i="4"/>
  <c r="J31" i="4"/>
  <c r="J34" i="4"/>
  <c r="J37" i="4"/>
  <c r="J40" i="4"/>
  <c r="J43" i="4"/>
  <c r="J46" i="4"/>
  <c r="J49" i="4"/>
  <c r="J56" i="4"/>
  <c r="J57" i="4"/>
  <c r="J58" i="4"/>
  <c r="J65" i="4"/>
  <c r="J66" i="4"/>
  <c r="J67" i="4"/>
  <c r="J74" i="4"/>
  <c r="J75" i="4"/>
  <c r="J76" i="4"/>
  <c r="J83" i="4"/>
  <c r="J84" i="4"/>
  <c r="J85" i="4"/>
  <c r="J92" i="4"/>
  <c r="J93" i="4"/>
  <c r="J94" i="4"/>
  <c r="J101" i="4"/>
  <c r="J102" i="4"/>
  <c r="J103" i="4"/>
  <c r="J106" i="4"/>
  <c r="J109" i="4"/>
  <c r="J112" i="4"/>
  <c r="J115" i="4"/>
  <c r="J122" i="4"/>
  <c r="J123" i="4"/>
  <c r="J124" i="4"/>
  <c r="J131" i="4"/>
  <c r="J132" i="4"/>
  <c r="J133" i="4"/>
  <c r="J142" i="4"/>
  <c r="J143" i="4"/>
  <c r="J144" i="4"/>
  <c r="J145" i="4"/>
  <c r="J155" i="4"/>
  <c r="J156" i="4"/>
  <c r="J157" i="4"/>
  <c r="J158" i="4"/>
  <c r="J174" i="4"/>
  <c r="J175" i="4"/>
  <c r="J176" i="4"/>
  <c r="J183" i="4"/>
  <c r="J184" i="4"/>
  <c r="J185" i="4"/>
  <c r="J192" i="4"/>
  <c r="J193" i="4"/>
  <c r="J194" i="4"/>
  <c r="J201" i="4"/>
  <c r="J202" i="4"/>
  <c r="J203" i="4"/>
  <c r="J211" i="4"/>
  <c r="J212" i="4"/>
  <c r="J213" i="4"/>
  <c r="J238" i="4"/>
  <c r="J239" i="4"/>
  <c r="J240" i="4"/>
  <c r="J243" i="4"/>
  <c r="J246" i="4"/>
  <c r="J249" i="4"/>
  <c r="J252" i="4"/>
  <c r="J255" i="4"/>
  <c r="J258" i="4"/>
  <c r="J261" i="4"/>
  <c r="J264" i="4"/>
  <c r="J267" i="4"/>
  <c r="J270" i="4"/>
  <c r="J273" i="4"/>
  <c r="J276" i="4"/>
  <c r="J284" i="4"/>
  <c r="J283" i="4"/>
  <c r="J285" i="4"/>
  <c r="J293" i="4"/>
  <c r="J292" i="4"/>
  <c r="J294" i="4"/>
  <c r="J301" i="4"/>
  <c r="J302" i="4"/>
  <c r="J303" i="4"/>
  <c r="J310" i="4"/>
  <c r="J311" i="4"/>
  <c r="J312" i="4"/>
  <c r="J4" i="4"/>
  <c r="J6" i="4"/>
  <c r="J9" i="4"/>
  <c r="J12" i="4"/>
  <c r="J15" i="4"/>
  <c r="J18" i="4"/>
  <c r="J21" i="4"/>
  <c r="J24" i="4"/>
  <c r="J27" i="4"/>
  <c r="J30" i="4"/>
  <c r="J33" i="4"/>
  <c r="J36" i="4"/>
  <c r="J39" i="4"/>
  <c r="J42" i="4"/>
  <c r="J45" i="4"/>
  <c r="J48" i="4"/>
  <c r="J53" i="4"/>
  <c r="J54" i="4"/>
  <c r="J55" i="4"/>
  <c r="J62" i="4"/>
  <c r="J63" i="4"/>
  <c r="J64" i="4"/>
  <c r="J71" i="4"/>
  <c r="J72" i="4"/>
  <c r="J73" i="4"/>
  <c r="J80" i="4"/>
  <c r="J81" i="4"/>
  <c r="J82" i="4"/>
  <c r="J89" i="4"/>
  <c r="J90" i="4"/>
  <c r="J91" i="4"/>
  <c r="J98" i="4"/>
  <c r="J99" i="4"/>
  <c r="J100" i="4"/>
  <c r="J105" i="4"/>
  <c r="J108" i="4"/>
  <c r="J111" i="4"/>
  <c r="J114" i="4"/>
  <c r="J119" i="4"/>
  <c r="J120" i="4"/>
  <c r="J121" i="4"/>
  <c r="J128" i="4"/>
  <c r="J129" i="4"/>
  <c r="J130" i="4"/>
  <c r="J138" i="4"/>
  <c r="J139" i="4"/>
  <c r="J140" i="4"/>
  <c r="J141" i="4"/>
  <c r="J150" i="4"/>
  <c r="J151" i="4"/>
  <c r="J152" i="4"/>
  <c r="J153" i="4"/>
  <c r="J162" i="4"/>
  <c r="J163" i="4"/>
  <c r="J164" i="4"/>
  <c r="J171" i="4"/>
  <c r="J172" i="4"/>
  <c r="J173" i="4"/>
  <c r="J180" i="4"/>
  <c r="J181" i="4"/>
  <c r="J182" i="4"/>
  <c r="J189" i="4"/>
  <c r="J190" i="4"/>
  <c r="J191" i="4"/>
  <c r="J198" i="4"/>
  <c r="J199" i="4"/>
  <c r="J200" i="4"/>
  <c r="J208" i="4"/>
  <c r="J209" i="4"/>
  <c r="J210" i="4"/>
  <c r="J235" i="4"/>
  <c r="J236" i="4"/>
  <c r="J237" i="4"/>
  <c r="J242" i="4"/>
  <c r="J245" i="4"/>
  <c r="J248" i="4"/>
  <c r="J251" i="4"/>
  <c r="J254" i="4"/>
  <c r="J257" i="4"/>
  <c r="J260" i="4"/>
  <c r="J263" i="4"/>
  <c r="J266" i="4"/>
  <c r="J269" i="4"/>
  <c r="J272" i="4"/>
  <c r="J275" i="4"/>
  <c r="J280" i="4"/>
  <c r="J281" i="4"/>
  <c r="J282" i="4"/>
  <c r="J289" i="4"/>
  <c r="J290" i="4"/>
  <c r="J291" i="4"/>
  <c r="J298" i="4"/>
  <c r="J299" i="4"/>
  <c r="J300" i="4"/>
  <c r="J307" i="4"/>
  <c r="J308" i="4"/>
  <c r="J309" i="4"/>
  <c r="J3" i="4"/>
  <c r="J5" i="4"/>
  <c r="J8" i="4"/>
  <c r="J11" i="4"/>
  <c r="J14" i="4"/>
  <c r="J17" i="4"/>
  <c r="J20" i="4"/>
  <c r="J23" i="4"/>
  <c r="J26" i="4"/>
  <c r="J29" i="4"/>
  <c r="J32" i="4"/>
  <c r="J35" i="4"/>
  <c r="J38" i="4"/>
  <c r="J41" i="4"/>
  <c r="J44" i="4"/>
  <c r="J47" i="4"/>
  <c r="J50" i="4"/>
  <c r="J51" i="4"/>
  <c r="J52" i="4"/>
  <c r="J59" i="4"/>
  <c r="J60" i="4"/>
  <c r="J61" i="4"/>
  <c r="J68" i="4"/>
  <c r="J69" i="4"/>
  <c r="J70" i="4"/>
  <c r="J77" i="4"/>
  <c r="J78" i="4"/>
  <c r="J79" i="4"/>
  <c r="J86" i="4"/>
  <c r="J87" i="4"/>
  <c r="J88" i="4"/>
  <c r="J95" i="4"/>
  <c r="J96" i="4"/>
  <c r="J97" i="4"/>
  <c r="J104" i="4"/>
  <c r="J107" i="4"/>
  <c r="J110" i="4"/>
  <c r="J113" i="4"/>
  <c r="J116" i="4"/>
  <c r="J117" i="4"/>
  <c r="J118" i="4"/>
  <c r="J125" i="4"/>
  <c r="J126" i="4"/>
  <c r="J127" i="4"/>
  <c r="J134" i="4"/>
  <c r="J135" i="4"/>
  <c r="J136" i="4"/>
  <c r="J137" i="4"/>
  <c r="J146" i="4"/>
  <c r="J147" i="4"/>
  <c r="J148" i="4"/>
  <c r="J149" i="4"/>
  <c r="J159" i="4"/>
  <c r="J160" i="4"/>
  <c r="J161" i="4"/>
  <c r="J168" i="4"/>
  <c r="J169" i="4"/>
  <c r="J170" i="4"/>
  <c r="J177" i="4"/>
  <c r="J178" i="4"/>
  <c r="J179" i="4"/>
  <c r="J186" i="4"/>
  <c r="J187" i="4"/>
  <c r="J188" i="4"/>
  <c r="J195" i="4"/>
  <c r="J196" i="4"/>
  <c r="J197" i="4"/>
  <c r="J204" i="4"/>
  <c r="J205" i="4"/>
  <c r="J206" i="4"/>
  <c r="J207" i="4"/>
  <c r="J232" i="4"/>
  <c r="J233" i="4"/>
  <c r="J234" i="4"/>
  <c r="J241" i="4"/>
  <c r="J244" i="4"/>
  <c r="J247" i="4"/>
  <c r="J250" i="4"/>
  <c r="J253" i="4"/>
  <c r="J256" i="4"/>
  <c r="J259" i="4"/>
  <c r="J262" i="4"/>
  <c r="J265" i="4"/>
  <c r="J268" i="4"/>
  <c r="J271" i="4"/>
  <c r="J274" i="4"/>
  <c r="J277" i="4"/>
  <c r="J278" i="4"/>
  <c r="J279" i="4"/>
  <c r="J286" i="4"/>
  <c r="J287" i="4"/>
  <c r="J288" i="4"/>
  <c r="J295" i="4"/>
  <c r="J296" i="4"/>
  <c r="J297" i="4"/>
  <c r="J304" i="4"/>
  <c r="J305" i="4"/>
  <c r="J306" i="4"/>
  <c r="J2" i="4"/>
  <c r="D32" i="50"/>
  <c r="H147" i="1"/>
  <c r="C226" i="3" l="1"/>
  <c r="C227" i="3" l="1"/>
  <c r="Q23" i="5"/>
  <c r="Q22" i="5"/>
  <c r="Q21" i="5"/>
  <c r="Q20" i="5"/>
  <c r="Q19" i="5"/>
  <c r="Q18" i="5"/>
  <c r="D25" i="7"/>
  <c r="F45" i="10"/>
  <c r="I10" i="10"/>
  <c r="I9" i="10"/>
  <c r="I8" i="10"/>
  <c r="I7" i="10"/>
  <c r="H10" i="10"/>
  <c r="H9" i="10"/>
  <c r="H8" i="10"/>
  <c r="H7" i="10"/>
  <c r="G10" i="10"/>
  <c r="G9" i="10"/>
  <c r="G8" i="10"/>
  <c r="G7" i="10"/>
  <c r="F10" i="10"/>
  <c r="F9" i="10"/>
  <c r="F8" i="10"/>
  <c r="F7" i="10"/>
  <c r="D10" i="10"/>
  <c r="D9" i="10"/>
  <c r="D8" i="10"/>
  <c r="D7" i="10"/>
  <c r="C10" i="10"/>
  <c r="C9" i="10"/>
  <c r="C8" i="10"/>
  <c r="C7" i="10"/>
  <c r="B10" i="10"/>
  <c r="B9" i="10"/>
  <c r="B8" i="10"/>
  <c r="B7" i="10"/>
  <c r="R14" i="49"/>
  <c r="C15" i="50"/>
  <c r="B15" i="50"/>
  <c r="C13" i="50"/>
  <c r="B13" i="50"/>
  <c r="C66" i="50"/>
  <c r="AB24" i="49"/>
  <c r="B24" i="50"/>
  <c r="S58" i="49"/>
  <c r="B25" i="50" s="1"/>
  <c r="I10" i="50"/>
  <c r="I9" i="50"/>
  <c r="I8" i="50"/>
  <c r="I7" i="50"/>
  <c r="H10" i="50"/>
  <c r="H9" i="50"/>
  <c r="H8" i="50"/>
  <c r="H7" i="50"/>
  <c r="G10" i="50"/>
  <c r="G9" i="50"/>
  <c r="G8" i="50"/>
  <c r="G7" i="50"/>
  <c r="F10" i="50"/>
  <c r="F9" i="50"/>
  <c r="F8" i="50"/>
  <c r="F7" i="50"/>
  <c r="D10" i="50"/>
  <c r="C10" i="50"/>
  <c r="D9" i="50"/>
  <c r="D8" i="50"/>
  <c r="D7" i="50"/>
  <c r="C9" i="50"/>
  <c r="C8" i="50"/>
  <c r="C7" i="50"/>
  <c r="B10" i="50"/>
  <c r="B9" i="50"/>
  <c r="B8" i="50"/>
  <c r="B7" i="50"/>
  <c r="D4" i="50"/>
  <c r="H65" i="50"/>
  <c r="C65" i="50"/>
  <c r="F48" i="50"/>
  <c r="B48" i="50"/>
  <c r="B46" i="50"/>
  <c r="B45" i="50"/>
  <c r="B44" i="50"/>
  <c r="F43" i="50"/>
  <c r="B43" i="50"/>
  <c r="F42" i="50"/>
  <c r="B42" i="50"/>
  <c r="F41" i="50"/>
  <c r="B41" i="50"/>
  <c r="C22" i="50"/>
  <c r="C20" i="50"/>
  <c r="AP30" i="49"/>
  <c r="AP29" i="49"/>
  <c r="AP28" i="49"/>
  <c r="AP27" i="49"/>
  <c r="AQ24" i="49"/>
  <c r="AP21" i="49"/>
  <c r="AQ21" i="49" s="1"/>
  <c r="AQ30" i="49" s="1"/>
  <c r="AP20" i="49"/>
  <c r="AQ20" i="49" s="1"/>
  <c r="AQ29" i="49" s="1"/>
  <c r="AP19" i="49"/>
  <c r="AQ19" i="49" s="1"/>
  <c r="AQ28" i="49" s="1"/>
  <c r="AP18" i="49"/>
  <c r="AQ18" i="49" s="1"/>
  <c r="AQ27" i="49" l="1"/>
  <c r="AQ32" i="49" s="1"/>
  <c r="AR32" i="49" s="1"/>
  <c r="AQ22" i="49"/>
  <c r="AR22" i="49" s="1"/>
  <c r="AF2" i="49" l="1"/>
  <c r="AY6" i="49"/>
  <c r="AV3" i="49"/>
  <c r="AX6" i="49"/>
  <c r="AX5" i="49"/>
  <c r="AY5" i="49" s="1"/>
  <c r="AZ5" i="49" s="1"/>
  <c r="BA5" i="49" s="1"/>
  <c r="AX4" i="49"/>
  <c r="AY4" i="49" s="1"/>
  <c r="AZ4" i="49" s="1"/>
  <c r="BA4" i="49" s="1"/>
  <c r="AX3" i="49"/>
  <c r="AY3" i="49" s="1"/>
  <c r="AZ3" i="49" s="1"/>
  <c r="B83" i="49"/>
  <c r="F83" i="49" s="1"/>
  <c r="AQ7" i="49"/>
  <c r="AQ6" i="49"/>
  <c r="H15" i="50" s="1"/>
  <c r="AQ5" i="49"/>
  <c r="H14" i="50" s="1"/>
  <c r="AQ4" i="49"/>
  <c r="H13" i="50" s="1"/>
  <c r="AQ3" i="49"/>
  <c r="AQ2" i="49"/>
  <c r="B159" i="3"/>
  <c r="S47" i="49"/>
  <c r="R47" i="49" s="1"/>
  <c r="R45" i="49"/>
  <c r="R37" i="49"/>
  <c r="Q30" i="49"/>
  <c r="AA31" i="49"/>
  <c r="AA32" i="49" s="1"/>
  <c r="AA33" i="49" s="1"/>
  <c r="R2" i="49"/>
  <c r="AB18" i="49"/>
  <c r="D34" i="3"/>
  <c r="Z13" i="49"/>
  <c r="Z8" i="49"/>
  <c r="R9" i="49"/>
  <c r="AC2" i="49"/>
  <c r="AB2" i="49"/>
  <c r="AA2" i="49"/>
  <c r="Z2" i="49"/>
  <c r="AC3" i="49"/>
  <c r="AB3" i="49"/>
  <c r="AA3" i="49"/>
  <c r="Z3" i="49"/>
  <c r="D31" i="50"/>
  <c r="AF3" i="49"/>
  <c r="T7" i="1"/>
  <c r="H60" i="49"/>
  <c r="F24" i="49"/>
  <c r="E24" i="49"/>
  <c r="R17" i="49"/>
  <c r="T10" i="49"/>
  <c r="R8" i="49"/>
  <c r="F44" i="50" s="1"/>
  <c r="C6" i="49"/>
  <c r="R5" i="49"/>
  <c r="R4" i="49"/>
  <c r="R3" i="49"/>
  <c r="R1" i="49"/>
  <c r="AC4" i="49" l="1"/>
  <c r="AZ6" i="49"/>
  <c r="BA6" i="49" s="1"/>
  <c r="H12" i="50"/>
  <c r="AR6" i="49"/>
  <c r="H16" i="50"/>
  <c r="AI6" i="49"/>
  <c r="E10" i="50"/>
  <c r="AR3" i="49"/>
  <c r="BA3" i="49"/>
  <c r="AY7" i="49"/>
  <c r="AR7" i="49"/>
  <c r="AR4" i="49"/>
  <c r="AC18" i="49"/>
  <c r="Z14" i="49" s="1"/>
  <c r="AA4" i="49"/>
  <c r="E8" i="50" s="1"/>
  <c r="AB4" i="49"/>
  <c r="E9" i="50" s="1"/>
  <c r="Z4" i="49"/>
  <c r="E7" i="50" s="1"/>
  <c r="AF4" i="49"/>
  <c r="R6" i="49"/>
  <c r="F50" i="49"/>
  <c r="E10" i="1"/>
  <c r="J673" i="4"/>
  <c r="J674" i="4"/>
  <c r="J675" i="4"/>
  <c r="J676" i="4"/>
  <c r="J692" i="4"/>
  <c r="J693" i="4"/>
  <c r="J694" i="4"/>
  <c r="J661" i="4"/>
  <c r="J662" i="4"/>
  <c r="J663" i="4"/>
  <c r="J664" i="4"/>
  <c r="J683" i="4"/>
  <c r="J684" i="4"/>
  <c r="J685" i="4"/>
  <c r="J650" i="4"/>
  <c r="J651" i="4"/>
  <c r="J652" i="4"/>
  <c r="J641" i="4"/>
  <c r="J642" i="4"/>
  <c r="J643" i="4"/>
  <c r="J731" i="4"/>
  <c r="J732" i="4"/>
  <c r="J733" i="4"/>
  <c r="J740" i="4"/>
  <c r="J741" i="4"/>
  <c r="J742" i="4"/>
  <c r="J715" i="4"/>
  <c r="J718" i="4"/>
  <c r="J721" i="4"/>
  <c r="J724" i="4"/>
  <c r="J625" i="4"/>
  <c r="J628" i="4"/>
  <c r="J631" i="4"/>
  <c r="J634" i="4"/>
  <c r="J793" i="4"/>
  <c r="J794" i="4"/>
  <c r="J795" i="4"/>
  <c r="J796" i="4"/>
  <c r="J812" i="4"/>
  <c r="J814" i="4"/>
  <c r="J813" i="4"/>
  <c r="J781" i="4"/>
  <c r="J782" i="4"/>
  <c r="J783" i="4"/>
  <c r="J784" i="4"/>
  <c r="J803" i="4"/>
  <c r="J804" i="4"/>
  <c r="J805" i="4"/>
  <c r="J770" i="4"/>
  <c r="J771" i="4"/>
  <c r="J772" i="4"/>
  <c r="J761" i="4"/>
  <c r="J762" i="4"/>
  <c r="J763" i="4"/>
  <c r="J851" i="4"/>
  <c r="J852" i="4"/>
  <c r="J853" i="4"/>
  <c r="J860" i="4"/>
  <c r="J861" i="4"/>
  <c r="J862" i="4"/>
  <c r="J835" i="4"/>
  <c r="J838" i="4"/>
  <c r="J841" i="4"/>
  <c r="J844" i="4"/>
  <c r="J745" i="4"/>
  <c r="J748" i="4"/>
  <c r="J751" i="4"/>
  <c r="J754" i="4"/>
  <c r="J896" i="4"/>
  <c r="J897" i="4"/>
  <c r="J898" i="4"/>
  <c r="J914" i="4"/>
  <c r="J915" i="4"/>
  <c r="J916" i="4"/>
  <c r="J887" i="4"/>
  <c r="J888" i="4"/>
  <c r="J889" i="4"/>
  <c r="J905" i="4"/>
  <c r="J906" i="4"/>
  <c r="J907" i="4"/>
  <c r="J943" i="4"/>
  <c r="J952" i="4"/>
  <c r="J955" i="4"/>
  <c r="J925" i="4"/>
  <c r="J934" i="4"/>
  <c r="J869" i="4"/>
  <c r="J870" i="4"/>
  <c r="J871" i="4"/>
  <c r="J878" i="4"/>
  <c r="J879" i="4"/>
  <c r="J880" i="4"/>
  <c r="J669" i="4"/>
  <c r="J670" i="4"/>
  <c r="J671" i="4"/>
  <c r="J672" i="4"/>
  <c r="J689" i="4"/>
  <c r="J690" i="4"/>
  <c r="J691" i="4"/>
  <c r="J657" i="4"/>
  <c r="J658" i="4"/>
  <c r="J659" i="4"/>
  <c r="J660" i="4"/>
  <c r="J680" i="4"/>
  <c r="J681" i="4"/>
  <c r="J682" i="4"/>
  <c r="J647" i="4"/>
  <c r="J648" i="4"/>
  <c r="J649" i="4"/>
  <c r="J638" i="4"/>
  <c r="J639" i="4"/>
  <c r="J640" i="4"/>
  <c r="J728" i="4"/>
  <c r="J729" i="4"/>
  <c r="J730" i="4"/>
  <c r="J737" i="4"/>
  <c r="J738" i="4"/>
  <c r="J739" i="4"/>
  <c r="J714" i="4"/>
  <c r="J717" i="4"/>
  <c r="J720" i="4"/>
  <c r="J723" i="4"/>
  <c r="J624" i="4"/>
  <c r="J627" i="4"/>
  <c r="J630" i="4"/>
  <c r="J633" i="4"/>
  <c r="J789" i="4"/>
  <c r="J790" i="4"/>
  <c r="J791" i="4"/>
  <c r="J792" i="4"/>
  <c r="J809" i="4"/>
  <c r="J811" i="4"/>
  <c r="J810" i="4"/>
  <c r="J777" i="4"/>
  <c r="J778" i="4"/>
  <c r="J779" i="4"/>
  <c r="J780" i="4"/>
  <c r="J800" i="4"/>
  <c r="J801" i="4"/>
  <c r="J802" i="4"/>
  <c r="J767" i="4"/>
  <c r="J768" i="4"/>
  <c r="J769" i="4"/>
  <c r="J758" i="4"/>
  <c r="J759" i="4"/>
  <c r="J760" i="4"/>
  <c r="J848" i="4"/>
  <c r="J849" i="4"/>
  <c r="J850" i="4"/>
  <c r="J857" i="4"/>
  <c r="J858" i="4"/>
  <c r="J859" i="4"/>
  <c r="J834" i="4"/>
  <c r="J837" i="4"/>
  <c r="J840" i="4"/>
  <c r="J843" i="4"/>
  <c r="J744" i="4"/>
  <c r="J747" i="4"/>
  <c r="J750" i="4"/>
  <c r="J753" i="4"/>
  <c r="J893" i="4"/>
  <c r="J894" i="4"/>
  <c r="J895" i="4"/>
  <c r="J911" i="4"/>
  <c r="J912" i="4"/>
  <c r="J913" i="4"/>
  <c r="J884" i="4"/>
  <c r="J885" i="4"/>
  <c r="J886" i="4"/>
  <c r="J902" i="4"/>
  <c r="J903" i="4"/>
  <c r="J904" i="4"/>
  <c r="J940" i="4"/>
  <c r="J949" i="4"/>
  <c r="J954" i="4"/>
  <c r="J922" i="4"/>
  <c r="J931" i="4"/>
  <c r="J866" i="4"/>
  <c r="J867" i="4"/>
  <c r="J868" i="4"/>
  <c r="J875" i="4"/>
  <c r="J876" i="4"/>
  <c r="J877" i="4"/>
  <c r="J785" i="4"/>
  <c r="J786" i="4"/>
  <c r="J787" i="4"/>
  <c r="J788" i="4"/>
  <c r="J806" i="4"/>
  <c r="J808" i="4"/>
  <c r="J807" i="4"/>
  <c r="J773" i="4"/>
  <c r="J774" i="4"/>
  <c r="J775" i="4"/>
  <c r="J776" i="4"/>
  <c r="J797" i="4"/>
  <c r="J798" i="4"/>
  <c r="J799" i="4"/>
  <c r="J764" i="4"/>
  <c r="J765" i="4"/>
  <c r="J766" i="4"/>
  <c r="J755" i="4"/>
  <c r="J756" i="4"/>
  <c r="J757" i="4"/>
  <c r="J845" i="4"/>
  <c r="J846" i="4"/>
  <c r="J847" i="4"/>
  <c r="J854" i="4"/>
  <c r="J855" i="4"/>
  <c r="J856" i="4"/>
  <c r="J833" i="4"/>
  <c r="J836" i="4"/>
  <c r="J839" i="4"/>
  <c r="J842" i="4"/>
  <c r="J743" i="4"/>
  <c r="J746" i="4"/>
  <c r="J749" i="4"/>
  <c r="J752" i="4"/>
  <c r="J890" i="4"/>
  <c r="J891" i="4"/>
  <c r="J892" i="4"/>
  <c r="J908" i="4"/>
  <c r="J909" i="4"/>
  <c r="J910" i="4"/>
  <c r="J881" i="4"/>
  <c r="J882" i="4"/>
  <c r="J883" i="4"/>
  <c r="J899" i="4"/>
  <c r="J900" i="4"/>
  <c r="J901" i="4"/>
  <c r="J937" i="4"/>
  <c r="J946" i="4"/>
  <c r="J953" i="4"/>
  <c r="J919" i="4"/>
  <c r="J928" i="4"/>
  <c r="J863" i="4"/>
  <c r="J864" i="4"/>
  <c r="J865" i="4"/>
  <c r="J872" i="4"/>
  <c r="J873" i="4"/>
  <c r="J874"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4" i="4"/>
  <c r="J593" i="4"/>
  <c r="J595" i="4"/>
  <c r="J596" i="4"/>
  <c r="J597" i="4"/>
  <c r="J598" i="4"/>
  <c r="J599" i="4"/>
  <c r="J600" i="4"/>
  <c r="J601" i="4"/>
  <c r="J603" i="4"/>
  <c r="J602" i="4"/>
  <c r="J604" i="4"/>
  <c r="J605" i="4"/>
  <c r="J606" i="4"/>
  <c r="J607" i="4"/>
  <c r="J608" i="4"/>
  <c r="J609" i="4"/>
  <c r="J610" i="4"/>
  <c r="J611" i="4"/>
  <c r="J612" i="4"/>
  <c r="J613" i="4"/>
  <c r="J614" i="4"/>
  <c r="J615" i="4"/>
  <c r="J616" i="4"/>
  <c r="J617" i="4"/>
  <c r="J618" i="4"/>
  <c r="J619" i="4"/>
  <c r="J620" i="4"/>
  <c r="J621" i="4"/>
  <c r="J622" i="4"/>
  <c r="J665" i="4"/>
  <c r="J666" i="4"/>
  <c r="J667" i="4"/>
  <c r="J668" i="4"/>
  <c r="J686" i="4"/>
  <c r="J687" i="4"/>
  <c r="J688" i="4"/>
  <c r="J653" i="4"/>
  <c r="J654" i="4"/>
  <c r="J655" i="4"/>
  <c r="J656" i="4"/>
  <c r="J677" i="4"/>
  <c r="J678" i="4"/>
  <c r="J679" i="4"/>
  <c r="J644" i="4"/>
  <c r="J645" i="4"/>
  <c r="J646" i="4"/>
  <c r="J635" i="4"/>
  <c r="J636" i="4"/>
  <c r="J637" i="4"/>
  <c r="J725" i="4"/>
  <c r="J726" i="4"/>
  <c r="J727" i="4"/>
  <c r="J734" i="4"/>
  <c r="J735" i="4"/>
  <c r="J736" i="4"/>
  <c r="J713" i="4"/>
  <c r="J716" i="4"/>
  <c r="J719" i="4"/>
  <c r="J722" i="4"/>
  <c r="J623" i="4"/>
  <c r="J626" i="4"/>
  <c r="J629" i="4"/>
  <c r="J632" i="4"/>
  <c r="J313" i="4"/>
  <c r="G34" i="1" l="1"/>
  <c r="E18" i="1"/>
  <c r="AZ7" i="49"/>
  <c r="BA7" i="49"/>
  <c r="H17" i="50" s="1"/>
  <c r="AM5" i="49"/>
  <c r="AJ6" i="49" s="1"/>
  <c r="D36" i="49"/>
  <c r="H36" i="49" s="1"/>
  <c r="R44" i="49" s="1"/>
  <c r="R46" i="49" s="1"/>
  <c r="D27" i="50"/>
  <c r="F27" i="50" s="1"/>
  <c r="R60" i="49"/>
  <c r="R61" i="49" s="1"/>
  <c r="AI5" i="49"/>
  <c r="AI4" i="49"/>
  <c r="AI3" i="49"/>
  <c r="Z9" i="49"/>
  <c r="D30" i="50" s="1"/>
  <c r="H103" i="49"/>
  <c r="R17" i="1"/>
  <c r="T10" i="1"/>
  <c r="AM4" i="49" l="1"/>
  <c r="AJ5" i="49" s="1"/>
  <c r="AM3" i="49"/>
  <c r="AJ4" i="49" s="1"/>
  <c r="AM2" i="49"/>
  <c r="AJ3" i="49" s="1"/>
  <c r="D28" i="50"/>
  <c r="S46" i="49"/>
  <c r="H92" i="1"/>
  <c r="C20" i="10"/>
  <c r="H63" i="1"/>
  <c r="I62" i="1" s="1"/>
  <c r="AJ7" i="49" l="1"/>
  <c r="R27" i="49" s="1"/>
  <c r="D29" i="50" s="1"/>
  <c r="E29" i="50" s="1"/>
  <c r="E10" i="3"/>
  <c r="B164" i="3"/>
  <c r="R31" i="49" l="1"/>
  <c r="AQ11" i="49"/>
  <c r="AQ10" i="49"/>
  <c r="E83" i="49" s="1"/>
  <c r="D37" i="50" s="1"/>
  <c r="AP97" i="5"/>
  <c r="AP98" i="5"/>
  <c r="AP99" i="5"/>
  <c r="AP100" i="5"/>
  <c r="AH94" i="5"/>
  <c r="AK94" i="5"/>
  <c r="AL94" i="5"/>
  <c r="AH95" i="5"/>
  <c r="AK95" i="5"/>
  <c r="AL95" i="5"/>
  <c r="AH96" i="5"/>
  <c r="AK96" i="5"/>
  <c r="AL96" i="5"/>
  <c r="AK93" i="5"/>
  <c r="AL93" i="5"/>
  <c r="AH93" i="5"/>
  <c r="AK102" i="5"/>
  <c r="AK103" i="5"/>
  <c r="AK104" i="5"/>
  <c r="AK101" i="5"/>
  <c r="AI102" i="5"/>
  <c r="AI103" i="5"/>
  <c r="AI104" i="5"/>
  <c r="AI101" i="5"/>
  <c r="Z104" i="5"/>
  <c r="Z103" i="5"/>
  <c r="Z102" i="5"/>
  <c r="Z101" i="5"/>
  <c r="Y94" i="5"/>
  <c r="Y93" i="5"/>
  <c r="X96" i="5"/>
  <c r="X95" i="5"/>
  <c r="X94" i="5"/>
  <c r="X93" i="5"/>
  <c r="P104" i="5"/>
  <c r="P103" i="5"/>
  <c r="P102" i="5"/>
  <c r="P101" i="5"/>
  <c r="P100" i="5"/>
  <c r="P99" i="5"/>
  <c r="P98" i="5"/>
  <c r="P97" i="5"/>
  <c r="P96" i="5"/>
  <c r="P95" i="5"/>
  <c r="P94" i="5"/>
  <c r="P93" i="5"/>
  <c r="H41" i="2"/>
  <c r="H40" i="2"/>
  <c r="H39" i="2"/>
  <c r="H38" i="2"/>
  <c r="H24" i="1"/>
  <c r="E24" i="1"/>
  <c r="D139" i="3" s="1"/>
  <c r="D35" i="50" l="1"/>
  <c r="H48" i="49"/>
  <c r="D103" i="49" s="1"/>
  <c r="C83" i="49"/>
  <c r="D38" i="50" s="1"/>
  <c r="AQ9" i="49"/>
  <c r="AR8" i="49"/>
  <c r="D33" i="50"/>
  <c r="E51" i="1"/>
  <c r="D39" i="1" l="1"/>
  <c r="R42" i="1"/>
  <c r="B43" i="1"/>
  <c r="C44" i="1"/>
  <c r="B37" i="1"/>
  <c r="H102" i="1"/>
  <c r="C102" i="1"/>
  <c r="B197" i="3" s="1"/>
  <c r="C101" i="1"/>
  <c r="E102" i="1"/>
  <c r="E101" i="1"/>
  <c r="G102" i="1"/>
  <c r="G101" i="1"/>
  <c r="B202" i="3"/>
  <c r="B201" i="3"/>
  <c r="B205" i="3"/>
  <c r="B209" i="3"/>
  <c r="B213" i="3"/>
  <c r="B200" i="3"/>
  <c r="B204" i="3"/>
  <c r="B208" i="3"/>
  <c r="B212" i="3"/>
  <c r="B199" i="3"/>
  <c r="B203" i="3"/>
  <c r="B207" i="3"/>
  <c r="B211" i="3"/>
  <c r="B206" i="3"/>
  <c r="B210" i="3"/>
  <c r="B214" i="3"/>
  <c r="B198" i="3"/>
  <c r="B33" i="1"/>
  <c r="D35" i="1"/>
  <c r="H18" i="10"/>
  <c r="F19" i="10"/>
  <c r="F20" i="10"/>
  <c r="F18" i="10"/>
  <c r="H152" i="1"/>
  <c r="G152" i="1"/>
  <c r="F152" i="1"/>
  <c r="N25" i="7" l="1"/>
  <c r="Q52" i="5"/>
  <c r="AD52" i="5" s="1"/>
  <c r="Q56" i="5"/>
  <c r="AD56" i="5" s="1"/>
  <c r="Q58" i="5"/>
  <c r="AD58" i="5" s="1"/>
  <c r="Q53" i="5"/>
  <c r="AD53" i="5" s="1"/>
  <c r="Q51" i="5"/>
  <c r="AD51" i="5" s="1"/>
  <c r="Q55" i="5"/>
  <c r="AD55" i="5" s="1"/>
  <c r="Q54" i="5"/>
  <c r="AD54" i="5" s="1"/>
  <c r="Q57" i="5"/>
  <c r="AD57" i="5" s="1"/>
  <c r="A197" i="3"/>
  <c r="C197" i="3"/>
  <c r="H21" i="10"/>
  <c r="C45" i="1"/>
  <c r="D40" i="1"/>
  <c r="D42" i="1"/>
  <c r="L31" i="3"/>
  <c r="Q16" i="5"/>
  <c r="Q17" i="5"/>
  <c r="C74" i="3"/>
  <c r="C75" i="3" s="1"/>
  <c r="D187" i="3"/>
  <c r="C187" i="3"/>
  <c r="C186" i="3"/>
  <c r="D186" i="3" s="1"/>
  <c r="C185" i="3"/>
  <c r="D185" i="3" s="1"/>
  <c r="C184" i="3"/>
  <c r="D184" i="3" s="1"/>
  <c r="A187" i="3"/>
  <c r="A186" i="3"/>
  <c r="A185" i="3"/>
  <c r="A184" i="3"/>
  <c r="B177" i="3"/>
  <c r="D140" i="3"/>
  <c r="D141" i="3"/>
  <c r="E187" i="3" l="1"/>
  <c r="F187" i="3" s="1"/>
  <c r="E186" i="3"/>
  <c r="F186" i="3" s="1"/>
  <c r="E185" i="3"/>
  <c r="F185" i="3" s="1"/>
  <c r="E184" i="3"/>
  <c r="F184" i="3" s="1"/>
  <c r="D188" i="3"/>
  <c r="D142" i="3"/>
  <c r="D143" i="3" s="1"/>
  <c r="E146" i="3" s="1"/>
  <c r="B146" i="3" l="1"/>
  <c r="F188" i="3"/>
  <c r="E188" i="3"/>
  <c r="H145" i="1" l="1"/>
  <c r="C151" i="1"/>
  <c r="C149" i="1"/>
  <c r="C147" i="1"/>
  <c r="C145" i="1"/>
  <c r="C143" i="1"/>
  <c r="I152" i="1"/>
  <c r="H20" i="10" l="1"/>
  <c r="C64" i="10"/>
  <c r="R8" i="1"/>
  <c r="I120" i="1"/>
  <c r="C63" i="10"/>
  <c r="F40" i="10" l="1"/>
  <c r="F39" i="10"/>
  <c r="F38" i="10"/>
  <c r="B45" i="10"/>
  <c r="B43" i="10"/>
  <c r="B42" i="10"/>
  <c r="B41" i="10"/>
  <c r="B40" i="10"/>
  <c r="B39" i="10"/>
  <c r="B38" i="10"/>
  <c r="H99" i="1" l="1"/>
  <c r="B132" i="1"/>
  <c r="Q95" i="5"/>
  <c r="AD95" i="5" s="1"/>
  <c r="Q96" i="5"/>
  <c r="AD96" i="5" s="1"/>
  <c r="Q93" i="5"/>
  <c r="Q94" i="5"/>
  <c r="AD94" i="5" s="1"/>
  <c r="D41" i="1"/>
  <c r="R15" i="1" s="1"/>
  <c r="B148" i="3"/>
  <c r="F25" i="10" s="1"/>
  <c r="C14" i="10"/>
  <c r="B14" i="10"/>
  <c r="C12" i="10"/>
  <c r="B12" i="10"/>
  <c r="L36" i="3" l="1"/>
  <c r="D25" i="10"/>
  <c r="B64" i="3"/>
  <c r="B22" i="10" s="1"/>
  <c r="B163" i="3"/>
  <c r="B162" i="3"/>
  <c r="B161" i="3"/>
  <c r="B160" i="3"/>
  <c r="H11" i="10" s="1"/>
  <c r="C163" i="3" l="1"/>
  <c r="C164" i="3"/>
  <c r="C64" i="3"/>
  <c r="C161" i="3"/>
  <c r="C160" i="3"/>
  <c r="C23" i="10" l="1"/>
  <c r="F41" i="10"/>
  <c r="C18" i="10"/>
  <c r="C19" i="10"/>
  <c r="H63" i="10"/>
  <c r="L16" i="3"/>
  <c r="D38" i="10" s="1"/>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AK71" i="5"/>
  <c r="AK72" i="5"/>
  <c r="AK73" i="5"/>
  <c r="AK74" i="5"/>
  <c r="AK75" i="5"/>
  <c r="AK76" i="5"/>
  <c r="AK77" i="5"/>
  <c r="AK78" i="5"/>
  <c r="AK79" i="5"/>
  <c r="AK80" i="5"/>
  <c r="AK81" i="5"/>
  <c r="AK82" i="5"/>
  <c r="AK83" i="5"/>
  <c r="AK84" i="5"/>
  <c r="AK85" i="5"/>
  <c r="AK86" i="5"/>
  <c r="AK87" i="5"/>
  <c r="AK88" i="5"/>
  <c r="AK89" i="5"/>
  <c r="AK90" i="5"/>
  <c r="AK91" i="5"/>
  <c r="AK92" i="5"/>
  <c r="AK70" i="5"/>
  <c r="AI71" i="5"/>
  <c r="AI72" i="5"/>
  <c r="AI73" i="5"/>
  <c r="AI74" i="5"/>
  <c r="AI75" i="5"/>
  <c r="AI76" i="5"/>
  <c r="AI77" i="5"/>
  <c r="AI78" i="5"/>
  <c r="AI79" i="5"/>
  <c r="AI80" i="5"/>
  <c r="AI81" i="5"/>
  <c r="AI82" i="5"/>
  <c r="AI83" i="5"/>
  <c r="AI84" i="5"/>
  <c r="AI85" i="5"/>
  <c r="AI86" i="5"/>
  <c r="AI87" i="5"/>
  <c r="AI88" i="5"/>
  <c r="AI89" i="5"/>
  <c r="AI90" i="5"/>
  <c r="AI91" i="5"/>
  <c r="AI92" i="5"/>
  <c r="AI70" i="5"/>
  <c r="AD81" i="5"/>
  <c r="AD82" i="5"/>
  <c r="AD83" i="5"/>
  <c r="AD84" i="5"/>
  <c r="AD85" i="5"/>
  <c r="AD86" i="5"/>
  <c r="AD87" i="5"/>
  <c r="AD88" i="5"/>
  <c r="AD89" i="5"/>
  <c r="AD90" i="5"/>
  <c r="AD91" i="5"/>
  <c r="AD92" i="5"/>
  <c r="Z71" i="5"/>
  <c r="AD71" i="5" s="1"/>
  <c r="Z72" i="5"/>
  <c r="AD72" i="5" s="1"/>
  <c r="Z73" i="5"/>
  <c r="AD73" i="5" s="1"/>
  <c r="Z74" i="5"/>
  <c r="AD74" i="5" s="1"/>
  <c r="Z75" i="5"/>
  <c r="AD75" i="5" s="1"/>
  <c r="Z76" i="5"/>
  <c r="AD76" i="5" s="1"/>
  <c r="Z77" i="5"/>
  <c r="AD77" i="5" s="1"/>
  <c r="Z78" i="5"/>
  <c r="AD78" i="5" s="1"/>
  <c r="Z79" i="5"/>
  <c r="AD79" i="5" s="1"/>
  <c r="Z80" i="5"/>
  <c r="AD80" i="5" s="1"/>
  <c r="Z70" i="5"/>
  <c r="AD70" i="5" s="1"/>
  <c r="AW92" i="5"/>
  <c r="AW91" i="5"/>
  <c r="AW90" i="5"/>
  <c r="AW89" i="5"/>
  <c r="AW88" i="5"/>
  <c r="AW87" i="5"/>
  <c r="AW86" i="5"/>
  <c r="AW85" i="5"/>
  <c r="AW84" i="5"/>
  <c r="AW83" i="5"/>
  <c r="AW82" i="5"/>
  <c r="AW81" i="5"/>
  <c r="AW80" i="5"/>
  <c r="AW79" i="5"/>
  <c r="AW78" i="5"/>
  <c r="AW77" i="5"/>
  <c r="AW76" i="5"/>
  <c r="AW75" i="5"/>
  <c r="AW74" i="5"/>
  <c r="AW73" i="5"/>
  <c r="AW72" i="5"/>
  <c r="AW71" i="5"/>
  <c r="AW70"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2" i="5"/>
  <c r="AH45" i="5"/>
  <c r="AK45" i="5"/>
  <c r="AL45" i="5"/>
  <c r="AH44" i="5"/>
  <c r="AK44" i="5"/>
  <c r="AL44" i="5"/>
  <c r="AL17" i="5"/>
  <c r="AL16" i="5"/>
  <c r="AK17" i="5"/>
  <c r="AK16" i="5"/>
  <c r="AH17" i="5"/>
  <c r="AH16" i="5"/>
  <c r="AH35" i="5"/>
  <c r="AK35" i="5"/>
  <c r="AL35" i="5"/>
  <c r="AH34" i="5"/>
  <c r="AK34" i="5"/>
  <c r="AL34" i="5"/>
  <c r="AH33" i="5"/>
  <c r="AK33" i="5"/>
  <c r="AL33" i="5"/>
  <c r="AH32" i="5"/>
  <c r="AK32" i="5"/>
  <c r="AL32" i="5"/>
  <c r="AH43" i="5"/>
  <c r="AK43" i="5"/>
  <c r="AL43" i="5"/>
  <c r="AH42" i="5"/>
  <c r="AK42" i="5"/>
  <c r="AL42" i="5"/>
  <c r="AH41" i="5"/>
  <c r="AK41" i="5"/>
  <c r="AL41" i="5"/>
  <c r="AH40" i="5"/>
  <c r="AK40" i="5"/>
  <c r="AL40" i="5"/>
  <c r="AH9" i="5"/>
  <c r="AK9" i="5"/>
  <c r="AL9" i="5"/>
  <c r="AH8" i="5"/>
  <c r="AK8" i="5"/>
  <c r="AL8" i="5"/>
  <c r="AH7" i="5"/>
  <c r="AK7" i="5"/>
  <c r="AL7" i="5"/>
  <c r="AH6" i="5"/>
  <c r="AK6" i="5"/>
  <c r="AL6" i="5"/>
  <c r="AH13" i="5"/>
  <c r="AK13" i="5"/>
  <c r="AL13" i="5"/>
  <c r="AL12" i="5"/>
  <c r="AK12" i="5"/>
  <c r="AH12" i="5"/>
  <c r="AK3" i="5"/>
  <c r="AL3" i="5"/>
  <c r="AL2" i="5"/>
  <c r="AK2" i="5"/>
  <c r="AH3" i="5"/>
  <c r="AH2" i="5"/>
  <c r="AH47" i="5"/>
  <c r="AH48" i="5"/>
  <c r="AH49" i="5"/>
  <c r="AH46" i="5"/>
  <c r="AH37" i="5"/>
  <c r="AH38" i="5"/>
  <c r="AH39" i="5"/>
  <c r="AH36" i="5"/>
  <c r="AH24" i="5"/>
  <c r="AH25" i="5"/>
  <c r="AH26" i="5"/>
  <c r="AH27" i="5"/>
  <c r="AH28" i="5"/>
  <c r="AH29" i="5"/>
  <c r="AH30" i="5"/>
  <c r="AH31" i="5"/>
  <c r="AL15" i="5"/>
  <c r="AL14" i="5"/>
  <c r="AK15" i="5"/>
  <c r="AK14" i="5"/>
  <c r="AH15" i="5"/>
  <c r="AH14" i="5"/>
  <c r="AL5" i="5"/>
  <c r="AL4" i="5"/>
  <c r="AL10" i="5"/>
  <c r="AK5" i="5"/>
  <c r="AK4" i="5"/>
  <c r="AK10" i="5"/>
  <c r="AH50" i="5"/>
  <c r="AH10" i="5"/>
  <c r="AH5" i="5"/>
  <c r="AH4" i="5"/>
  <c r="AK50" i="5"/>
  <c r="AL50" i="5"/>
  <c r="AL19" i="5"/>
  <c r="AL20" i="5"/>
  <c r="AL21" i="5"/>
  <c r="AL22" i="5"/>
  <c r="AL23" i="5"/>
  <c r="AL18" i="5"/>
  <c r="AK19" i="5"/>
  <c r="AK20" i="5"/>
  <c r="AK21" i="5"/>
  <c r="AK22" i="5"/>
  <c r="AK23" i="5"/>
  <c r="AK18" i="5"/>
  <c r="AH19" i="5"/>
  <c r="AH20" i="5"/>
  <c r="AH21" i="5"/>
  <c r="AH22" i="5"/>
  <c r="AH23" i="5"/>
  <c r="AH18" i="5"/>
  <c r="AL37" i="5"/>
  <c r="AL38" i="5"/>
  <c r="AL39" i="5"/>
  <c r="AL36" i="5"/>
  <c r="AK37" i="5"/>
  <c r="AK38" i="5"/>
  <c r="AK39" i="5"/>
  <c r="AK36" i="5"/>
  <c r="AL25" i="5"/>
  <c r="AL26" i="5"/>
  <c r="AL27" i="5"/>
  <c r="AL24" i="5"/>
  <c r="AK25" i="5"/>
  <c r="AK26" i="5"/>
  <c r="AK27" i="5"/>
  <c r="AK24" i="5"/>
  <c r="AL47" i="5"/>
  <c r="AL48" i="5"/>
  <c r="AL49" i="5"/>
  <c r="AL46" i="5"/>
  <c r="AK47" i="5"/>
  <c r="AK48" i="5"/>
  <c r="AK49" i="5"/>
  <c r="AK46" i="5"/>
  <c r="B99" i="3"/>
  <c r="A105" i="3"/>
  <c r="A104" i="3"/>
  <c r="A103" i="3"/>
  <c r="A102" i="3"/>
  <c r="A96" i="3"/>
  <c r="B96" i="3" s="1"/>
  <c r="A95" i="3"/>
  <c r="B95" i="3" s="1"/>
  <c r="A94" i="3"/>
  <c r="B94" i="3" s="1"/>
  <c r="A93" i="3"/>
  <c r="B93" i="3" s="1"/>
  <c r="AL29" i="5"/>
  <c r="AL30" i="5"/>
  <c r="AL31" i="5"/>
  <c r="AL28" i="5"/>
  <c r="AK29" i="5"/>
  <c r="AK30" i="5"/>
  <c r="AK31" i="5"/>
  <c r="AK28" i="5"/>
  <c r="X45" i="5"/>
  <c r="X44" i="5"/>
  <c r="X9" i="5"/>
  <c r="X7" i="5"/>
  <c r="X8" i="5"/>
  <c r="X6" i="5"/>
  <c r="X15" i="5"/>
  <c r="X14" i="5"/>
  <c r="X50" i="5"/>
  <c r="X10" i="5"/>
  <c r="X5" i="5"/>
  <c r="X4" i="5"/>
  <c r="X13" i="5"/>
  <c r="X12" i="5"/>
  <c r="AD11" i="5"/>
  <c r="AD24" i="5"/>
  <c r="AD25" i="5"/>
  <c r="AD26" i="5"/>
  <c r="AD27" i="5"/>
  <c r="AD28" i="5"/>
  <c r="AD29" i="5"/>
  <c r="AD30" i="5"/>
  <c r="AD31" i="5"/>
  <c r="AD32" i="5"/>
  <c r="AD33" i="5"/>
  <c r="AD34" i="5"/>
  <c r="AD35" i="5"/>
  <c r="AD36" i="5"/>
  <c r="AD37" i="5"/>
  <c r="AD38" i="5"/>
  <c r="AD39" i="5"/>
  <c r="AD46" i="5"/>
  <c r="AD47" i="5"/>
  <c r="AD48" i="5"/>
  <c r="AD49" i="5"/>
  <c r="Y3" i="5"/>
  <c r="X3" i="5"/>
  <c r="Y2" i="5"/>
  <c r="X2" i="5"/>
  <c r="AC2" i="5" l="1"/>
  <c r="AC93" i="5"/>
  <c r="AD93" i="5" s="1"/>
  <c r="B104" i="3"/>
  <c r="B105" i="3"/>
  <c r="B147" i="3"/>
  <c r="AC6" i="5"/>
  <c r="B103" i="3"/>
  <c r="B102" i="3"/>
  <c r="B97" i="3"/>
  <c r="C97" i="3" s="1"/>
  <c r="AC4" i="5"/>
  <c r="B107" i="3" l="1"/>
  <c r="C107" i="3" s="1"/>
  <c r="R7" i="1"/>
  <c r="G42" i="1" s="1"/>
  <c r="O19" i="3" s="1"/>
  <c r="H43" i="10" l="1"/>
  <c r="O21" i="3"/>
  <c r="D4" i="10"/>
  <c r="I31" i="7"/>
  <c r="H46" i="50"/>
  <c r="D41" i="50"/>
  <c r="D42" i="50"/>
  <c r="S7" i="49"/>
  <c r="C8" i="49" s="1"/>
  <c r="H19" i="10"/>
  <c r="R7" i="49"/>
  <c r="BB8" i="5"/>
  <c r="BB2" i="5"/>
  <c r="R9" i="1"/>
  <c r="H28" i="1" s="1"/>
  <c r="A49" i="10"/>
  <c r="H49" i="1"/>
  <c r="A48" i="10"/>
  <c r="R10" i="1"/>
  <c r="B88" i="1"/>
  <c r="F88" i="1" s="1"/>
  <c r="AN10" i="5" l="1"/>
  <c r="AN54" i="5"/>
  <c r="AP54" i="5" s="1"/>
  <c r="AN58" i="5"/>
  <c r="AP58" i="5" s="1"/>
  <c r="AN51" i="5"/>
  <c r="AP51" i="5" s="1"/>
  <c r="AN55" i="5"/>
  <c r="AP55" i="5" s="1"/>
  <c r="AN53" i="5"/>
  <c r="AP53" i="5" s="1"/>
  <c r="AN57" i="5"/>
  <c r="AP57" i="5" s="1"/>
  <c r="AN52" i="5"/>
  <c r="AP52" i="5" s="1"/>
  <c r="AN56" i="5"/>
  <c r="AP56" i="5" s="1"/>
  <c r="R10" i="49"/>
  <c r="H50" i="50" s="1"/>
  <c r="F50" i="50" s="1"/>
  <c r="F49" i="50" s="1"/>
  <c r="H43" i="50"/>
  <c r="BB7" i="5"/>
  <c r="AN101" i="5"/>
  <c r="AN75" i="5"/>
  <c r="AN60" i="5"/>
  <c r="AN89" i="5"/>
  <c r="AN42" i="5"/>
  <c r="AN17" i="5"/>
  <c r="AN93" i="5"/>
  <c r="AN21" i="5"/>
  <c r="AN46" i="5"/>
  <c r="AN6" i="5"/>
  <c r="AN96" i="5"/>
  <c r="AN24" i="5"/>
  <c r="AN61" i="5"/>
  <c r="AN86" i="5"/>
  <c r="AN14" i="5"/>
  <c r="AN39" i="5"/>
  <c r="AN64" i="5"/>
  <c r="AN79" i="5"/>
  <c r="AN92" i="5"/>
  <c r="AN20" i="5"/>
  <c r="AN49" i="5"/>
  <c r="AN82" i="5"/>
  <c r="AN9" i="5"/>
  <c r="AN35" i="5"/>
  <c r="AN80" i="5"/>
  <c r="AN40" i="5"/>
  <c r="AN7" i="5"/>
  <c r="AN77" i="5"/>
  <c r="AN37" i="5"/>
  <c r="AN4" i="5"/>
  <c r="AN70" i="5"/>
  <c r="AN30" i="5"/>
  <c r="AN95" i="5"/>
  <c r="AN63" i="5"/>
  <c r="AN23" i="5"/>
  <c r="AN76" i="5"/>
  <c r="AN36" i="5"/>
  <c r="AN3" i="5"/>
  <c r="AN73" i="5"/>
  <c r="AN33" i="5"/>
  <c r="AN103" i="5"/>
  <c r="AN66" i="5"/>
  <c r="AN26" i="5"/>
  <c r="AN91" i="5"/>
  <c r="AN59" i="5"/>
  <c r="AN19" i="5"/>
  <c r="AN88" i="5"/>
  <c r="AN72" i="5"/>
  <c r="AN48" i="5"/>
  <c r="AN32" i="5"/>
  <c r="AN16" i="5"/>
  <c r="AN102" i="5"/>
  <c r="AN85" i="5"/>
  <c r="AN69" i="5"/>
  <c r="AN45" i="5"/>
  <c r="AN29" i="5"/>
  <c r="AN13" i="5"/>
  <c r="AN94" i="5"/>
  <c r="AN78" i="5"/>
  <c r="AN62" i="5"/>
  <c r="AN38" i="5"/>
  <c r="AN22" i="5"/>
  <c r="AN5" i="5"/>
  <c r="AN87" i="5"/>
  <c r="AN71" i="5"/>
  <c r="AN47" i="5"/>
  <c r="AN31" i="5"/>
  <c r="AN15" i="5"/>
  <c r="AN84" i="5"/>
  <c r="AN68" i="5"/>
  <c r="AN44" i="5"/>
  <c r="AN28" i="5"/>
  <c r="AN12" i="5"/>
  <c r="AN2" i="5"/>
  <c r="AN81" i="5"/>
  <c r="AN65" i="5"/>
  <c r="AN41" i="5"/>
  <c r="AN25" i="5"/>
  <c r="AN8" i="5"/>
  <c r="AN90" i="5"/>
  <c r="AN74" i="5"/>
  <c r="AN50" i="5"/>
  <c r="AN34" i="5"/>
  <c r="AN18" i="5"/>
  <c r="AN104" i="5"/>
  <c r="AN83" i="5"/>
  <c r="AN67" i="5"/>
  <c r="AN43" i="5"/>
  <c r="AN27" i="5"/>
  <c r="H47" i="10"/>
  <c r="F47" i="10" s="1"/>
  <c r="F46" i="10" s="1"/>
  <c r="B66" i="3"/>
  <c r="D40" i="3"/>
  <c r="B27" i="3"/>
  <c r="B30" i="3"/>
  <c r="BB5" i="5"/>
  <c r="G2" i="3"/>
  <c r="F2" i="3"/>
  <c r="E2" i="3"/>
  <c r="D2" i="3"/>
  <c r="G3" i="3"/>
  <c r="F3" i="3"/>
  <c r="E3" i="3"/>
  <c r="D3" i="3"/>
  <c r="B3" i="3"/>
  <c r="E34" i="3" l="1"/>
  <c r="B28" i="3" s="1"/>
  <c r="G4" i="3"/>
  <c r="E10" i="10" s="1"/>
  <c r="E4" i="3"/>
  <c r="E8" i="10" s="1"/>
  <c r="D4" i="3"/>
  <c r="E7" i="10" s="1"/>
  <c r="F4" i="3"/>
  <c r="E9" i="10" s="1"/>
  <c r="R5" i="1"/>
  <c r="BB6" i="5" s="1"/>
  <c r="R2" i="1"/>
  <c r="BB3" i="5" l="1"/>
  <c r="Q41" i="1"/>
  <c r="AP96" i="5"/>
  <c r="O15" i="3"/>
  <c r="B31" i="3"/>
  <c r="B12" i="3" s="1"/>
  <c r="D28" i="10" s="1"/>
  <c r="H132" i="1"/>
  <c r="B50" i="3"/>
  <c r="B49" i="3"/>
  <c r="B48" i="3"/>
  <c r="B51" i="3"/>
  <c r="R6" i="1"/>
  <c r="B113" i="3" s="1"/>
  <c r="C6" i="1"/>
  <c r="F50" i="3" l="1"/>
  <c r="C51" i="3"/>
  <c r="F48" i="3"/>
  <c r="C49" i="3" s="1"/>
  <c r="F49" i="3"/>
  <c r="C50" i="3"/>
  <c r="H40" i="10"/>
  <c r="AP95" i="5"/>
  <c r="AP94" i="5"/>
  <c r="AP93" i="5"/>
  <c r="B215" i="3"/>
  <c r="F47" i="3"/>
  <c r="C48" i="3" s="1"/>
  <c r="AP92" i="5"/>
  <c r="AP88" i="5"/>
  <c r="AP84" i="5"/>
  <c r="AP80" i="5"/>
  <c r="AP76" i="5"/>
  <c r="AP72" i="5"/>
  <c r="AP44" i="5"/>
  <c r="AP40" i="5"/>
  <c r="AP36" i="5"/>
  <c r="AP32" i="5"/>
  <c r="AP24" i="5"/>
  <c r="AP20" i="5"/>
  <c r="AP16" i="5"/>
  <c r="AP12" i="5"/>
  <c r="AP8" i="5"/>
  <c r="AP4" i="5"/>
  <c r="AP68" i="5"/>
  <c r="AP64" i="5"/>
  <c r="AP60" i="5"/>
  <c r="AP49" i="5"/>
  <c r="AP89" i="5"/>
  <c r="AP85" i="5"/>
  <c r="AP81" i="5"/>
  <c r="AP77" i="5"/>
  <c r="AP73" i="5"/>
  <c r="AP45" i="5"/>
  <c r="AP41" i="5"/>
  <c r="AP37" i="5"/>
  <c r="AP33" i="5"/>
  <c r="AP25" i="5"/>
  <c r="AP21" i="5"/>
  <c r="AP17" i="5"/>
  <c r="AP13" i="5"/>
  <c r="AP9" i="5"/>
  <c r="AP5" i="5"/>
  <c r="AP69" i="5"/>
  <c r="AP65" i="5"/>
  <c r="AP61" i="5"/>
  <c r="AP46" i="5"/>
  <c r="AP90" i="5"/>
  <c r="AP86" i="5"/>
  <c r="AP82" i="5"/>
  <c r="AP78" i="5"/>
  <c r="AP74" i="5"/>
  <c r="AP70" i="5"/>
  <c r="AP42" i="5"/>
  <c r="AP38" i="5"/>
  <c r="AP34" i="5"/>
  <c r="AP26" i="5"/>
  <c r="AP22" i="5"/>
  <c r="AP18" i="5"/>
  <c r="AP14" i="5"/>
  <c r="AP10" i="5"/>
  <c r="AP6" i="5"/>
  <c r="AP2" i="5"/>
  <c r="AP66" i="5"/>
  <c r="AP62" i="5"/>
  <c r="AP50" i="5"/>
  <c r="AP47" i="5"/>
  <c r="AP91" i="5"/>
  <c r="AP87" i="5"/>
  <c r="AP83" i="5"/>
  <c r="AP79" i="5"/>
  <c r="AP75" i="5"/>
  <c r="AP71" i="5"/>
  <c r="AP43" i="5"/>
  <c r="AP39" i="5"/>
  <c r="AP35" i="5"/>
  <c r="AP27" i="5"/>
  <c r="AP23" i="5"/>
  <c r="AP19" i="5"/>
  <c r="AP15" i="5"/>
  <c r="AP11" i="5"/>
  <c r="AP7" i="5"/>
  <c r="AP3" i="5"/>
  <c r="AP67" i="5"/>
  <c r="AP63" i="5"/>
  <c r="AP59" i="5"/>
  <c r="AP48" i="5"/>
  <c r="AP28" i="5"/>
  <c r="AP29" i="5"/>
  <c r="AP30" i="5"/>
  <c r="AP31" i="5"/>
  <c r="F189" i="3" l="1"/>
  <c r="H16" i="10" s="1"/>
  <c r="C52" i="3" l="1"/>
  <c r="B11" i="3" s="1"/>
  <c r="D27" i="10" s="1"/>
  <c r="E27" i="10" s="1"/>
  <c r="I20" i="10" l="1"/>
  <c r="I55" i="7" l="1"/>
  <c r="I83" i="7"/>
  <c r="D94" i="7"/>
  <c r="I92" i="7"/>
  <c r="I25" i="7"/>
  <c r="D47" i="7"/>
  <c r="AS73" i="5" s="1"/>
  <c r="I70" i="7"/>
  <c r="AS64" i="5" s="1"/>
  <c r="AS38" i="5"/>
  <c r="D77" i="7"/>
  <c r="AS34" i="5" s="1"/>
  <c r="AS23" i="5"/>
  <c r="I21" i="10"/>
  <c r="D63" i="7"/>
  <c r="AS40" i="5" s="1"/>
  <c r="AS87" i="5"/>
  <c r="AD23" i="5"/>
  <c r="AD20" i="5"/>
  <c r="Q15" i="5"/>
  <c r="AD15" i="5" s="1"/>
  <c r="Q5" i="5"/>
  <c r="AD5" i="5" s="1"/>
  <c r="Q14" i="5"/>
  <c r="AD14" i="5" s="1"/>
  <c r="I2" i="7"/>
  <c r="AS44" i="5" s="1"/>
  <c r="Q43" i="5"/>
  <c r="AD43" i="5" s="1"/>
  <c r="Q4" i="5"/>
  <c r="AD4" i="5" s="1"/>
  <c r="Q41" i="5"/>
  <c r="AD41" i="5" s="1"/>
  <c r="Q13" i="5"/>
  <c r="AD13" i="5" s="1"/>
  <c r="AD17" i="5"/>
  <c r="Q2" i="5"/>
  <c r="AD2" i="5" s="1"/>
  <c r="Q3" i="5"/>
  <c r="AD3" i="5" s="1"/>
  <c r="N2" i="7"/>
  <c r="AS42" i="5" s="1"/>
  <c r="C132" i="3"/>
  <c r="C119" i="3"/>
  <c r="C120" i="3" s="1"/>
  <c r="Q8" i="5"/>
  <c r="AD8" i="5" s="1"/>
  <c r="AD19" i="5"/>
  <c r="AD18" i="5"/>
  <c r="Q45" i="5"/>
  <c r="AD45" i="5" s="1"/>
  <c r="AD21" i="5"/>
  <c r="D2" i="7"/>
  <c r="Q50" i="5"/>
  <c r="AD50" i="5" s="1"/>
  <c r="Q6" i="5"/>
  <c r="AD6" i="5" s="1"/>
  <c r="Q10" i="5"/>
  <c r="AD10" i="5" s="1"/>
  <c r="Q9" i="5"/>
  <c r="AD9" i="5" s="1"/>
  <c r="Q12" i="5"/>
  <c r="AD12" i="5" s="1"/>
  <c r="Q7" i="5"/>
  <c r="AD7" i="5" s="1"/>
  <c r="Q44" i="5"/>
  <c r="AD44" i="5" s="1"/>
  <c r="AD16" i="5"/>
  <c r="AD22" i="5"/>
  <c r="C76" i="3"/>
  <c r="B14" i="3" s="1"/>
  <c r="C14" i="3" s="1"/>
  <c r="F30" i="10" s="1"/>
  <c r="Q42" i="5"/>
  <c r="AD42" i="5" s="1"/>
  <c r="Q40" i="5"/>
  <c r="AD40" i="5" s="1"/>
  <c r="AS55" i="5" l="1"/>
  <c r="AS51" i="5"/>
  <c r="AS57" i="5"/>
  <c r="AS52" i="5"/>
  <c r="AS54" i="5"/>
  <c r="AS58" i="5"/>
  <c r="AS53" i="5"/>
  <c r="AS56" i="5"/>
  <c r="A14" i="3"/>
  <c r="D30" i="10"/>
  <c r="B30" i="10" s="1"/>
  <c r="B32" i="50"/>
  <c r="AS97" i="5"/>
  <c r="AS93" i="5"/>
  <c r="AS94" i="5"/>
  <c r="AS95" i="5"/>
  <c r="AS96" i="5"/>
  <c r="AS98" i="5"/>
  <c r="AS99" i="5"/>
  <c r="AS100" i="5"/>
  <c r="AS10" i="5"/>
  <c r="AS2" i="5"/>
  <c r="AS13" i="5"/>
  <c r="C133" i="3"/>
  <c r="L14" i="3"/>
  <c r="D40" i="10" s="1"/>
  <c r="AS59" i="5"/>
  <c r="AS60" i="5"/>
  <c r="AS92" i="5"/>
  <c r="AS89" i="5"/>
  <c r="AS39" i="5"/>
  <c r="AS61" i="5"/>
  <c r="AS45" i="5"/>
  <c r="AS25" i="5"/>
  <c r="AS88" i="5"/>
  <c r="AS24" i="5"/>
  <c r="AS33" i="5"/>
  <c r="AS27" i="5"/>
  <c r="AS49" i="5"/>
  <c r="AS35" i="5"/>
  <c r="AS91" i="5"/>
  <c r="AS37" i="5"/>
  <c r="AS36" i="5"/>
  <c r="AS6" i="5"/>
  <c r="AS43" i="5"/>
  <c r="AS17" i="5"/>
  <c r="AS16" i="5"/>
  <c r="AS85" i="5"/>
  <c r="AS21" i="5"/>
  <c r="AS18" i="5"/>
  <c r="AS32" i="5"/>
  <c r="AS90" i="5"/>
  <c r="AS28" i="5"/>
  <c r="AS47" i="5"/>
  <c r="AS48" i="5"/>
  <c r="AS65" i="5"/>
  <c r="AS63" i="5"/>
  <c r="AS62" i="5"/>
  <c r="AS14" i="5"/>
  <c r="AS77" i="5"/>
  <c r="AS8" i="5"/>
  <c r="AS79" i="5"/>
  <c r="AS70" i="5"/>
  <c r="AS9" i="5"/>
  <c r="AS41" i="5"/>
  <c r="AS82" i="5"/>
  <c r="AS19" i="5"/>
  <c r="AS84" i="5"/>
  <c r="AS30" i="5"/>
  <c r="AS31" i="5"/>
  <c r="AS46" i="5"/>
  <c r="AS26" i="5"/>
  <c r="AS29" i="5"/>
  <c r="AS68" i="5"/>
  <c r="AS69" i="5"/>
  <c r="AS12" i="5"/>
  <c r="AS74" i="5"/>
  <c r="AS7" i="5"/>
  <c r="AS71" i="5"/>
  <c r="AS72" i="5"/>
  <c r="AS76" i="5"/>
  <c r="AS3" i="5"/>
  <c r="AS86" i="5"/>
  <c r="AS83" i="5"/>
  <c r="AS67" i="5"/>
  <c r="AS15" i="5"/>
  <c r="AS50" i="5"/>
  <c r="AS11" i="5"/>
  <c r="AS75" i="5"/>
  <c r="AS78" i="5"/>
  <c r="AS22" i="5"/>
  <c r="AS81" i="5"/>
  <c r="AS20" i="5"/>
  <c r="AS66" i="5"/>
  <c r="AS80" i="5"/>
  <c r="AS4" i="5"/>
  <c r="AS5" i="5"/>
  <c r="D43" i="50" l="1"/>
  <c r="A215" i="3" l="1"/>
  <c r="A216" i="3" s="1"/>
  <c r="H13" i="10" l="1"/>
  <c r="H14" i="10"/>
  <c r="H15" i="10"/>
  <c r="H12" i="10"/>
  <c r="B31" i="50"/>
  <c r="B4" i="3" l="1"/>
  <c r="M15" i="3" s="1"/>
  <c r="K22" i="3" l="1"/>
  <c r="M13" i="3"/>
  <c r="L13" i="3" s="1"/>
  <c r="M14" i="3"/>
  <c r="H143" i="1"/>
  <c r="D39" i="10" l="1"/>
  <c r="BB4" i="5" l="1"/>
  <c r="BC2" i="5" s="1"/>
  <c r="BD11" i="5" s="1"/>
  <c r="O16" i="3" s="1"/>
  <c r="BD8" i="5" l="1"/>
  <c r="L15" i="3" s="1"/>
  <c r="D41" i="10" s="1"/>
  <c r="BD2" i="5"/>
  <c r="O14" i="3" s="1"/>
  <c r="BD5" i="5"/>
  <c r="O13" i="3" s="1"/>
  <c r="H41" i="50" s="1"/>
  <c r="L17" i="3" l="1"/>
  <c r="D42" i="10" s="1"/>
  <c r="H39" i="10"/>
  <c r="H42" i="50"/>
  <c r="H44" i="50" s="1"/>
  <c r="L32" i="3"/>
  <c r="L34" i="3" s="1"/>
  <c r="D44" i="50"/>
  <c r="O17" i="3"/>
  <c r="O18" i="3"/>
  <c r="H38" i="10"/>
  <c r="L18" i="3" l="1"/>
  <c r="D43" i="10" s="1"/>
  <c r="H41" i="10"/>
  <c r="R40" i="49"/>
  <c r="R42" i="49" s="1"/>
  <c r="D45" i="50"/>
  <c r="D46" i="50" s="1"/>
  <c r="D48" i="50" s="1"/>
  <c r="H48" i="50" l="1"/>
  <c r="L20" i="3"/>
  <c r="D45" i="10" s="1"/>
  <c r="R52" i="49"/>
  <c r="R48" i="49"/>
  <c r="H38" i="50" s="1"/>
  <c r="O22" i="3" l="1"/>
  <c r="G44" i="1" l="1"/>
  <c r="H101" i="1" s="1"/>
  <c r="H45" i="10"/>
  <c r="H52" i="49"/>
  <c r="C196" i="3" l="1"/>
  <c r="C215" i="3" s="1"/>
  <c r="H120" i="1" s="1"/>
  <c r="F22" i="10" l="1"/>
  <c r="H121" i="1"/>
  <c r="F23" i="10" s="1"/>
  <c r="H22" i="10"/>
  <c r="H23" i="10" l="1"/>
  <c r="C58" i="1" l="1"/>
  <c r="B150" i="3" l="1"/>
  <c r="B152" i="3"/>
  <c r="C57" i="1"/>
  <c r="B2" i="3"/>
  <c r="M39" i="3" s="1"/>
  <c r="L39" i="3" s="1"/>
  <c r="B13" i="3"/>
  <c r="E15" i="130"/>
  <c r="C48" i="1"/>
  <c r="C13" i="3" l="1"/>
  <c r="F29" i="10" s="1"/>
  <c r="D29" i="10"/>
  <c r="B29" i="10" s="1"/>
  <c r="B153" i="3"/>
  <c r="C153" i="3" s="1"/>
  <c r="D153" i="3"/>
  <c r="B149" i="3"/>
  <c r="C149" i="3" l="1"/>
  <c r="C47" i="1" s="1"/>
  <c r="B65" i="3"/>
  <c r="D149" i="3"/>
  <c r="B23" i="10" l="1"/>
  <c r="B67" i="3"/>
  <c r="B10" i="3" s="1"/>
  <c r="D22" i="10"/>
  <c r="F132" i="1"/>
  <c r="B5" i="3"/>
  <c r="L37" i="3" s="1"/>
  <c r="D26" i="10" l="1"/>
  <c r="C10" i="3"/>
  <c r="C60" i="1"/>
  <c r="B15" i="3"/>
  <c r="M38" i="3"/>
  <c r="L38" i="3"/>
  <c r="L42" i="3" l="1"/>
  <c r="L40" i="3"/>
  <c r="H35" i="10" s="1"/>
  <c r="D31" i="10"/>
  <c r="D33" i="10" s="1"/>
  <c r="C88" i="1"/>
  <c r="B167" i="3"/>
  <c r="E88" i="1" s="1"/>
  <c r="D34" i="10" s="1"/>
  <c r="B166" i="3"/>
  <c r="C165" i="3"/>
  <c r="D132" i="1"/>
  <c r="C62" i="1"/>
  <c r="E16" i="130" s="1"/>
  <c r="B168" i="3"/>
  <c r="F26" i="10"/>
  <c r="C15" i="3"/>
  <c r="F31" i="10" s="1"/>
  <c r="D35" i="10" l="1"/>
  <c r="G124" i="1"/>
</calcChain>
</file>

<file path=xl/comments1.xml><?xml version="1.0" encoding="utf-8"?>
<comments xmlns="http://schemas.openxmlformats.org/spreadsheetml/2006/main">
  <authors>
    <author>LAlvarez</author>
  </authors>
  <commentList>
    <comment ref="T10" authorId="0" shapeId="0">
      <text>
        <r>
          <rPr>
            <sz val="9"/>
            <color indexed="81"/>
            <rFont val="Tahoma"/>
            <family val="2"/>
          </rPr>
          <t xml:space="preserve">
formula original para comisión de renovacion antes de Cop
</t>
        </r>
      </text>
    </comment>
    <comment ref="S14" authorId="0" shapeId="0">
      <text>
        <r>
          <rPr>
            <sz val="9"/>
            <color indexed="81"/>
            <rFont val="Tahoma"/>
            <family val="2"/>
          </rPr>
          <t xml:space="preserve">
esta es la  fromula original pero se cambia solo a uno porque se elimina el beneficio de gastos gratis para copa</t>
        </r>
      </text>
    </comment>
    <comment ref="G37" authorId="0" shapeId="0">
      <text>
        <r>
          <rPr>
            <sz val="8"/>
            <color indexed="81"/>
            <rFont val="Tahoma"/>
            <family val="2"/>
          </rPr>
          <t xml:space="preserve">Ingresar  valor cuando se confeccionan actas ($50.00) y /o minutas ($150.00)
</t>
        </r>
      </text>
    </comment>
    <comment ref="C40" authorId="0" shapeId="0">
      <text>
        <r>
          <rPr>
            <sz val="9"/>
            <color indexed="81"/>
            <rFont val="Tahoma"/>
            <family val="2"/>
          </rPr>
          <t>Si ingresa el %  a Financiar  debe eliminar el Abono Inicial Ingresado</t>
        </r>
      </text>
    </comment>
    <comment ref="C50" authorId="0" shapeId="0">
      <text>
        <r>
          <rPr>
            <sz val="8"/>
            <color indexed="81"/>
            <rFont val="Tahoma"/>
            <family val="2"/>
          </rPr>
          <t xml:space="preserve"> favor ingresar la fecha de nacimiento de cada participante del cuadro de datos Generales,</t>
        </r>
      </text>
    </comment>
    <comment ref="C53" authorId="0" shapeId="0">
      <text>
        <r>
          <rPr>
            <b/>
            <sz val="8"/>
            <color indexed="81"/>
            <rFont val="Tahoma"/>
            <family val="2"/>
          </rPr>
          <t>Se cobra feci cuando no es la vivienda principal o el préstamo es para consumo</t>
        </r>
        <r>
          <rPr>
            <sz val="8"/>
            <color indexed="81"/>
            <rFont val="Tahoma"/>
            <family val="2"/>
          </rPr>
          <t xml:space="preserve">
</t>
        </r>
      </text>
    </comment>
    <comment ref="C69" authorId="0" shapeId="0">
      <text>
        <r>
          <rPr>
            <sz val="8"/>
            <color indexed="81"/>
            <rFont val="Tahoma"/>
            <family val="2"/>
          </rPr>
          <t>Ingresar Primer Nombre, Apellido Parteno , Apellido Casada</t>
        </r>
      </text>
    </comment>
    <comment ref="C76" authorId="0" shapeId="0">
      <text>
        <r>
          <rPr>
            <sz val="8"/>
            <color indexed="81"/>
            <rFont val="Tahoma"/>
            <family val="2"/>
          </rPr>
          <t>Si el Lugar de Empleo es Caja de Seguro Social o Autoridad del Canal de Panama, favor ingresar en el campo de Empresa donde labora</t>
        </r>
        <r>
          <rPr>
            <b/>
            <sz val="8"/>
            <color indexed="81"/>
            <rFont val="Tahoma"/>
            <family val="2"/>
          </rPr>
          <t xml:space="preserve"> CSS o ACP</t>
        </r>
        <r>
          <rPr>
            <sz val="8"/>
            <color indexed="81"/>
            <rFont val="Tahoma"/>
            <family val="2"/>
          </rPr>
          <t xml:space="preserve">
</t>
        </r>
      </text>
    </comment>
    <comment ref="E76" authorId="0" shapeId="0">
      <text>
        <r>
          <rPr>
            <sz val="8"/>
            <color indexed="81"/>
            <rFont val="Tahoma"/>
            <family val="2"/>
          </rPr>
          <t xml:space="preserve">Si el Lugar de Empleo es Caja de Seguro Social o Autoridad del Canal de Panama, favor ingresar en el campo de Empresa donde labora </t>
        </r>
        <r>
          <rPr>
            <b/>
            <sz val="8"/>
            <color indexed="81"/>
            <rFont val="Tahoma"/>
            <family val="2"/>
          </rPr>
          <t xml:space="preserve">CSS o ACP
</t>
        </r>
        <r>
          <rPr>
            <sz val="8"/>
            <color indexed="81"/>
            <rFont val="Tahoma"/>
            <family val="2"/>
          </rPr>
          <t xml:space="preserve">
</t>
        </r>
      </text>
    </comment>
    <comment ref="G76" authorId="0" shapeId="0">
      <text>
        <r>
          <rPr>
            <sz val="8"/>
            <color indexed="81"/>
            <rFont val="Tahoma"/>
            <family val="2"/>
          </rPr>
          <t xml:space="preserve">Si el Lugar de Empleo es Caja de Seguro Social o Autoridad del Canal de Panama, favor ingresar en el campo de Empresa donde labora </t>
        </r>
        <r>
          <rPr>
            <b/>
            <sz val="8"/>
            <color indexed="81"/>
            <rFont val="Tahoma"/>
            <family val="2"/>
          </rPr>
          <t xml:space="preserve">CSS o ACP
</t>
        </r>
        <r>
          <rPr>
            <sz val="8"/>
            <color indexed="81"/>
            <rFont val="Tahoma"/>
            <family val="2"/>
          </rPr>
          <t xml:space="preserve">
</t>
        </r>
      </text>
    </comment>
    <comment ref="H76" authorId="0" shapeId="0">
      <text>
        <r>
          <rPr>
            <sz val="8"/>
            <color indexed="81"/>
            <rFont val="Tahoma"/>
            <family val="2"/>
          </rPr>
          <t xml:space="preserve">Si el Lugar de Empleo es Caja de Seguro Social o Autoridad del Canal de Panama, favor ingresar en el campo de Empresa donde labora </t>
        </r>
        <r>
          <rPr>
            <b/>
            <sz val="8"/>
            <color indexed="81"/>
            <rFont val="Tahoma"/>
            <family val="2"/>
          </rPr>
          <t>CSS</t>
        </r>
        <r>
          <rPr>
            <sz val="8"/>
            <color indexed="81"/>
            <rFont val="Tahoma"/>
            <family val="2"/>
          </rPr>
          <t xml:space="preserve"> o </t>
        </r>
        <r>
          <rPr>
            <b/>
            <sz val="8"/>
            <color indexed="81"/>
            <rFont val="Tahoma"/>
            <family val="2"/>
          </rPr>
          <t>ACP</t>
        </r>
        <r>
          <rPr>
            <sz val="8"/>
            <color indexed="81"/>
            <rFont val="Tahoma"/>
            <family val="2"/>
          </rPr>
          <t xml:space="preserve">
</t>
        </r>
      </text>
    </comment>
    <comment ref="B88" authorId="0" shapeId="0">
      <text>
        <r>
          <rPr>
            <sz val="8"/>
            <color indexed="81"/>
            <rFont val="Tahoma"/>
            <family val="2"/>
          </rPr>
          <t xml:space="preserve">
suma salario de los deudores</t>
        </r>
      </text>
    </comment>
    <comment ref="C88" authorId="0" shapeId="0">
      <text>
        <r>
          <rPr>
            <sz val="8"/>
            <color indexed="81"/>
            <rFont val="Tahoma"/>
            <family val="2"/>
          </rPr>
          <t>suma de deudas + mensualidad entre salario</t>
        </r>
      </text>
    </comment>
    <comment ref="E88" authorId="0" shapeId="0">
      <text>
        <r>
          <rPr>
            <sz val="8"/>
            <color indexed="81"/>
            <rFont val="Tahoma"/>
            <family val="2"/>
          </rPr>
          <t>Suma de (Mensualidad total + Otras Obligaciones Hipotecas) entre (suma de los ingresos + Otros Salarios)</t>
        </r>
      </text>
    </comment>
  </commentList>
</comments>
</file>

<file path=xl/comments2.xml><?xml version="1.0" encoding="utf-8"?>
<comments xmlns="http://schemas.openxmlformats.org/spreadsheetml/2006/main">
  <authors>
    <author>LAlvarez</author>
    <author>lalvarez</author>
  </authors>
  <commentList>
    <comment ref="Z1" authorId="0" shapeId="0">
      <text/>
    </comment>
    <comment ref="Y8" authorId="0" shapeId="0">
      <text>
        <r>
          <rPr>
            <sz val="8"/>
            <color indexed="81"/>
            <rFont val="Tahoma"/>
            <family val="2"/>
          </rPr>
          <t xml:space="preserve">
1 es si
2 es no</t>
        </r>
      </text>
    </comment>
    <comment ref="T10" authorId="0" shapeId="0">
      <text>
        <r>
          <rPr>
            <sz val="9"/>
            <color indexed="81"/>
            <rFont val="Tahoma"/>
            <family val="2"/>
          </rPr>
          <t xml:space="preserve">
formula original para comisión de renovacion antes de Cop
</t>
        </r>
      </text>
    </comment>
    <comment ref="H38" authorId="0" shapeId="0">
      <text>
        <r>
          <rPr>
            <sz val="8"/>
            <color indexed="81"/>
            <rFont val="Tahoma"/>
            <family val="2"/>
          </rPr>
          <t xml:space="preserve">Favor ingresar la fecha de nacimiento de cada participante en cuadro de datos Generales </t>
        </r>
      </text>
    </comment>
    <comment ref="R40" authorId="1" shapeId="0">
      <text>
        <r>
          <rPr>
            <sz val="8"/>
            <color indexed="81"/>
            <rFont val="Tahoma"/>
            <family val="2"/>
          </rPr>
          <t xml:space="preserve">Suma (Comisión de Cierre, Tramitación, Servicios Legales, servicios especiales) restar (bono)  </t>
        </r>
      </text>
    </comment>
    <comment ref="S47" authorId="1" shapeId="0">
      <text>
        <r>
          <rPr>
            <sz val="8"/>
            <color indexed="81"/>
            <rFont val="Tahoma"/>
            <family val="2"/>
          </rPr>
          <t xml:space="preserve">contiene valor de la comisión de manejo, </t>
        </r>
      </text>
    </comment>
    <comment ref="R58" authorId="0" shapeId="0">
      <text>
        <r>
          <rPr>
            <sz val="8"/>
            <color indexed="81"/>
            <rFont val="Tahoma"/>
            <family val="2"/>
          </rPr>
          <t xml:space="preserve">
1 de la formula, si es 1 es si, 0 es no</t>
        </r>
      </text>
    </comment>
    <comment ref="C66" authorId="0" shapeId="0">
      <text>
        <r>
          <rPr>
            <sz val="8"/>
            <color indexed="81"/>
            <rFont val="Tahoma"/>
            <family val="2"/>
          </rPr>
          <t>Ingresar Primer Nombre, Apellido Parteno , Apellido Casada</t>
        </r>
      </text>
    </comment>
    <comment ref="C71" authorId="0" shapeId="0">
      <text>
        <r>
          <rPr>
            <sz val="8"/>
            <color indexed="81"/>
            <rFont val="Tahoma"/>
            <family val="2"/>
          </rPr>
          <t>Si el Lugar de Empleo es Caja de Seguro Social o Autoridad del Canal de Panama, favor ingresar en el campo de Empresa donde labora</t>
        </r>
        <r>
          <rPr>
            <b/>
            <sz val="8"/>
            <color indexed="81"/>
            <rFont val="Tahoma"/>
            <family val="2"/>
          </rPr>
          <t xml:space="preserve"> CSS o ACP</t>
        </r>
        <r>
          <rPr>
            <sz val="8"/>
            <color indexed="81"/>
            <rFont val="Tahoma"/>
            <family val="2"/>
          </rPr>
          <t xml:space="preserve">
</t>
        </r>
      </text>
    </comment>
    <comment ref="E71" authorId="0" shapeId="0">
      <text>
        <r>
          <rPr>
            <sz val="8"/>
            <color indexed="81"/>
            <rFont val="Tahoma"/>
            <family val="2"/>
          </rPr>
          <t xml:space="preserve">Si el Lugar de Empleo es Caja de Seguro Social o Autoridad del Canal de Panama, favor ingresar en el campo de Empresa donde labora </t>
        </r>
        <r>
          <rPr>
            <b/>
            <sz val="8"/>
            <color indexed="81"/>
            <rFont val="Tahoma"/>
            <family val="2"/>
          </rPr>
          <t xml:space="preserve">CSS o ACP
</t>
        </r>
        <r>
          <rPr>
            <sz val="8"/>
            <color indexed="81"/>
            <rFont val="Tahoma"/>
            <family val="2"/>
          </rPr>
          <t xml:space="preserve">
</t>
        </r>
      </text>
    </comment>
    <comment ref="G71" authorId="0" shapeId="0">
      <text>
        <r>
          <rPr>
            <sz val="8"/>
            <color indexed="81"/>
            <rFont val="Tahoma"/>
            <family val="2"/>
          </rPr>
          <t xml:space="preserve">Si el Lugar de Empleo es Caja de Seguro Social o Autoridad del Canal de Panama, favor ingresar en el campo de Empresa donde labora </t>
        </r>
        <r>
          <rPr>
            <b/>
            <sz val="8"/>
            <color indexed="81"/>
            <rFont val="Tahoma"/>
            <family val="2"/>
          </rPr>
          <t xml:space="preserve">CSS o ACP
</t>
        </r>
        <r>
          <rPr>
            <sz val="8"/>
            <color indexed="81"/>
            <rFont val="Tahoma"/>
            <family val="2"/>
          </rPr>
          <t xml:space="preserve">
</t>
        </r>
      </text>
    </comment>
    <comment ref="H71" authorId="0" shapeId="0">
      <text>
        <r>
          <rPr>
            <sz val="8"/>
            <color indexed="81"/>
            <rFont val="Tahoma"/>
            <family val="2"/>
          </rPr>
          <t xml:space="preserve">Si el Lugar de Empleo es Caja de Seguro Social o Autoridad del Canal de Panama, favor ingresar en el campo de Empresa donde labora </t>
        </r>
        <r>
          <rPr>
            <b/>
            <sz val="8"/>
            <color indexed="81"/>
            <rFont val="Tahoma"/>
            <family val="2"/>
          </rPr>
          <t>CSS</t>
        </r>
        <r>
          <rPr>
            <sz val="8"/>
            <color indexed="81"/>
            <rFont val="Tahoma"/>
            <family val="2"/>
          </rPr>
          <t xml:space="preserve"> o </t>
        </r>
        <r>
          <rPr>
            <b/>
            <sz val="8"/>
            <color indexed="81"/>
            <rFont val="Tahoma"/>
            <family val="2"/>
          </rPr>
          <t>ACP</t>
        </r>
        <r>
          <rPr>
            <sz val="8"/>
            <color indexed="81"/>
            <rFont val="Tahoma"/>
            <family val="2"/>
          </rPr>
          <t xml:space="preserve">
</t>
        </r>
      </text>
    </comment>
    <comment ref="B83" authorId="0" shapeId="0">
      <text>
        <r>
          <rPr>
            <sz val="8"/>
            <color indexed="81"/>
            <rFont val="Tahoma"/>
            <family val="2"/>
          </rPr>
          <t xml:space="preserve">
suma salario de los deudores</t>
        </r>
      </text>
    </comment>
    <comment ref="C83" authorId="0" shapeId="0">
      <text>
        <r>
          <rPr>
            <sz val="8"/>
            <color indexed="81"/>
            <rFont val="Tahoma"/>
            <family val="2"/>
          </rPr>
          <t>suma de deudas + mensualidad entre salario</t>
        </r>
      </text>
    </comment>
    <comment ref="E83" authorId="0" shapeId="0">
      <text>
        <r>
          <rPr>
            <sz val="8"/>
            <color indexed="81"/>
            <rFont val="Tahoma"/>
            <family val="2"/>
          </rPr>
          <t>Suma de (Mensualidad total + Otras Obligaciones Hipotecas) entre (suma de los ingresos + Otros Salarios)</t>
        </r>
      </text>
    </comment>
  </commentList>
</comments>
</file>

<file path=xl/comments3.xml><?xml version="1.0" encoding="utf-8"?>
<comments xmlns="http://schemas.openxmlformats.org/spreadsheetml/2006/main">
  <authors>
    <author>LAlvarez</author>
  </authors>
  <commentList>
    <comment ref="I1" authorId="0" shapeId="0">
      <text>
        <r>
          <rPr>
            <sz val="8"/>
            <color indexed="81"/>
            <rFont val="Tahoma"/>
            <family val="2"/>
          </rPr>
          <t xml:space="preserve">Para que liste el tipo de préstamo según la finalidad que elija
</t>
        </r>
      </text>
    </comment>
    <comment ref="I2" authorId="0" shapeId="0">
      <text>
        <r>
          <rPr>
            <b/>
            <sz val="8"/>
            <color indexed="81"/>
            <rFont val="Tahoma"/>
            <family val="2"/>
          </rPr>
          <t>aplican para ley e ind</t>
        </r>
        <r>
          <rPr>
            <sz val="8"/>
            <color indexed="81"/>
            <rFont val="Tahoma"/>
            <family val="2"/>
          </rPr>
          <t xml:space="preserve">
compra Vivienda, 
Cambio DD, Ext Plazo,
Construcción, Cambio Dueño, Cambio Deudor, Cambio Fiador</t>
        </r>
      </text>
    </comment>
    <comment ref="J2" authorId="0" shapeId="0">
      <text>
        <r>
          <rPr>
            <b/>
            <sz val="8"/>
            <color indexed="81"/>
            <rFont val="Tahoma"/>
            <family val="2"/>
          </rPr>
          <t>aplican para Ley
Solo traspaso compra de vivienda</t>
        </r>
        <r>
          <rPr>
            <sz val="8"/>
            <color indexed="81"/>
            <rFont val="Tahoma"/>
            <family val="2"/>
          </rPr>
          <t xml:space="preserve">
</t>
        </r>
      </text>
    </comment>
    <comment ref="K2" authorId="0" shapeId="0">
      <text>
        <r>
          <rPr>
            <b/>
            <sz val="8"/>
            <color indexed="81"/>
            <rFont val="Tahoma"/>
            <family val="2"/>
          </rPr>
          <t xml:space="preserve">Aplican para </t>
        </r>
        <r>
          <rPr>
            <sz val="8"/>
            <color indexed="81"/>
            <rFont val="Tahoma"/>
            <family val="2"/>
          </rPr>
          <t xml:space="preserve">Individual
Casa Cash, compra Vacacional, Traspaso Otro Banco
</t>
        </r>
      </text>
    </comment>
  </commentList>
</comments>
</file>

<file path=xl/comments4.xml><?xml version="1.0" encoding="utf-8"?>
<comments xmlns="http://schemas.openxmlformats.org/spreadsheetml/2006/main">
  <authors>
    <author>LAlvarez</author>
    <author>lalvarez</author>
    <author>AGNES REAL</author>
  </authors>
  <commentList>
    <comment ref="D1" authorId="0" shapeId="0">
      <text/>
    </comment>
    <comment ref="O3" authorId="0" shapeId="0">
      <text>
        <r>
          <rPr>
            <sz val="8"/>
            <color indexed="81"/>
            <rFont val="Tahoma"/>
            <family val="2"/>
          </rPr>
          <t xml:space="preserve">
se uso esta</t>
        </r>
      </text>
    </comment>
    <comment ref="M13" authorId="1" shapeId="0">
      <text>
        <r>
          <rPr>
            <sz val="8"/>
            <color indexed="81"/>
            <rFont val="Tahoma"/>
            <family val="2"/>
          </rPr>
          <t xml:space="preserve">hace el calculo de la comisión de cierre para cuando es casa cash y compra vacacional  1% y cuando es compra de acciones 0.25% , para todos los productos despues que tenga información en los campos de comisión cierre
</t>
        </r>
      </text>
    </comment>
    <comment ref="M14" authorId="1" shapeId="0">
      <text>
        <r>
          <rPr>
            <sz val="8"/>
            <color indexed="81"/>
            <rFont val="Tahoma"/>
            <family val="2"/>
          </rPr>
          <t>FORMULA ORIGINAL
19 dic 2016</t>
        </r>
      </text>
    </comment>
    <comment ref="M15" authorId="1" shapeId="0">
      <text>
        <r>
          <rPr>
            <sz val="8"/>
            <color indexed="81"/>
            <rFont val="Tahoma"/>
            <family val="2"/>
          </rPr>
          <t xml:space="preserve">formula que calcula comision cuando era vacacional, casa cash y venta acciones
</t>
        </r>
      </text>
    </comment>
    <comment ref="L17" authorId="0" shapeId="0">
      <text>
        <r>
          <rPr>
            <sz val="8"/>
            <color indexed="81"/>
            <rFont val="Tahoma"/>
            <family val="2"/>
          </rPr>
          <t>Valida si es empleado para no cobrar la comisión de cierre</t>
        </r>
      </text>
    </comment>
    <comment ref="A30" authorId="0" shapeId="0">
      <text>
        <r>
          <rPr>
            <sz val="8"/>
            <color indexed="81"/>
            <rFont val="Tahoma"/>
            <family val="2"/>
          </rPr>
          <t xml:space="preserve">
1 es si
2 es no</t>
        </r>
      </text>
    </comment>
    <comment ref="L32" authorId="1" shapeId="0">
      <text>
        <r>
          <rPr>
            <sz val="8"/>
            <color indexed="81"/>
            <rFont val="Tahoma"/>
            <family val="2"/>
          </rPr>
          <t xml:space="preserve">Suma (Comisión de Cierre, Tramitación, Servicios Legales, servicios especiales) restar (bono)  </t>
        </r>
      </text>
    </comment>
    <comment ref="M39" authorId="1" shapeId="0">
      <text>
        <r>
          <rPr>
            <sz val="8"/>
            <color indexed="81"/>
            <rFont val="Tahoma"/>
            <family val="2"/>
          </rPr>
          <t xml:space="preserve">contiene valor de la comisión de manejo, </t>
        </r>
      </text>
    </comment>
    <comment ref="B64" authorId="0" shapeId="0">
      <text>
        <r>
          <rPr>
            <sz val="8"/>
            <color indexed="81"/>
            <rFont val="Tahoma"/>
            <family val="2"/>
          </rPr>
          <t xml:space="preserve">
1 de la formula, si es 1 es si, 0 es no</t>
        </r>
      </text>
    </comment>
    <comment ref="A113" authorId="2" shapeId="0">
      <text>
        <r>
          <rPr>
            <sz val="8"/>
            <color indexed="81"/>
            <rFont val="Tahoma"/>
            <family val="2"/>
          </rPr>
          <t xml:space="preserve">
La venta es para los prestamos Ley e Individuales</t>
        </r>
      </text>
    </comment>
    <comment ref="A114" authorId="2" shapeId="0">
      <text>
        <r>
          <rPr>
            <sz val="8"/>
            <color indexed="81"/>
            <rFont val="Tahoma"/>
            <family val="2"/>
          </rPr>
          <t xml:space="preserve">
Cuando el Banco confecciona la escritura se cobra notaria y registro</t>
        </r>
      </text>
    </comment>
  </commentList>
</comments>
</file>

<file path=xl/comments5.xml><?xml version="1.0" encoding="utf-8"?>
<comments xmlns="http://schemas.openxmlformats.org/spreadsheetml/2006/main">
  <authors>
    <author>LAlvarez</author>
  </authors>
  <commentList>
    <comment ref="A1" authorId="0" shapeId="0">
      <text>
        <r>
          <rPr>
            <sz val="8"/>
            <color indexed="81"/>
            <rFont val="Tahoma"/>
            <family val="2"/>
          </rPr>
          <t>Tabla donde se alimenta, el plazo, tasa y manejo, del programa
Siempre debe estar ordenado por la columna llave_programa a,z</t>
        </r>
      </text>
    </comment>
    <comment ref="J1" authorId="0" shapeId="0">
      <text>
        <r>
          <rPr>
            <sz val="8"/>
            <color indexed="81"/>
            <rFont val="Tahoma"/>
            <family val="2"/>
          </rPr>
          <t xml:space="preserve">
ordenar por llave Programa de AZ</t>
        </r>
      </text>
    </comment>
  </commentList>
</comments>
</file>

<file path=xl/comments6.xml><?xml version="1.0" encoding="utf-8"?>
<comments xmlns="http://schemas.openxmlformats.org/spreadsheetml/2006/main">
  <authors>
    <author>lalvarez</author>
    <author>LAlvarez</author>
  </authors>
  <commentList>
    <comment ref="Q1" authorId="0" shapeId="0">
      <text>
        <r>
          <rPr>
            <sz val="6"/>
            <color indexed="81"/>
            <rFont val="Tahoma"/>
            <family val="2"/>
          </rPr>
          <t xml:space="preserve">Para Trámites Ley Preferencial con primer tramo $ 0 - 40000, antigüedad Nueva: $2.50 por cada mil adicional o fracción sobre el monto a financiar, los demás productos 
$.3 por cada $1000 o fracción del monto a financiar </t>
        </r>
      </text>
    </comment>
    <comment ref="R1" authorId="0" shapeId="0">
      <text>
        <r>
          <rPr>
            <sz val="6"/>
            <color indexed="81"/>
            <rFont val="Tahoma"/>
            <family val="2"/>
          </rPr>
          <t>Cuando Releva o Asume la deuda.
Valor fijo de $35.00</t>
        </r>
      </text>
    </comment>
    <comment ref="S1" authorId="0" shapeId="0">
      <text>
        <r>
          <rPr>
            <sz val="6"/>
            <color indexed="81"/>
            <rFont val="Tahoma"/>
            <family val="2"/>
          </rPr>
          <t xml:space="preserve">Modificaciones al contrato . Valor Fijo de $35.00
</t>
        </r>
      </text>
    </comment>
    <comment ref="T1" authorId="0" shapeId="0">
      <text>
        <r>
          <rPr>
            <sz val="6"/>
            <color indexed="81"/>
            <rFont val="Tahoma"/>
            <family val="2"/>
          </rPr>
          <t xml:space="preserve">$10.0 por finca, mayoria 1 </t>
        </r>
      </text>
    </comment>
    <comment ref="U1" authorId="0" shapeId="0">
      <text>
        <r>
          <rPr>
            <sz val="6"/>
            <color indexed="81"/>
            <rFont val="Tahoma"/>
            <family val="2"/>
          </rPr>
          <t xml:space="preserve">
$8 por finca, mayoria 1</t>
        </r>
      </text>
    </comment>
    <comment ref="V1" authorId="0" shapeId="0">
      <text>
        <r>
          <rPr>
            <sz val="8"/>
            <color indexed="81"/>
            <rFont val="Tahoma"/>
            <family val="2"/>
          </rPr>
          <t xml:space="preserve">
</t>
        </r>
        <r>
          <rPr>
            <sz val="6"/>
            <color indexed="81"/>
            <rFont val="Tahoma"/>
            <family val="2"/>
          </rPr>
          <t>$8.00  por finca, mayoria 1</t>
        </r>
      </text>
    </comment>
    <comment ref="W1" authorId="0" shapeId="0">
      <text>
        <r>
          <rPr>
            <sz val="6"/>
            <color indexed="81"/>
            <rFont val="Tahoma"/>
            <family val="2"/>
          </rPr>
          <t>I= 1 sola hipoteca a cancelar  $31.  . 
D= mas de 1 hipoteca a cancelar $62. La Mayoria 1</t>
        </r>
      </text>
    </comment>
    <comment ref="X1" authorId="0" shapeId="0">
      <text>
        <r>
          <rPr>
            <sz val="7"/>
            <color indexed="81"/>
            <rFont val="Tahoma"/>
            <family val="2"/>
          </rPr>
          <t>Para Trámites Ley Preferencial con primer tramo ,  $ 0 - 40000, antigüedad Nueva: $5 por los primeros $1000 y 2.50 por cada $1000, adicional o fracción del precio de venta, para los demás productos $.3 por cada $1000 o fracción del precio de venta</t>
        </r>
      </text>
    </comment>
    <comment ref="Y1" authorId="0" shapeId="0">
      <text>
        <r>
          <rPr>
            <sz val="7"/>
            <color indexed="81"/>
            <rFont val="Tahoma"/>
            <family val="2"/>
          </rPr>
          <t>Ley Preferencial
Monto 0 - 40,00</t>
        </r>
        <r>
          <rPr>
            <sz val="8"/>
            <color indexed="81"/>
            <rFont val="Tahoma"/>
            <family val="2"/>
          </rPr>
          <t xml:space="preserve">0 
</t>
        </r>
        <r>
          <rPr>
            <sz val="7"/>
            <color indexed="81"/>
            <rFont val="Tahoma"/>
            <family val="2"/>
          </rPr>
          <t>valor Fijo $21.00</t>
        </r>
        <r>
          <rPr>
            <sz val="8"/>
            <color indexed="81"/>
            <rFont val="Tahoma"/>
            <family val="2"/>
          </rPr>
          <t xml:space="preserve">
</t>
        </r>
        <r>
          <rPr>
            <sz val="6"/>
            <color indexed="81"/>
            <rFont val="Tahoma"/>
            <family val="2"/>
          </rPr>
          <t xml:space="preserve"> Aplica para antigüedad Nueva
Los demás productos $26.00</t>
        </r>
      </text>
    </comment>
    <comment ref="Z1" authorId="0" shapeId="0">
      <text>
        <r>
          <rPr>
            <sz val="8"/>
            <color indexed="81"/>
            <rFont val="Tahoma"/>
            <family val="2"/>
          </rPr>
          <t xml:space="preserve">
</t>
        </r>
        <r>
          <rPr>
            <sz val="6"/>
            <color indexed="81"/>
            <rFont val="Tahoma"/>
            <family val="2"/>
          </rPr>
          <t>Existen restricciones en el contrato. Aplica para antigüedad Nueva. Valor Fijo 8.00</t>
        </r>
      </text>
    </comment>
    <comment ref="AA1" authorId="1" shapeId="0">
      <text>
        <r>
          <rPr>
            <sz val="8"/>
            <color indexed="81"/>
            <rFont val="Tahoma"/>
            <family val="2"/>
          </rPr>
          <t xml:space="preserve">
Aplica solo fideicomisos Aplica por cantidad de fincas $23,00 por finca </t>
        </r>
      </text>
    </comment>
    <comment ref="AH1" authorId="0" shapeId="0">
      <text>
        <r>
          <rPr>
            <sz val="6"/>
            <color indexed="81"/>
            <rFont val="Tahoma"/>
            <family val="2"/>
          </rPr>
          <t>Revision por hoja $2.00 en un solo juego</t>
        </r>
      </text>
    </comment>
    <comment ref="AI1" authorId="0" shapeId="0">
      <text>
        <r>
          <rPr>
            <sz val="8"/>
            <color indexed="81"/>
            <rFont val="Tahoma"/>
            <family val="2"/>
          </rPr>
          <t xml:space="preserve">$2.00 por escritura </t>
        </r>
      </text>
    </comment>
    <comment ref="AJ1" authorId="0" shapeId="0">
      <text>
        <r>
          <rPr>
            <sz val="6"/>
            <color indexed="81"/>
            <rFont val="Tahoma"/>
            <family val="2"/>
          </rPr>
          <t xml:space="preserve">Se estandariza aunque no aplique para segunda hipoteca  y tramite con fiador hipotecario </t>
        </r>
      </text>
    </comment>
    <comment ref="AK1" authorId="0" shapeId="0">
      <text>
        <r>
          <rPr>
            <b/>
            <sz val="6"/>
            <color indexed="81"/>
            <rFont val="Tahoma"/>
            <family val="2"/>
          </rPr>
          <t xml:space="preserve">Timbres por hoja $8.00 y son 2 juegos el protocolo y la que se inscribe </t>
        </r>
        <r>
          <rPr>
            <sz val="8"/>
            <color indexed="81"/>
            <rFont val="Tahoma"/>
            <family val="2"/>
          </rPr>
          <t xml:space="preserve">
</t>
        </r>
      </text>
    </comment>
    <comment ref="AL1" authorId="0" shapeId="0">
      <text>
        <r>
          <rPr>
            <sz val="6"/>
            <color indexed="81"/>
            <rFont val="Tahoma"/>
            <family val="2"/>
          </rPr>
          <t>Papel 10 centavos por cada hoja  + caratula (2) por $.15 son 2 juegos</t>
        </r>
        <r>
          <rPr>
            <sz val="8"/>
            <color indexed="81"/>
            <rFont val="Tahoma"/>
            <family val="2"/>
          </rPr>
          <t xml:space="preserve"> </t>
        </r>
      </text>
    </comment>
    <comment ref="AN1" authorId="0" shapeId="0">
      <text>
        <r>
          <rPr>
            <sz val="8"/>
            <color indexed="81"/>
            <rFont val="Tahoma"/>
            <family val="2"/>
          </rPr>
          <t xml:space="preserve">
</t>
        </r>
        <r>
          <rPr>
            <sz val="6"/>
            <color indexed="81"/>
            <rFont val="Tahoma"/>
            <family val="2"/>
          </rPr>
          <t>$2. 00 x cada orden</t>
        </r>
        <r>
          <rPr>
            <sz val="8"/>
            <color indexed="81"/>
            <rFont val="Tahoma"/>
            <family val="2"/>
          </rPr>
          <t xml:space="preserve"> </t>
        </r>
      </text>
    </comment>
    <comment ref="AO1" authorId="0" shapeId="0">
      <text>
        <r>
          <rPr>
            <sz val="8"/>
            <color indexed="81"/>
            <rFont val="Tahoma"/>
            <family val="2"/>
          </rPr>
          <t xml:space="preserve">
valor fijo 10.00</t>
        </r>
      </text>
    </comment>
    <comment ref="AO46" authorId="1" shapeId="0">
      <text>
        <r>
          <rPr>
            <sz val="8"/>
            <color indexed="81"/>
            <rFont val="Tahoma"/>
            <family val="2"/>
          </rPr>
          <t xml:space="preserve">aplica siempre que exista una venta o donación, donde el cliente realice pago del impuesto de transferencia o ganancia
</t>
        </r>
      </text>
    </comment>
    <comment ref="Q70" authorId="1" shapeId="0">
      <text>
        <r>
          <rPr>
            <sz val="8"/>
            <color indexed="81"/>
            <rFont val="Tahoma"/>
            <family val="2"/>
          </rPr>
          <t xml:space="preserve">
Iscripción Contrato Fideicomiso.
25.00 por Trámite</t>
        </r>
      </text>
    </comment>
    <comment ref="R70" authorId="1" shapeId="0">
      <text>
        <r>
          <rPr>
            <sz val="8"/>
            <color indexed="81"/>
            <rFont val="Tahoma"/>
            <family val="2"/>
          </rPr>
          <t xml:space="preserve">
Traspaso Fideicomiso
6.00 por Trámite</t>
        </r>
      </text>
    </comment>
    <comment ref="S70" authorId="1" shapeId="0">
      <text>
        <r>
          <rPr>
            <sz val="8"/>
            <color indexed="81"/>
            <rFont val="Tahoma"/>
            <family val="2"/>
          </rPr>
          <t xml:space="preserve">
$25.00 por tramite </t>
        </r>
      </text>
    </comment>
    <comment ref="T70" authorId="1" shapeId="0">
      <text>
        <r>
          <rPr>
            <sz val="8"/>
            <color indexed="81"/>
            <rFont val="Tahoma"/>
            <family val="2"/>
          </rPr>
          <t xml:space="preserve">
$10.0 por finca, mayoria 1 Valor Fijo</t>
        </r>
      </text>
    </comment>
    <comment ref="W70" authorId="1" shapeId="0">
      <text>
        <r>
          <rPr>
            <sz val="8"/>
            <color indexed="81"/>
            <rFont val="Tahoma"/>
            <family val="2"/>
          </rPr>
          <t xml:space="preserve">
Registro de Cancelaciones  mayoria 1.Valor Fijo 21.00</t>
        </r>
      </text>
    </comment>
    <comment ref="X70" authorId="1" shapeId="0">
      <text>
        <r>
          <rPr>
            <sz val="8"/>
            <color indexed="81"/>
            <rFont val="Tahoma"/>
            <family val="2"/>
          </rPr>
          <t xml:space="preserve">
$50.00 por documento</t>
        </r>
      </text>
    </comment>
    <comment ref="Y70" authorId="1" shapeId="0">
      <text>
        <r>
          <rPr>
            <sz val="8"/>
            <color indexed="81"/>
            <rFont val="Tahoma"/>
            <family val="2"/>
          </rPr>
          <t xml:space="preserve">
$6.00  por finca, mayoria 1 Valor Fijo</t>
        </r>
      </text>
    </comment>
    <comment ref="Z70" authorId="1" shapeId="0">
      <text>
        <r>
          <rPr>
            <b/>
            <sz val="8"/>
            <color indexed="81"/>
            <rFont val="Tahoma"/>
            <family val="2"/>
          </rPr>
          <t xml:space="preserve">Venta.
</t>
        </r>
        <r>
          <rPr>
            <sz val="8"/>
            <color indexed="81"/>
            <rFont val="Tahoma"/>
            <family val="2"/>
          </rPr>
          <t xml:space="preserve">$5.00 por los primeros mil y $2.50 por cada mil adicional o fracción sobre el valor de venta 
</t>
        </r>
      </text>
    </comment>
    <comment ref="AG70" authorId="1" shapeId="0">
      <text>
        <r>
          <rPr>
            <sz val="8"/>
            <color indexed="81"/>
            <rFont val="Tahoma"/>
            <family val="2"/>
          </rPr>
          <t xml:space="preserve">
Promedio de hojas por tipo de tramite</t>
        </r>
      </text>
    </comment>
    <comment ref="AH70" authorId="1" shapeId="0">
      <text>
        <r>
          <rPr>
            <sz val="8"/>
            <color indexed="81"/>
            <rFont val="Tahoma"/>
            <family val="2"/>
          </rPr>
          <t xml:space="preserve">
Promedio de paginas en escritura </t>
        </r>
      </text>
    </comment>
    <comment ref="AI70" authorId="1" shapeId="0">
      <text>
        <r>
          <rPr>
            <b/>
            <sz val="8"/>
            <color indexed="81"/>
            <rFont val="Tahoma"/>
            <family val="2"/>
          </rPr>
          <t xml:space="preserve">Derechos Notariales Revision por página </t>
        </r>
        <r>
          <rPr>
            <sz val="8"/>
            <color indexed="81"/>
            <rFont val="Tahoma"/>
            <family val="2"/>
          </rPr>
          <t xml:space="preserve">$11.00 la primera y 8 cada una de las siguientes (se cobra por un solo juego)
</t>
        </r>
      </text>
    </comment>
    <comment ref="AJ70" authorId="1" shapeId="0">
      <text>
        <r>
          <rPr>
            <sz val="8"/>
            <color indexed="81"/>
            <rFont val="Tahoma"/>
            <family val="2"/>
          </rPr>
          <t xml:space="preserve">
</t>
        </r>
        <r>
          <rPr>
            <b/>
            <sz val="8"/>
            <color indexed="81"/>
            <rFont val="Tahoma"/>
            <family val="2"/>
          </rPr>
          <t xml:space="preserve">Testigos  Notaria </t>
        </r>
        <r>
          <rPr>
            <sz val="8"/>
            <color indexed="81"/>
            <rFont val="Tahoma"/>
            <family val="2"/>
          </rPr>
          <t xml:space="preserve">
$2.00 por escritura </t>
        </r>
      </text>
    </comment>
    <comment ref="AK70" authorId="1" shapeId="0">
      <text>
        <r>
          <rPr>
            <sz val="8"/>
            <color indexed="81"/>
            <rFont val="Tahoma"/>
            <family val="2"/>
          </rPr>
          <t xml:space="preserve">
Timbres por hoja $8.00 y son 2 juegos el protocolo y la que se inscribe </t>
        </r>
      </text>
    </comment>
    <comment ref="AM70" authorId="1" shapeId="0">
      <text>
        <r>
          <rPr>
            <sz val="8"/>
            <color indexed="81"/>
            <rFont val="Tahoma"/>
            <family val="2"/>
          </rPr>
          <t xml:space="preserve">
Certificación del Pago del Impuesto del 2% ante la DGI</t>
        </r>
      </text>
    </comment>
  </commentList>
</comments>
</file>

<file path=xl/comments7.xml><?xml version="1.0" encoding="utf-8"?>
<comments xmlns="http://schemas.openxmlformats.org/spreadsheetml/2006/main">
  <authors>
    <author>msosa</author>
    <author>marmoreno</author>
  </authors>
  <commentList>
    <comment ref="T3" authorId="0" shapeId="0">
      <text>
        <r>
          <rPr>
            <b/>
            <sz val="9"/>
            <color indexed="81"/>
            <rFont val="Tahoma"/>
            <family val="2"/>
          </rPr>
          <t>msosa:</t>
        </r>
        <r>
          <rPr>
            <sz val="9"/>
            <color indexed="81"/>
            <rFont val="Tahoma"/>
            <family val="2"/>
          </rPr>
          <t xml:space="preserve">
aplica para la compra de vivienda para un familiar, no es para uso propio del deudor</t>
        </r>
      </text>
    </comment>
    <comment ref="C5" authorId="0" shapeId="0">
      <text>
        <r>
          <rPr>
            <b/>
            <sz val="9"/>
            <color indexed="81"/>
            <rFont val="Tahoma"/>
            <family val="2"/>
          </rPr>
          <t>msosa:</t>
        </r>
        <r>
          <rPr>
            <sz val="9"/>
            <color indexed="81"/>
            <rFont val="Tahoma"/>
            <family val="2"/>
          </rPr>
          <t xml:space="preserve">
revisar el glosario
</t>
        </r>
      </text>
    </comment>
    <comment ref="L5" authorId="0" shapeId="0">
      <text>
        <r>
          <rPr>
            <b/>
            <sz val="9"/>
            <color indexed="81"/>
            <rFont val="Tahoma"/>
            <family val="2"/>
          </rPr>
          <t>msosa:</t>
        </r>
        <r>
          <rPr>
            <sz val="9"/>
            <color indexed="81"/>
            <rFont val="Tahoma"/>
            <family val="2"/>
          </rPr>
          <t xml:space="preserve">
Revisar en glosario la política de metraje para apartamentos
</t>
        </r>
      </text>
    </comment>
    <comment ref="AQ5" authorId="0" shapeId="0">
      <text>
        <r>
          <rPr>
            <b/>
            <sz val="9"/>
            <color indexed="81"/>
            <rFont val="Tahoma"/>
            <family val="2"/>
          </rPr>
          <t>msosa:</t>
        </r>
        <r>
          <rPr>
            <sz val="9"/>
            <color indexed="81"/>
            <rFont val="Tahoma"/>
            <family val="2"/>
          </rPr>
          <t xml:space="preserve">
Comisión de Renovación 
revisar el glosario
</t>
        </r>
      </text>
    </comment>
    <comment ref="AZ5" authorId="0" shapeId="0">
      <text>
        <r>
          <rPr>
            <b/>
            <sz val="9"/>
            <color indexed="81"/>
            <rFont val="Tahoma"/>
            <family val="2"/>
          </rPr>
          <t>msosa:</t>
        </r>
        <r>
          <rPr>
            <sz val="9"/>
            <color indexed="81"/>
            <rFont val="Tahoma"/>
            <family val="2"/>
          </rPr>
          <t xml:space="preserve">
Comisión de Renovación 
revisar el glosario
</t>
        </r>
      </text>
    </comment>
    <comment ref="BF5" authorId="0" shapeId="0">
      <text>
        <r>
          <rPr>
            <b/>
            <sz val="9"/>
            <color indexed="81"/>
            <rFont val="Tahoma"/>
            <family val="2"/>
          </rPr>
          <t>msosa:</t>
        </r>
        <r>
          <rPr>
            <sz val="9"/>
            <color indexed="81"/>
            <rFont val="Tahoma"/>
            <family val="2"/>
          </rPr>
          <t xml:space="preserve">
Proyectos Objetivos 
Ver glosario
</t>
        </r>
      </text>
    </comment>
    <comment ref="BH5" authorId="0" shapeId="0">
      <text>
        <r>
          <rPr>
            <b/>
            <sz val="9"/>
            <color indexed="81"/>
            <rFont val="Tahoma"/>
            <family val="2"/>
          </rPr>
          <t>msosa:</t>
        </r>
        <r>
          <rPr>
            <sz val="9"/>
            <color indexed="81"/>
            <rFont val="Tahoma"/>
            <family val="2"/>
          </rPr>
          <t xml:space="preserve">
Financiamiento para Proyectos Objetivos
Ver Glosario</t>
        </r>
      </text>
    </comment>
    <comment ref="B6" authorId="0" shapeId="0">
      <text>
        <r>
          <rPr>
            <b/>
            <sz val="9"/>
            <color indexed="81"/>
            <rFont val="Tahoma"/>
            <family val="2"/>
          </rPr>
          <t>msosa:</t>
        </r>
        <r>
          <rPr>
            <sz val="9"/>
            <color indexed="81"/>
            <rFont val="Tahoma"/>
            <family val="2"/>
          </rPr>
          <t xml:space="preserve">
Bono del MIVI
ver glosario</t>
        </r>
      </text>
    </comment>
    <comment ref="BU6" authorId="1" shapeId="0">
      <text>
        <r>
          <rPr>
            <b/>
            <sz val="9"/>
            <color indexed="81"/>
            <rFont val="Tahoma"/>
            <family val="2"/>
          </rPr>
          <t>marmoreno:</t>
        </r>
        <r>
          <rPr>
            <sz val="9"/>
            <color indexed="81"/>
            <rFont val="Tahoma"/>
            <family val="2"/>
          </rPr>
          <t xml:space="preserve">
Tasa base 5.25%+ 1% inversión= 6.25%</t>
        </r>
      </text>
    </comment>
    <comment ref="CJ6" authorId="1" shapeId="0">
      <text>
        <r>
          <rPr>
            <b/>
            <sz val="9"/>
            <color indexed="81"/>
            <rFont val="Tahoma"/>
            <family val="2"/>
          </rPr>
          <t>marmoreno:</t>
        </r>
        <r>
          <rPr>
            <sz val="9"/>
            <color indexed="81"/>
            <rFont val="Tahoma"/>
            <family val="2"/>
          </rPr>
          <t xml:space="preserve">
Tasa de interino es 1% por arriba de la tasa de vivienda principal</t>
        </r>
      </text>
    </comment>
    <comment ref="B7" authorId="0" shapeId="0">
      <text>
        <r>
          <rPr>
            <b/>
            <sz val="9"/>
            <color indexed="81"/>
            <rFont val="Tahoma"/>
            <family val="2"/>
          </rPr>
          <t>msosa:</t>
        </r>
        <r>
          <rPr>
            <sz val="9"/>
            <color indexed="81"/>
            <rFont val="Tahoma"/>
            <family val="2"/>
          </rPr>
          <t xml:space="preserve">
Bono del MIVI
ver glosario
</t>
        </r>
      </text>
    </comment>
    <comment ref="C12" authorId="0" shapeId="0">
      <text>
        <r>
          <rPr>
            <b/>
            <sz val="9"/>
            <color indexed="81"/>
            <rFont val="Tahoma"/>
            <family val="2"/>
          </rPr>
          <t>msosa:</t>
        </r>
        <r>
          <rPr>
            <sz val="9"/>
            <color indexed="81"/>
            <rFont val="Tahoma"/>
            <family val="2"/>
          </rPr>
          <t xml:space="preserve">
revisar el glosario
</t>
        </r>
      </text>
    </comment>
    <comment ref="AQ12" authorId="0" shapeId="0">
      <text>
        <r>
          <rPr>
            <b/>
            <sz val="9"/>
            <color indexed="81"/>
            <rFont val="Tahoma"/>
            <family val="2"/>
          </rPr>
          <t>msosa:</t>
        </r>
        <r>
          <rPr>
            <sz val="9"/>
            <color indexed="81"/>
            <rFont val="Tahoma"/>
            <family val="2"/>
          </rPr>
          <t xml:space="preserve">
Comisión de Renovación
revisar el glosario
</t>
        </r>
      </text>
    </comment>
    <comment ref="B13" authorId="0" shapeId="0">
      <text>
        <r>
          <rPr>
            <b/>
            <sz val="9"/>
            <color indexed="81"/>
            <rFont val="Tahoma"/>
            <family val="2"/>
          </rPr>
          <t>msosa:</t>
        </r>
        <r>
          <rPr>
            <sz val="9"/>
            <color indexed="81"/>
            <rFont val="Tahoma"/>
            <family val="2"/>
          </rPr>
          <t xml:space="preserve">
Bono del MIVI
Revisar el glosario</t>
        </r>
      </text>
    </comment>
    <comment ref="T13" authorId="0" shapeId="0">
      <text>
        <r>
          <rPr>
            <b/>
            <sz val="9"/>
            <color indexed="81"/>
            <rFont val="Tahoma"/>
            <family val="2"/>
          </rPr>
          <t>msosa:</t>
        </r>
        <r>
          <rPr>
            <sz val="9"/>
            <color indexed="81"/>
            <rFont val="Tahoma"/>
            <family val="2"/>
          </rPr>
          <t xml:space="preserve">
aplica para la compra de vivienda para un familiar, no es para uso propio del deudor</t>
        </r>
      </text>
    </comment>
    <comment ref="BU13" authorId="1" shapeId="0">
      <text>
        <r>
          <rPr>
            <b/>
            <sz val="9"/>
            <color indexed="81"/>
            <rFont val="Tahoma"/>
            <family val="2"/>
          </rPr>
          <t>marmoreno:</t>
        </r>
        <r>
          <rPr>
            <sz val="9"/>
            <color indexed="81"/>
            <rFont val="Tahoma"/>
            <family val="2"/>
          </rPr>
          <t xml:space="preserve">
Tasa base 5.25%+ 1% inversión= 6.25%</t>
        </r>
      </text>
    </comment>
    <comment ref="CJ13" authorId="1" shapeId="0">
      <text>
        <r>
          <rPr>
            <b/>
            <sz val="9"/>
            <color indexed="81"/>
            <rFont val="Tahoma"/>
            <family val="2"/>
          </rPr>
          <t>marmoreno:</t>
        </r>
        <r>
          <rPr>
            <sz val="9"/>
            <color indexed="81"/>
            <rFont val="Tahoma"/>
            <family val="2"/>
          </rPr>
          <t xml:space="preserve">
Tasa de interino es 1% por arriba de tasa de vivienda principal</t>
        </r>
      </text>
    </comment>
    <comment ref="B14" authorId="0" shapeId="0">
      <text>
        <r>
          <rPr>
            <b/>
            <sz val="9"/>
            <color indexed="81"/>
            <rFont val="Tahoma"/>
            <family val="2"/>
          </rPr>
          <t>msosa:</t>
        </r>
        <r>
          <rPr>
            <sz val="9"/>
            <color indexed="81"/>
            <rFont val="Tahoma"/>
            <family val="2"/>
          </rPr>
          <t xml:space="preserve">
Bono del MIVI 
revisar el glosario</t>
        </r>
      </text>
    </comment>
    <comment ref="T14" authorId="0" shapeId="0">
      <text>
        <r>
          <rPr>
            <b/>
            <sz val="9"/>
            <color indexed="81"/>
            <rFont val="Tahoma"/>
            <family val="2"/>
          </rPr>
          <t>msosa:</t>
        </r>
        <r>
          <rPr>
            <sz val="9"/>
            <color indexed="81"/>
            <rFont val="Tahoma"/>
            <family val="2"/>
          </rPr>
          <t xml:space="preserve">
aplica para la compra de vivienda para un familiar, no es para uso propio del deudor</t>
        </r>
      </text>
    </comment>
    <comment ref="C19" authorId="0" shapeId="0">
      <text>
        <r>
          <rPr>
            <b/>
            <sz val="9"/>
            <color indexed="81"/>
            <rFont val="Tahoma"/>
            <family val="2"/>
          </rPr>
          <t>msosa:</t>
        </r>
        <r>
          <rPr>
            <sz val="9"/>
            <color indexed="81"/>
            <rFont val="Tahoma"/>
            <family val="2"/>
          </rPr>
          <t xml:space="preserve">
revisar el glosario
</t>
        </r>
      </text>
    </comment>
    <comment ref="AQ19" authorId="0" shapeId="0">
      <text>
        <r>
          <rPr>
            <b/>
            <sz val="9"/>
            <color indexed="81"/>
            <rFont val="Tahoma"/>
            <family val="2"/>
          </rPr>
          <t>msosa:</t>
        </r>
        <r>
          <rPr>
            <sz val="9"/>
            <color indexed="81"/>
            <rFont val="Tahoma"/>
            <family val="2"/>
          </rPr>
          <t xml:space="preserve">
Comisión de Renovación
revisar el glosario
</t>
        </r>
      </text>
    </comment>
    <comment ref="B20" authorId="0" shapeId="0">
      <text>
        <r>
          <rPr>
            <b/>
            <sz val="9"/>
            <color indexed="81"/>
            <rFont val="Tahoma"/>
            <family val="2"/>
          </rPr>
          <t>msosa:</t>
        </r>
        <r>
          <rPr>
            <sz val="9"/>
            <color indexed="81"/>
            <rFont val="Tahoma"/>
            <family val="2"/>
          </rPr>
          <t xml:space="preserve">
Bono del MIVI
Revisar el glosario</t>
        </r>
      </text>
    </comment>
    <comment ref="BU20" authorId="1" shapeId="0">
      <text>
        <r>
          <rPr>
            <b/>
            <sz val="9"/>
            <color indexed="81"/>
            <rFont val="Tahoma"/>
            <family val="2"/>
          </rPr>
          <t>marmoreno:</t>
        </r>
        <r>
          <rPr>
            <sz val="9"/>
            <color indexed="81"/>
            <rFont val="Tahoma"/>
            <family val="2"/>
          </rPr>
          <t xml:space="preserve">
Tasa base 5.25%+1% inversión+ 0.25% riesgo política= 6.50%</t>
        </r>
      </text>
    </comment>
    <comment ref="B21" authorId="0" shapeId="0">
      <text>
        <r>
          <rPr>
            <b/>
            <sz val="9"/>
            <color indexed="81"/>
            <rFont val="Tahoma"/>
            <family val="2"/>
          </rPr>
          <t>msosa:</t>
        </r>
        <r>
          <rPr>
            <sz val="9"/>
            <color indexed="81"/>
            <rFont val="Tahoma"/>
            <family val="2"/>
          </rPr>
          <t xml:space="preserve">
Bono del MIVI 
revisar el glosario</t>
        </r>
      </text>
    </comment>
    <comment ref="T23" authorId="0" shapeId="0">
      <text>
        <r>
          <rPr>
            <b/>
            <sz val="9"/>
            <color indexed="81"/>
            <rFont val="Tahoma"/>
            <family val="2"/>
          </rPr>
          <t>msosa:</t>
        </r>
        <r>
          <rPr>
            <sz val="9"/>
            <color indexed="81"/>
            <rFont val="Tahoma"/>
            <family val="2"/>
          </rPr>
          <t xml:space="preserve">
aplica para la compra de vivienda para un familiar, no es para uso propio del deudor</t>
        </r>
      </text>
    </comment>
    <comment ref="C26" authorId="0" shapeId="0">
      <text>
        <r>
          <rPr>
            <b/>
            <sz val="9"/>
            <color indexed="81"/>
            <rFont val="Tahoma"/>
            <family val="2"/>
          </rPr>
          <t>msosa:</t>
        </r>
        <r>
          <rPr>
            <sz val="9"/>
            <color indexed="81"/>
            <rFont val="Tahoma"/>
            <family val="2"/>
          </rPr>
          <t xml:space="preserve">
revisar el glosario
</t>
        </r>
      </text>
    </comment>
    <comment ref="AQ26" authorId="0" shapeId="0">
      <text>
        <r>
          <rPr>
            <b/>
            <sz val="9"/>
            <color indexed="81"/>
            <rFont val="Tahoma"/>
            <family val="2"/>
          </rPr>
          <t>msosa:</t>
        </r>
        <r>
          <rPr>
            <sz val="9"/>
            <color indexed="81"/>
            <rFont val="Tahoma"/>
            <family val="2"/>
          </rPr>
          <t xml:space="preserve">
Comisión de Renovación
revisar el glosario
</t>
        </r>
      </text>
    </comment>
    <comment ref="B27" authorId="0" shapeId="0">
      <text>
        <r>
          <rPr>
            <b/>
            <sz val="9"/>
            <color indexed="81"/>
            <rFont val="Tahoma"/>
            <family val="2"/>
          </rPr>
          <t>msosa:</t>
        </r>
        <r>
          <rPr>
            <sz val="9"/>
            <color indexed="81"/>
            <rFont val="Tahoma"/>
            <family val="2"/>
          </rPr>
          <t xml:space="preserve">
Bono del MIVI
Revisar el glosario</t>
        </r>
      </text>
    </comment>
    <comment ref="BU27" authorId="1" shapeId="0">
      <text>
        <r>
          <rPr>
            <b/>
            <sz val="9"/>
            <color indexed="81"/>
            <rFont val="Tahoma"/>
            <family val="2"/>
          </rPr>
          <t>marmoreno:</t>
        </r>
        <r>
          <rPr>
            <sz val="9"/>
            <color indexed="81"/>
            <rFont val="Tahoma"/>
            <family val="2"/>
          </rPr>
          <t xml:space="preserve">
Tasa base 5.25%+1% inversión+ 0.25% riesgo política= 6.50%</t>
        </r>
      </text>
    </comment>
    <comment ref="B28" authorId="0" shapeId="0">
      <text>
        <r>
          <rPr>
            <b/>
            <sz val="9"/>
            <color indexed="81"/>
            <rFont val="Tahoma"/>
            <family val="2"/>
          </rPr>
          <t>msosa:</t>
        </r>
        <r>
          <rPr>
            <sz val="9"/>
            <color indexed="81"/>
            <rFont val="Tahoma"/>
            <family val="2"/>
          </rPr>
          <t xml:space="preserve">
Bono del MIVI 
revisar el glosario</t>
        </r>
      </text>
    </comment>
    <comment ref="AZ28" authorId="0" shapeId="0">
      <text>
        <r>
          <rPr>
            <b/>
            <sz val="9"/>
            <color indexed="81"/>
            <rFont val="Tahoma"/>
            <family val="2"/>
          </rPr>
          <t>msosa:</t>
        </r>
        <r>
          <rPr>
            <sz val="9"/>
            <color indexed="81"/>
            <rFont val="Tahoma"/>
            <family val="2"/>
          </rPr>
          <t xml:space="preserve">
Comisión de Renovación 
revisar el glosario
</t>
        </r>
      </text>
    </comment>
    <comment ref="T30" authorId="0" shapeId="0">
      <text>
        <r>
          <rPr>
            <b/>
            <sz val="9"/>
            <color indexed="81"/>
            <rFont val="Tahoma"/>
            <family val="2"/>
          </rPr>
          <t>msosa:</t>
        </r>
        <r>
          <rPr>
            <sz val="9"/>
            <color indexed="81"/>
            <rFont val="Tahoma"/>
            <family val="2"/>
          </rPr>
          <t xml:space="preserve">
aplica para la compra de vivienda para un familiar, no es para uso propio del deudor</t>
        </r>
      </text>
    </comment>
    <comment ref="Y33" authorId="1" shapeId="0">
      <text>
        <r>
          <rPr>
            <b/>
            <sz val="9"/>
            <color indexed="81"/>
            <rFont val="Tahoma"/>
            <family val="2"/>
          </rPr>
          <t>marmoreno:</t>
        </r>
        <r>
          <rPr>
            <sz val="9"/>
            <color indexed="81"/>
            <rFont val="Tahoma"/>
            <family val="2"/>
          </rPr>
          <t xml:space="preserve">
Tasa 5.25%+0.50% segunda residencia+ 1.25% riesgo política=7%
</t>
        </r>
      </text>
    </comment>
    <comment ref="AQ33" authorId="0" shapeId="0">
      <text>
        <r>
          <rPr>
            <b/>
            <sz val="9"/>
            <color indexed="81"/>
            <rFont val="Tahoma"/>
            <family val="2"/>
          </rPr>
          <t>msosa:</t>
        </r>
        <r>
          <rPr>
            <sz val="9"/>
            <color indexed="81"/>
            <rFont val="Tahoma"/>
            <family val="2"/>
          </rPr>
          <t xml:space="preserve">
Comisión de Renovación
revisar el glosario</t>
        </r>
      </text>
    </comment>
    <comment ref="BU34" authorId="1" shapeId="0">
      <text>
        <r>
          <rPr>
            <b/>
            <sz val="9"/>
            <color indexed="81"/>
            <rFont val="Tahoma"/>
            <family val="2"/>
          </rPr>
          <t>marmoreno:</t>
        </r>
        <r>
          <rPr>
            <sz val="9"/>
            <color indexed="81"/>
            <rFont val="Tahoma"/>
            <family val="2"/>
          </rPr>
          <t xml:space="preserve">
Tasa base 5.25%+1% inversión= 6.25%</t>
        </r>
      </text>
    </comment>
    <comment ref="T37" authorId="0" shapeId="0">
      <text>
        <r>
          <rPr>
            <b/>
            <sz val="9"/>
            <color indexed="81"/>
            <rFont val="Tahoma"/>
            <family val="2"/>
          </rPr>
          <t>msosa:</t>
        </r>
        <r>
          <rPr>
            <sz val="9"/>
            <color indexed="81"/>
            <rFont val="Tahoma"/>
            <family val="2"/>
          </rPr>
          <t xml:space="preserve">
aplica para la compra de vivienda para un familiar, no es para uso propio del deudor</t>
        </r>
      </text>
    </comment>
    <comment ref="BF38" authorId="0" shapeId="0">
      <text>
        <r>
          <rPr>
            <b/>
            <sz val="9"/>
            <color indexed="81"/>
            <rFont val="Tahoma"/>
            <family val="2"/>
          </rPr>
          <t>msosa:</t>
        </r>
        <r>
          <rPr>
            <sz val="9"/>
            <color indexed="81"/>
            <rFont val="Tahoma"/>
            <family val="2"/>
          </rPr>
          <t xml:space="preserve">
Proyectos Objetivos 
Ver glosario
</t>
        </r>
      </text>
    </comment>
    <comment ref="BH38" authorId="0" shapeId="0">
      <text>
        <r>
          <rPr>
            <b/>
            <sz val="9"/>
            <color indexed="81"/>
            <rFont val="Tahoma"/>
            <family val="2"/>
          </rPr>
          <t>msosa:</t>
        </r>
        <r>
          <rPr>
            <sz val="9"/>
            <color indexed="81"/>
            <rFont val="Tahoma"/>
            <family val="2"/>
          </rPr>
          <t xml:space="preserve">
Financiamiento para Proyectos Objetivos
Ver Glosario</t>
        </r>
      </text>
    </comment>
    <comment ref="AQ40" authorId="0" shapeId="0">
      <text>
        <r>
          <rPr>
            <b/>
            <sz val="9"/>
            <color indexed="81"/>
            <rFont val="Tahoma"/>
            <family val="2"/>
          </rPr>
          <t>msosa:</t>
        </r>
        <r>
          <rPr>
            <sz val="9"/>
            <color indexed="81"/>
            <rFont val="Tahoma"/>
            <family val="2"/>
          </rPr>
          <t xml:space="preserve">
Comisión de Renovación
revisar el glosario</t>
        </r>
      </text>
    </comment>
    <comment ref="BU41" authorId="1" shapeId="0">
      <text>
        <r>
          <rPr>
            <b/>
            <sz val="9"/>
            <color indexed="81"/>
            <rFont val="Tahoma"/>
            <family val="2"/>
          </rPr>
          <t>marmoreno:</t>
        </r>
        <r>
          <rPr>
            <sz val="9"/>
            <color indexed="81"/>
            <rFont val="Tahoma"/>
            <family val="2"/>
          </rPr>
          <t xml:space="preserve">
Tasa base 5.25%+1% inversión= 6.25%</t>
        </r>
      </text>
    </comment>
    <comment ref="L43" authorId="0" shapeId="0">
      <text>
        <r>
          <rPr>
            <b/>
            <sz val="9"/>
            <color indexed="81"/>
            <rFont val="Tahoma"/>
            <family val="2"/>
          </rPr>
          <t>msosa:</t>
        </r>
        <r>
          <rPr>
            <sz val="9"/>
            <color indexed="81"/>
            <rFont val="Tahoma"/>
            <family val="2"/>
          </rPr>
          <t xml:space="preserve">
revisar el glosario
</t>
        </r>
      </text>
    </comment>
    <comment ref="T47" authorId="0" shapeId="0">
      <text>
        <r>
          <rPr>
            <b/>
            <sz val="9"/>
            <color indexed="81"/>
            <rFont val="Tahoma"/>
            <family val="2"/>
          </rPr>
          <t>msosa:</t>
        </r>
        <r>
          <rPr>
            <sz val="9"/>
            <color indexed="81"/>
            <rFont val="Tahoma"/>
            <family val="2"/>
          </rPr>
          <t xml:space="preserve">
aplica para la compra de vivienda para un familiar, no es para uso propio del deudor</t>
        </r>
      </text>
    </comment>
    <comment ref="L51" authorId="0" shapeId="0">
      <text>
        <r>
          <rPr>
            <b/>
            <sz val="9"/>
            <color indexed="81"/>
            <rFont val="Tahoma"/>
            <family val="2"/>
          </rPr>
          <t>msosa:</t>
        </r>
        <r>
          <rPr>
            <sz val="9"/>
            <color indexed="81"/>
            <rFont val="Tahoma"/>
            <family val="2"/>
          </rPr>
          <t xml:space="preserve">
Revisar el glosario</t>
        </r>
      </text>
    </comment>
    <comment ref="AZ51" authorId="0" shapeId="0">
      <text>
        <r>
          <rPr>
            <b/>
            <sz val="9"/>
            <color indexed="81"/>
            <rFont val="Tahoma"/>
            <family val="2"/>
          </rPr>
          <t>msosa:</t>
        </r>
        <r>
          <rPr>
            <sz val="9"/>
            <color indexed="81"/>
            <rFont val="Tahoma"/>
            <family val="2"/>
          </rPr>
          <t xml:space="preserve">
Comisión de Renovación 
revisar el glosario
</t>
        </r>
      </text>
    </comment>
    <comment ref="AY52" authorId="1" shapeId="0">
      <text>
        <r>
          <rPr>
            <b/>
            <sz val="9"/>
            <color indexed="81"/>
            <rFont val="Tahoma"/>
            <family val="2"/>
          </rPr>
          <t>marmoreno:</t>
        </r>
        <r>
          <rPr>
            <sz val="9"/>
            <color indexed="81"/>
            <rFont val="Tahoma"/>
            <family val="2"/>
          </rPr>
          <t xml:space="preserve">
Vivienda Usada 
Tasa Base 5.25%*+ 0.50% segunda residencia+0.25% riesgo política B= 6%
</t>
        </r>
      </text>
    </comment>
    <comment ref="AZ58" authorId="0" shapeId="0">
      <text>
        <r>
          <rPr>
            <b/>
            <sz val="9"/>
            <color indexed="81"/>
            <rFont val="Tahoma"/>
            <family val="2"/>
          </rPr>
          <t>msosa:</t>
        </r>
        <r>
          <rPr>
            <sz val="9"/>
            <color indexed="81"/>
            <rFont val="Tahoma"/>
            <family val="2"/>
          </rPr>
          <t xml:space="preserve">
Comisión de Renovación 
revisar el glosario
</t>
        </r>
      </text>
    </comment>
    <comment ref="AY59" authorId="1" shapeId="0">
      <text>
        <r>
          <rPr>
            <b/>
            <sz val="9"/>
            <color indexed="81"/>
            <rFont val="Tahoma"/>
            <family val="2"/>
          </rPr>
          <t>marmoreno:</t>
        </r>
        <r>
          <rPr>
            <sz val="9"/>
            <color indexed="81"/>
            <rFont val="Tahoma"/>
            <family val="2"/>
          </rPr>
          <t xml:space="preserve">
Tasa base 5.25%+ 0.50% segunda residencia+ 1.25% riesgo politica C= 7%</t>
        </r>
      </text>
    </comment>
    <comment ref="AZ65" authorId="0" shapeId="0">
      <text>
        <r>
          <rPr>
            <b/>
            <sz val="9"/>
            <color indexed="81"/>
            <rFont val="Tahoma"/>
            <family val="2"/>
          </rPr>
          <t>msosa:</t>
        </r>
        <r>
          <rPr>
            <sz val="9"/>
            <color indexed="81"/>
            <rFont val="Tahoma"/>
            <family val="2"/>
          </rPr>
          <t xml:space="preserve">
Comisión de Renovación 
revisar el glosario
</t>
        </r>
      </text>
    </comment>
    <comment ref="BH71" authorId="0" shapeId="0">
      <text>
        <r>
          <rPr>
            <b/>
            <sz val="9"/>
            <color indexed="81"/>
            <rFont val="Tahoma"/>
            <family val="2"/>
          </rPr>
          <t>msosa:</t>
        </r>
        <r>
          <rPr>
            <sz val="9"/>
            <color indexed="81"/>
            <rFont val="Tahoma"/>
            <family val="2"/>
          </rPr>
          <t xml:space="preserve">
msosa:
Financiamiento para Proyectos Objetivos
Ver Glosario</t>
        </r>
      </text>
    </comment>
    <comment ref="BL72" authorId="1" shapeId="0">
      <text>
        <r>
          <rPr>
            <b/>
            <sz val="9"/>
            <color indexed="81"/>
            <rFont val="Tahoma"/>
            <family val="2"/>
          </rPr>
          <t>marmoreno:</t>
        </r>
        <r>
          <rPr>
            <sz val="9"/>
            <color indexed="81"/>
            <rFont val="Tahoma"/>
            <family val="2"/>
          </rPr>
          <t xml:space="preserve">
Vacacional: Tasa base 5.25%+ 1% vacacional+.25% riesgo política= 6.50%</t>
        </r>
      </text>
    </comment>
    <comment ref="L74" authorId="0" shapeId="0">
      <text>
        <r>
          <rPr>
            <b/>
            <sz val="9"/>
            <color indexed="81"/>
            <rFont val="Tahoma"/>
            <family val="2"/>
          </rPr>
          <t>msosa:</t>
        </r>
        <r>
          <rPr>
            <sz val="9"/>
            <color indexed="81"/>
            <rFont val="Tahoma"/>
            <family val="2"/>
          </rPr>
          <t xml:space="preserve">
Revisar el glosario</t>
        </r>
      </text>
    </comment>
    <comment ref="BH80" authorId="0" shapeId="0">
      <text>
        <r>
          <rPr>
            <b/>
            <sz val="9"/>
            <color indexed="81"/>
            <rFont val="Tahoma"/>
            <family val="2"/>
          </rPr>
          <t>msosa:</t>
        </r>
        <r>
          <rPr>
            <sz val="9"/>
            <color indexed="81"/>
            <rFont val="Tahoma"/>
            <family val="2"/>
          </rPr>
          <t xml:space="preserve">
msosa:
Financiamiento para Proyectos Objetivos
Ver Glosario</t>
        </r>
      </text>
    </comment>
    <comment ref="BL81" authorId="1" shapeId="0">
      <text>
        <r>
          <rPr>
            <b/>
            <sz val="9"/>
            <color indexed="81"/>
            <rFont val="Tahoma"/>
            <family val="2"/>
          </rPr>
          <t>marmoreno:</t>
        </r>
        <r>
          <rPr>
            <sz val="9"/>
            <color indexed="81"/>
            <rFont val="Tahoma"/>
            <family val="2"/>
          </rPr>
          <t xml:space="preserve">
Vacacional: Tasa base 5.25%+ 1% vacacional+.25% riesgo política= 6.50%</t>
        </r>
      </text>
    </comment>
    <comment ref="AZ83" authorId="0" shapeId="0">
      <text>
        <r>
          <rPr>
            <b/>
            <sz val="9"/>
            <color indexed="81"/>
            <rFont val="Tahoma"/>
            <family val="2"/>
          </rPr>
          <t>msosa:</t>
        </r>
        <r>
          <rPr>
            <sz val="9"/>
            <color indexed="81"/>
            <rFont val="Tahoma"/>
            <family val="2"/>
          </rPr>
          <t xml:space="preserve">
Comisión de Renovación 
revisar el glosario
</t>
        </r>
      </text>
    </comment>
    <comment ref="BE88" authorId="0" shapeId="0">
      <text>
        <r>
          <rPr>
            <b/>
            <sz val="9"/>
            <color indexed="81"/>
            <rFont val="Tahoma"/>
            <family val="2"/>
          </rPr>
          <t>msosa:</t>
        </r>
        <r>
          <rPr>
            <sz val="9"/>
            <color indexed="81"/>
            <rFont val="Tahoma"/>
            <family val="2"/>
          </rPr>
          <t xml:space="preserve">
política D siempre es excepción
</t>
        </r>
      </text>
    </comment>
    <comment ref="BF89" authorId="0" shapeId="0">
      <text>
        <r>
          <rPr>
            <b/>
            <sz val="9"/>
            <color indexed="81"/>
            <rFont val="Tahoma"/>
            <family val="2"/>
          </rPr>
          <t>msosa:</t>
        </r>
        <r>
          <rPr>
            <sz val="9"/>
            <color indexed="81"/>
            <rFont val="Tahoma"/>
            <family val="2"/>
          </rPr>
          <t xml:space="preserve">
Proyectos Objetivos 
Ver glosario
</t>
        </r>
      </text>
    </comment>
    <comment ref="BH89" authorId="0" shapeId="0">
      <text>
        <r>
          <rPr>
            <b/>
            <sz val="9"/>
            <color indexed="81"/>
            <rFont val="Tahoma"/>
            <family val="2"/>
          </rPr>
          <t>msosa:</t>
        </r>
        <r>
          <rPr>
            <sz val="9"/>
            <color indexed="81"/>
            <rFont val="Tahoma"/>
            <family val="2"/>
          </rPr>
          <t xml:space="preserve">
Financiamiento para Proyectos Objetivos
Ver Glosario</t>
        </r>
      </text>
    </comment>
    <comment ref="BE122" authorId="0" shapeId="0">
      <text>
        <r>
          <rPr>
            <b/>
            <sz val="9"/>
            <color indexed="81"/>
            <rFont val="Tahoma"/>
            <family val="2"/>
          </rPr>
          <t>msosa:</t>
        </r>
        <r>
          <rPr>
            <sz val="9"/>
            <color indexed="81"/>
            <rFont val="Tahoma"/>
            <family val="2"/>
          </rPr>
          <t xml:space="preserve">
política D siempre es excepción
</t>
        </r>
      </text>
    </comment>
    <comment ref="BF123" authorId="0" shapeId="0">
      <text>
        <r>
          <rPr>
            <b/>
            <sz val="9"/>
            <color indexed="81"/>
            <rFont val="Tahoma"/>
            <family val="2"/>
          </rPr>
          <t>msosa:</t>
        </r>
        <r>
          <rPr>
            <sz val="9"/>
            <color indexed="81"/>
            <rFont val="Tahoma"/>
            <family val="2"/>
          </rPr>
          <t xml:space="preserve">
Proyectos Objetivos 
Ver glosario
</t>
        </r>
      </text>
    </comment>
    <comment ref="BH123" authorId="0" shapeId="0">
      <text>
        <r>
          <rPr>
            <b/>
            <sz val="9"/>
            <color indexed="81"/>
            <rFont val="Tahoma"/>
            <family val="2"/>
          </rPr>
          <t>msosa:</t>
        </r>
        <r>
          <rPr>
            <sz val="9"/>
            <color indexed="81"/>
            <rFont val="Tahoma"/>
            <family val="2"/>
          </rPr>
          <t xml:space="preserve">
Financiamiento para Proyectos Objetivos
Ver Glosario</t>
        </r>
      </text>
    </comment>
  </commentList>
</comments>
</file>

<file path=xl/comments8.xml><?xml version="1.0" encoding="utf-8"?>
<comments xmlns="http://schemas.openxmlformats.org/spreadsheetml/2006/main">
  <authors>
    <author>licaza</author>
  </authors>
  <commentList>
    <comment ref="C87" authorId="0" shapeId="0">
      <text>
        <r>
          <rPr>
            <b/>
            <sz val="9"/>
            <color indexed="81"/>
            <rFont val="Tahoma"/>
            <family val="2"/>
          </rPr>
          <t>licaza:</t>
        </r>
        <r>
          <rPr>
            <sz val="9"/>
            <color indexed="81"/>
            <rFont val="Tahoma"/>
            <family val="2"/>
          </rPr>
          <t xml:space="preserve">
SANTA MARÍA</t>
        </r>
      </text>
    </comment>
    <comment ref="B134" authorId="0" shapeId="0">
      <text>
        <r>
          <rPr>
            <b/>
            <sz val="9"/>
            <color indexed="81"/>
            <rFont val="Tahoma"/>
            <family val="2"/>
          </rPr>
          <t>licaza:</t>
        </r>
        <r>
          <rPr>
            <sz val="9"/>
            <color indexed="81"/>
            <rFont val="Tahoma"/>
            <family val="2"/>
          </rPr>
          <t xml:space="preserve">
LOTES URBANIZADOS</t>
        </r>
      </text>
    </comment>
  </commentList>
</comments>
</file>

<file path=xl/sharedStrings.xml><?xml version="1.0" encoding="utf-8"?>
<sst xmlns="http://schemas.openxmlformats.org/spreadsheetml/2006/main" count="14199" uniqueCount="2528">
  <si>
    <t>Cotización de Préstamo Hipotecario</t>
  </si>
  <si>
    <t>Fecha</t>
  </si>
  <si>
    <t>Programa</t>
  </si>
  <si>
    <t>Sucursal</t>
  </si>
  <si>
    <t>sucursales</t>
  </si>
  <si>
    <t>Finalidad</t>
  </si>
  <si>
    <t>Tipo_Préstamo</t>
  </si>
  <si>
    <t>Tipo _Trámite</t>
  </si>
  <si>
    <t>Compra de Vivienda</t>
  </si>
  <si>
    <t>Ley Preferencial</t>
  </si>
  <si>
    <t>Tipo Préstamo</t>
  </si>
  <si>
    <t>Residencial</t>
  </si>
  <si>
    <t>Construcción</t>
  </si>
  <si>
    <t>Vacacional</t>
  </si>
  <si>
    <t>Antigüedad</t>
  </si>
  <si>
    <t>Tipo_Garantía</t>
  </si>
  <si>
    <t>Casa Cash</t>
  </si>
  <si>
    <t>Individual</t>
  </si>
  <si>
    <t>Reposeído</t>
  </si>
  <si>
    <t>Interino</t>
  </si>
  <si>
    <t>Segunda Hipoteca</t>
  </si>
  <si>
    <t>Nueva</t>
  </si>
  <si>
    <t>Casa</t>
  </si>
  <si>
    <t>Compra Vivienda Vacacional</t>
  </si>
  <si>
    <t>Usada</t>
  </si>
  <si>
    <t>Apartamento</t>
  </si>
  <si>
    <t>Traspaso de Otro Banco</t>
  </si>
  <si>
    <t>Refinanciamiento</t>
  </si>
  <si>
    <t>Cambio de Dueño y Deudor</t>
  </si>
  <si>
    <t>Extensión Plazo</t>
  </si>
  <si>
    <t>Cambio de Dueño</t>
  </si>
  <si>
    <t>Cambio de Fiador Solidario</t>
  </si>
  <si>
    <t>combo_finalidad</t>
  </si>
  <si>
    <t>BIENES REPOSEÍDOS</t>
  </si>
  <si>
    <t>F.V. CONSUMO</t>
  </si>
  <si>
    <t>F.V. CONSUMO INTERIOR</t>
  </si>
  <si>
    <t>RETENCIÓN</t>
  </si>
  <si>
    <t>RECURSOS HUMANOS</t>
  </si>
  <si>
    <t>CENTRO DE ATENCIÓN AL CLIENTE</t>
  </si>
  <si>
    <t>SERVICIOS HIPOTECARIOS</t>
  </si>
  <si>
    <t>TELEMERCADEO</t>
  </si>
  <si>
    <t>Finalidad del préstamo</t>
  </si>
  <si>
    <t>Tipo de préstamo</t>
  </si>
  <si>
    <t>Datos de la propiedad</t>
  </si>
  <si>
    <t>Tipo de trámite</t>
  </si>
  <si>
    <t>Tipo de vivienda</t>
  </si>
  <si>
    <t>Tipo de garantía</t>
  </si>
  <si>
    <t>Proyecto</t>
  </si>
  <si>
    <t>Promotor</t>
  </si>
  <si>
    <t>Cálculo</t>
  </si>
  <si>
    <t>%</t>
  </si>
  <si>
    <t>Feci</t>
  </si>
  <si>
    <t>Plazo</t>
  </si>
  <si>
    <t>Mensualidad</t>
  </si>
  <si>
    <t>ELIJA UNA OPCIÓN</t>
  </si>
  <si>
    <t>combo_tipoprestamo</t>
  </si>
  <si>
    <t>combo_tipotrámite</t>
  </si>
  <si>
    <t>Lista_compra</t>
  </si>
  <si>
    <t>Lista_traspaso</t>
  </si>
  <si>
    <t>Lista_casaCash</t>
  </si>
  <si>
    <t>lista_ext</t>
  </si>
  <si>
    <t>lista_const</t>
  </si>
  <si>
    <t>lista_compras</t>
  </si>
  <si>
    <t>lista_ccash</t>
  </si>
  <si>
    <t>Valor de mejoras</t>
  </si>
  <si>
    <t>Monto a financiar</t>
  </si>
  <si>
    <t>Tasa de interés</t>
  </si>
  <si>
    <t>Seguro de incendio</t>
  </si>
  <si>
    <t>Comisión de manejo</t>
  </si>
  <si>
    <t>Préstamo</t>
  </si>
  <si>
    <t>Esta Comprando?</t>
  </si>
  <si>
    <t>Trámite</t>
  </si>
  <si>
    <t>Garantía</t>
  </si>
  <si>
    <t>Listas de Tipo de Préstamo</t>
  </si>
  <si>
    <t>Lista del Tipo de Trámite</t>
  </si>
  <si>
    <t>Tipo Garantía</t>
  </si>
  <si>
    <t>combo_tipo_garantía</t>
  </si>
  <si>
    <t>Servicios Legales:</t>
  </si>
  <si>
    <t>Comisión de Cierre</t>
  </si>
  <si>
    <t xml:space="preserve">Bono Gastos Legales </t>
  </si>
  <si>
    <t>Total de Gastos Legales</t>
  </si>
  <si>
    <t>Participación</t>
  </si>
  <si>
    <t>Nombre del Cliente</t>
  </si>
  <si>
    <t>Años de servicio actual</t>
  </si>
  <si>
    <t>Trabaja en</t>
  </si>
  <si>
    <t>Fecha de nacimiento</t>
  </si>
  <si>
    <t>Salario y Gastos de Representación</t>
  </si>
  <si>
    <t>Otros ingresos</t>
  </si>
  <si>
    <t>Pago Voluntario</t>
  </si>
  <si>
    <t>Seguro de Vida</t>
  </si>
  <si>
    <t>Datos Generales del participante</t>
  </si>
  <si>
    <t>Participante 1</t>
  </si>
  <si>
    <t>Participante 2</t>
  </si>
  <si>
    <t>Participante 3</t>
  </si>
  <si>
    <t>Participante 4</t>
  </si>
  <si>
    <t>Consideraciones Generales</t>
  </si>
  <si>
    <t>Edad 2</t>
  </si>
  <si>
    <t>Edad 3</t>
  </si>
  <si>
    <t>Edad 4</t>
  </si>
  <si>
    <t>Cert Ley Preferencial</t>
  </si>
  <si>
    <t>Hoy</t>
  </si>
  <si>
    <t>Edad</t>
  </si>
  <si>
    <t>SI(O(R1=2,R1=3,R1=4),lista_casacash,SI(R1=5,lista_traspaso,Lista_compra))</t>
  </si>
  <si>
    <t>Fórmula para Tipo de Préstamos en la validación</t>
  </si>
  <si>
    <t>Fórmula para Tipo de Trámites en la validación</t>
  </si>
  <si>
    <t>SI(R1=1,lista_compras,SI(R1=2,lista_ccash,SI(R1=3,lista_vaca,SI(R1=8,lista_const,lista_ext))))</t>
  </si>
  <si>
    <t>Fecha de Nac</t>
  </si>
  <si>
    <t>Salario Total</t>
  </si>
  <si>
    <t>Nivel de Endeudamiento</t>
  </si>
  <si>
    <t>Hace Escritura</t>
  </si>
  <si>
    <t>SI</t>
  </si>
  <si>
    <t>NO</t>
  </si>
  <si>
    <t>Participante</t>
  </si>
  <si>
    <t>Dueño y Deudor</t>
  </si>
  <si>
    <t>Deudor</t>
  </si>
  <si>
    <t>Dueño</t>
  </si>
  <si>
    <t>Fiador Solidario</t>
  </si>
  <si>
    <t>Capital + Intereses</t>
  </si>
  <si>
    <t>Póliza de Vida</t>
  </si>
  <si>
    <t>Póliza de Incendio</t>
  </si>
  <si>
    <t>Mensualidad Total</t>
  </si>
  <si>
    <t>Manejo</t>
  </si>
  <si>
    <t>demas</t>
  </si>
  <si>
    <t>Lista Antigüedad</t>
  </si>
  <si>
    <t>compra_ley</t>
  </si>
  <si>
    <t>usada</t>
  </si>
  <si>
    <t>Fórmula para antigüedad en la validación</t>
  </si>
  <si>
    <t>SI(Y(R1=1,R2=1),compra_ley,SI(O(R1=2,R1=4,R1=5,R1=6,R1=7,R1=9,R1=10,R1=11),usada,demas))</t>
  </si>
  <si>
    <t>Fórmula para antigüedad en la validación, solo const, sale nueva o usada</t>
  </si>
  <si>
    <t>combo_antiguedad</t>
  </si>
  <si>
    <t>CSS</t>
  </si>
  <si>
    <t>ACP</t>
  </si>
  <si>
    <t>% Asegurado Incendio</t>
  </si>
  <si>
    <t>Tarifas Póliza Incendio Vivienda Nueva</t>
  </si>
  <si>
    <t>Rango de Precio de Venta</t>
  </si>
  <si>
    <t>Tarifas Póliza Incendio Vivienda Usada</t>
  </si>
  <si>
    <t>Tarifa de póliza de Incendio Istmeña</t>
  </si>
  <si>
    <t>0 - 80,0000</t>
  </si>
  <si>
    <t>Tarifa de póliza de incendio hasta 80M Istmeña y EGS mayor a 80M</t>
  </si>
  <si>
    <t>65,001- 80,000</t>
  </si>
  <si>
    <t>Tarifa de póliza de incendio EGS</t>
  </si>
  <si>
    <t>80,0001- 100,000.00</t>
  </si>
  <si>
    <t>80,0001- 249,999.99</t>
  </si>
  <si>
    <t>100,001.00 - 249,999.99</t>
  </si>
  <si>
    <t>250,000 y más</t>
  </si>
  <si>
    <t>250,000.00 - más</t>
  </si>
  <si>
    <t>Monto vs Tarifa a Utilizar</t>
  </si>
  <si>
    <t>Monto x asegurar</t>
  </si>
  <si>
    <t>Tarifa a Utilizar</t>
  </si>
  <si>
    <t>Calcular Póliza de Incendio</t>
  </si>
  <si>
    <t>Poliza_Incendio</t>
  </si>
  <si>
    <t>Combo PolIncendio</t>
  </si>
  <si>
    <t>Poliza Incendio</t>
  </si>
  <si>
    <t>Mensualidad de Poliza de Incendio</t>
  </si>
  <si>
    <t>Poliza de Incendio  (si lleva o no)</t>
  </si>
  <si>
    <t>Tarifa de Póliza de Vida</t>
  </si>
  <si>
    <t>Participantes</t>
  </si>
  <si>
    <t>Edades</t>
  </si>
  <si>
    <t>Prima</t>
  </si>
  <si>
    <t>Principal</t>
  </si>
  <si>
    <t>Mancomunada #1</t>
  </si>
  <si>
    <t>Mancomunado #2</t>
  </si>
  <si>
    <t>Mancomunado #3</t>
  </si>
  <si>
    <t>Total de Poliza</t>
  </si>
  <si>
    <t>Calcular Póliza de Vida</t>
  </si>
  <si>
    <t>Edad 1 (Ppal)</t>
  </si>
  <si>
    <t>Abono Inicial</t>
  </si>
  <si>
    <t>$</t>
  </si>
  <si>
    <t>combo_feci</t>
  </si>
  <si>
    <t>FECI</t>
  </si>
  <si>
    <t>Tasa</t>
  </si>
  <si>
    <t>Capital + Interes</t>
  </si>
  <si>
    <t>Cálculo del Feci - Tasa - Capital + Interés</t>
  </si>
  <si>
    <t>FERIA</t>
  </si>
  <si>
    <t>combo_prog</t>
  </si>
  <si>
    <t>Otros Datos</t>
  </si>
  <si>
    <t>Uso de la Propiedad</t>
  </si>
  <si>
    <t>Forma de pago</t>
  </si>
  <si>
    <t>Cancela</t>
  </si>
  <si>
    <t>Saldo</t>
  </si>
  <si>
    <t>Total a Cancelar</t>
  </si>
  <si>
    <t xml:space="preserve">Neto a recibir    </t>
  </si>
  <si>
    <t>% de endeudamiento total</t>
  </si>
  <si>
    <t xml:space="preserve">Monto </t>
  </si>
  <si>
    <t>Nombre</t>
  </si>
  <si>
    <t>Firma</t>
  </si>
  <si>
    <t>aprueba</t>
  </si>
  <si>
    <t>Observaciones para comité</t>
  </si>
  <si>
    <t>Forma de Pago</t>
  </si>
  <si>
    <t>Descuento Directo</t>
  </si>
  <si>
    <t>Cargo a Cuenta Ahorro</t>
  </si>
  <si>
    <t>Cargo a Cuenta Corriente</t>
  </si>
  <si>
    <t>Cargo a Interes Plazo Fijo</t>
  </si>
  <si>
    <t>Combo_Forma_Pago</t>
  </si>
  <si>
    <t>UsoPropiedad</t>
  </si>
  <si>
    <t>Primera Residencia</t>
  </si>
  <si>
    <t>Segunda Residencia</t>
  </si>
  <si>
    <t>Inversión</t>
  </si>
  <si>
    <t xml:space="preserve">Finalidad </t>
  </si>
  <si>
    <t>Tipo Prestamo</t>
  </si>
  <si>
    <t xml:space="preserve">Tipo Tramite </t>
  </si>
  <si>
    <t>Tipo Garantia</t>
  </si>
  <si>
    <t>idTramo</t>
  </si>
  <si>
    <t>precio Venta inicial</t>
  </si>
  <si>
    <t>precio venta final</t>
  </si>
  <si>
    <t>financiamIento</t>
  </si>
  <si>
    <t>plazo por defecto</t>
  </si>
  <si>
    <t>tasa</t>
  </si>
  <si>
    <t>comision</t>
  </si>
  <si>
    <t>Compra Vivienda</t>
  </si>
  <si>
    <t xml:space="preserve">Apartamento </t>
  </si>
  <si>
    <t xml:space="preserve">Compra Vivienda </t>
  </si>
  <si>
    <t xml:space="preserve">Compra Vivienda  </t>
  </si>
  <si>
    <t>Cambio de Dueño y/o Deudor</t>
  </si>
  <si>
    <t>Cambio de Deudor</t>
  </si>
  <si>
    <t>Extensión de Plazo</t>
  </si>
  <si>
    <t>Traspaso por Compra de Vivienda</t>
  </si>
  <si>
    <t>Fideicomiso</t>
  </si>
  <si>
    <t>SI(Y(R1=1,R3=1,R4=1),compra_ley,SI(O(R1=2,R1=4,R1=5,R1=6,R1=7,R1=9,R1=10,R1=11),usada,SI(R1=8,compra_ley,demas)))</t>
  </si>
  <si>
    <t>Máximo a Financiar</t>
  </si>
  <si>
    <t>CONFECCIONA ESCRITURA</t>
  </si>
  <si>
    <t>NO CONFECCIONA ESCRITURA</t>
  </si>
  <si>
    <t>FIDEICOMISO</t>
  </si>
  <si>
    <t>Llave</t>
  </si>
  <si>
    <t>COMISION FIDEICOMISO  -  FWLA</t>
  </si>
  <si>
    <t>Honorarios por Estructuracion</t>
  </si>
  <si>
    <t>Rango</t>
  </si>
  <si>
    <t>Comision</t>
  </si>
  <si>
    <t>Comisión con 7%</t>
  </si>
  <si>
    <t>Valor de Registro</t>
  </si>
  <si>
    <t>Garantia</t>
  </si>
  <si>
    <t>03020601010101</t>
  </si>
  <si>
    <t>03020601020101</t>
  </si>
  <si>
    <t>03020602010101</t>
  </si>
  <si>
    <t>03020602020101</t>
  </si>
  <si>
    <t>02020102020101</t>
  </si>
  <si>
    <t>09020102020101</t>
  </si>
  <si>
    <t>07010102020101</t>
  </si>
  <si>
    <t>07020102020101</t>
  </si>
  <si>
    <t>11010102020101</t>
  </si>
  <si>
    <t>11020102020101</t>
  </si>
  <si>
    <t>06010102020101</t>
  </si>
  <si>
    <t>06020102020101</t>
  </si>
  <si>
    <t>05010102020101</t>
  </si>
  <si>
    <t>01010101020101</t>
  </si>
  <si>
    <t>10010102020101</t>
  </si>
  <si>
    <t>10020102020101</t>
  </si>
  <si>
    <t>03020601010201</t>
  </si>
  <si>
    <t>03020601020201</t>
  </si>
  <si>
    <t>03020602010201</t>
  </si>
  <si>
    <t>03020602020201</t>
  </si>
  <si>
    <t>03020601010202</t>
  </si>
  <si>
    <t>03020601020202</t>
  </si>
  <si>
    <t>03020602010202</t>
  </si>
  <si>
    <t>03020602020202</t>
  </si>
  <si>
    <t>02020102020202</t>
  </si>
  <si>
    <t>Der de Reg
x Const</t>
  </si>
  <si>
    <t>Asumida</t>
  </si>
  <si>
    <t>Modificación</t>
  </si>
  <si>
    <t># Fincas</t>
  </si>
  <si>
    <t>Anticresis</t>
  </si>
  <si>
    <t>Marginales</t>
  </si>
  <si>
    <t>Cancelaciones</t>
  </si>
  <si>
    <t>Der.Reg
PrecioVenta</t>
  </si>
  <si>
    <t>Segregación /Resto
Libre</t>
  </si>
  <si>
    <t>Restricciones</t>
  </si>
  <si>
    <t>Desafectación</t>
  </si>
  <si>
    <t>Actas</t>
  </si>
  <si>
    <t>Declaración Mejoras</t>
  </si>
  <si>
    <t>Total Registro</t>
  </si>
  <si>
    <t>Cálculo de Mejoras</t>
  </si>
  <si>
    <t>Registro Público - Banco Hace Escritura</t>
  </si>
  <si>
    <t>Banco No Hace Escritura</t>
  </si>
  <si>
    <t>Hojas
 Promedio</t>
  </si>
  <si>
    <t>Notaria</t>
  </si>
  <si>
    <t>Pago de 
Testigo</t>
  </si>
  <si>
    <t>Autenticación
 de Pagaré</t>
  </si>
  <si>
    <t>Timbres</t>
  </si>
  <si>
    <t>Confección</t>
  </si>
  <si>
    <t>Certificación 
Pago 2% al DGI</t>
  </si>
  <si>
    <t>Autenticación de 
Ordenes Descto</t>
  </si>
  <si>
    <t>Pago por Revisión de 2% y 3%</t>
  </si>
  <si>
    <t>Total
Notaria</t>
  </si>
  <si>
    <t xml:space="preserve">Costo por Hoja </t>
  </si>
  <si>
    <t xml:space="preserve">Costo Global </t>
  </si>
  <si>
    <t xml:space="preserve">Notaria </t>
  </si>
  <si>
    <t xml:space="preserve">Pago de Testigos a Notaria </t>
  </si>
  <si>
    <t xml:space="preserve">Autenticación del Pagaré </t>
  </si>
  <si>
    <t xml:space="preserve">Timbres </t>
  </si>
  <si>
    <t xml:space="preserve">Confección </t>
  </si>
  <si>
    <t xml:space="preserve">Certificación del Pago del Impuesto del 2% ante la DGI </t>
  </si>
  <si>
    <t>Autenticación de Ordendes de Descuento</t>
  </si>
  <si>
    <t>Tabla para Cálculo de Notaría</t>
  </si>
  <si>
    <t>Cálculo para Variable Autenticación de Ordenes de Descuentos</t>
  </si>
  <si>
    <t>Cant.Participante</t>
  </si>
  <si>
    <t>Total de participantes para el calculo de la variable</t>
  </si>
  <si>
    <t>Lugar de empleo</t>
  </si>
  <si>
    <t>CodEmpleo</t>
  </si>
  <si>
    <t>Pago de Autenticación de Orden de Descuento</t>
  </si>
  <si>
    <t>Para Calcular los dos 2 de Notaría, dependiendo del participante y Empleo</t>
  </si>
  <si>
    <t>Combo_Participante</t>
  </si>
  <si>
    <t>Combo_Trabajo</t>
  </si>
  <si>
    <t>Campo para la tabla notaria</t>
  </si>
  <si>
    <t>Individual 
Compra Vivienda - Compra Vivienda Vacacional</t>
  </si>
  <si>
    <t>01</t>
  </si>
  <si>
    <t>Traspaso Por Compra</t>
  </si>
  <si>
    <t>05</t>
  </si>
  <si>
    <t>Construcción - Individual</t>
  </si>
  <si>
    <t>09</t>
  </si>
  <si>
    <t>Casa Cash (Todos)</t>
  </si>
  <si>
    <t>02</t>
  </si>
  <si>
    <t>Reposeido - Ley Preferencial</t>
  </si>
  <si>
    <t>06</t>
  </si>
  <si>
    <t xml:space="preserve">Traspaso Otro Banco </t>
  </si>
  <si>
    <t>10</t>
  </si>
  <si>
    <t xml:space="preserve">Cambio de Dueño y Deudor
Cambio de Deudor, Cambio de Dueño , Cambio Fiador
</t>
  </si>
  <si>
    <t>07</t>
  </si>
  <si>
    <t>Reposeído -  Individual</t>
  </si>
  <si>
    <t>03</t>
  </si>
  <si>
    <t>Compra - Ley Preferencial</t>
  </si>
  <si>
    <t>08</t>
  </si>
  <si>
    <t>Contrucción - Ley</t>
  </si>
  <si>
    <t>04</t>
  </si>
  <si>
    <t>Gastos Legales - Individudal 
 No Confecciona</t>
  </si>
  <si>
    <t>11</t>
  </si>
  <si>
    <t>14</t>
  </si>
  <si>
    <t>Gastos Legales - Ley Preferencial
No Confecciona</t>
  </si>
  <si>
    <t>12</t>
  </si>
  <si>
    <t>Cambio de Dueño y Deudor
Cambio de Deudor
Cambio Fiador Solidario</t>
  </si>
  <si>
    <t>13</t>
  </si>
  <si>
    <t>Casa Cash - No Confecciona</t>
  </si>
  <si>
    <t>Notaria - Banco Hace Esritura</t>
  </si>
  <si>
    <t>SERVICIOS LEGALES</t>
  </si>
  <si>
    <t>comb_serv_05</t>
  </si>
  <si>
    <t>comb_serv_09</t>
  </si>
  <si>
    <t>comb_serv_01</t>
  </si>
  <si>
    <t>comb_serv_02</t>
  </si>
  <si>
    <t>comb_serv_03</t>
  </si>
  <si>
    <t>comb_serv_04</t>
  </si>
  <si>
    <t>Servicios Legales</t>
  </si>
  <si>
    <t>Llave_Programa</t>
  </si>
  <si>
    <t>01010101010101</t>
  </si>
  <si>
    <t>01020101010101</t>
  </si>
  <si>
    <t>01020101020101</t>
  </si>
  <si>
    <t>01020102010101</t>
  </si>
  <si>
    <t>03020102020101</t>
  </si>
  <si>
    <t>01010202010101</t>
  </si>
  <si>
    <t>01010202020101</t>
  </si>
  <si>
    <t>01020202010101</t>
  </si>
  <si>
    <t>01020202020101</t>
  </si>
  <si>
    <t>04020102010101</t>
  </si>
  <si>
    <t>04020102020101</t>
  </si>
  <si>
    <t>02020402010101</t>
  </si>
  <si>
    <t>02020402020101</t>
  </si>
  <si>
    <t>02020502010101</t>
  </si>
  <si>
    <t>02020502020101</t>
  </si>
  <si>
    <t>02020102010101</t>
  </si>
  <si>
    <t>06010102010101</t>
  </si>
  <si>
    <t>06020102010101</t>
  </si>
  <si>
    <t>10010102010101</t>
  </si>
  <si>
    <t>10020102010101</t>
  </si>
  <si>
    <t>07010102010101</t>
  </si>
  <si>
    <t>07020102010101</t>
  </si>
  <si>
    <t>11010102010101</t>
  </si>
  <si>
    <t>11020102010101</t>
  </si>
  <si>
    <t>08010301020101</t>
  </si>
  <si>
    <t>08010301010101</t>
  </si>
  <si>
    <t>08020301020101</t>
  </si>
  <si>
    <t>08020301010101</t>
  </si>
  <si>
    <t>05010102010101</t>
  </si>
  <si>
    <t>09010102010101</t>
  </si>
  <si>
    <t>09010102020101</t>
  </si>
  <si>
    <t>09020102010101</t>
  </si>
  <si>
    <t>01020102020101</t>
  </si>
  <si>
    <t>01010101010201</t>
  </si>
  <si>
    <t>01010101020201</t>
  </si>
  <si>
    <t>01020101010201</t>
  </si>
  <si>
    <t>01020101020201</t>
  </si>
  <si>
    <t>01020102010201</t>
  </si>
  <si>
    <t>01020102020201</t>
  </si>
  <si>
    <t>03020102020201</t>
  </si>
  <si>
    <t>01020101010202</t>
  </si>
  <si>
    <t>01020101020202</t>
  </si>
  <si>
    <t>01020102010202</t>
  </si>
  <si>
    <t>01020202010202</t>
  </si>
  <si>
    <t>01020202020202</t>
  </si>
  <si>
    <t>01020102020202</t>
  </si>
  <si>
    <t>03020102020202</t>
  </si>
  <si>
    <t>Llave Notaria</t>
  </si>
  <si>
    <t>Llave Registro</t>
  </si>
  <si>
    <t>Valor de Notaría</t>
  </si>
  <si>
    <t>Llave ServLegales</t>
  </si>
  <si>
    <t>Valor ServLegales</t>
  </si>
  <si>
    <t>Llave Fideicomiso</t>
  </si>
  <si>
    <t>SevLegales Fideicomiso</t>
  </si>
  <si>
    <t>Honorarios por Confección Fwla</t>
  </si>
  <si>
    <t>0-9990001</t>
  </si>
  <si>
    <t xml:space="preserve">Contrucción </t>
  </si>
  <si>
    <t>Extension de Plazo</t>
  </si>
  <si>
    <t>Gastos Legales -Fideicomiso</t>
  </si>
  <si>
    <t>Traspaso Otro Banco</t>
  </si>
  <si>
    <t>02020402010202</t>
  </si>
  <si>
    <t>02020402020202</t>
  </si>
  <si>
    <t>02020502010202</t>
  </si>
  <si>
    <t>02020502020202</t>
  </si>
  <si>
    <t>02020102010202</t>
  </si>
  <si>
    <t>04020102010202</t>
  </si>
  <si>
    <t>04020102020202</t>
  </si>
  <si>
    <t>07010102010202</t>
  </si>
  <si>
    <t>07010102020202</t>
  </si>
  <si>
    <t>07020102010202</t>
  </si>
  <si>
    <t>07020102020202</t>
  </si>
  <si>
    <t>TRAMITACION DEL PRESTAMO - LEY PREFERENCIAL</t>
  </si>
  <si>
    <t>Cálculos de Gastos de Notaría, Registro, Tramitación</t>
  </si>
  <si>
    <t>Venta</t>
  </si>
  <si>
    <t>Cobrar Notaría y Registro</t>
  </si>
  <si>
    <t>Para calcular Gastos de Trámitación - Ley Preferencial</t>
  </si>
  <si>
    <t xml:space="preserve">Comisiones </t>
  </si>
  <si>
    <t>Cargos por cuenta de terceros</t>
  </si>
  <si>
    <t>Comisión de cierre</t>
  </si>
  <si>
    <t>Notaría</t>
  </si>
  <si>
    <t>Tramitación del préstamo</t>
  </si>
  <si>
    <t>Registro</t>
  </si>
  <si>
    <t>Servicios legales</t>
  </si>
  <si>
    <t>Certificado ley</t>
  </si>
  <si>
    <t>Servicios especiales</t>
  </si>
  <si>
    <t>Gastos Fwla</t>
  </si>
  <si>
    <t>Total de comisiones</t>
  </si>
  <si>
    <t>Honorarios fiduciarios</t>
  </si>
  <si>
    <t>ITBMS</t>
  </si>
  <si>
    <t xml:space="preserve">Sub-total </t>
  </si>
  <si>
    <t>Promoción especial</t>
  </si>
  <si>
    <t>Sub-Total comisiones más impuestos</t>
  </si>
  <si>
    <t xml:space="preserve">Sub-total promoción </t>
  </si>
  <si>
    <t>Total a Pagar por el cliente</t>
  </si>
  <si>
    <t>Calculo Comision Cierre</t>
  </si>
  <si>
    <t>TRAMITACION DEL PRESTAMO - NORMAL</t>
  </si>
  <si>
    <t>Calculo de Comisiones y Cargos por cuenta de Terceros</t>
  </si>
  <si>
    <t>Servicios Especiales</t>
  </si>
  <si>
    <t>AID 044</t>
  </si>
  <si>
    <t xml:space="preserve">    Cotización de</t>
  </si>
  <si>
    <t>Datos Personales</t>
  </si>
  <si>
    <t>No.</t>
  </si>
  <si>
    <t>Identificación</t>
  </si>
  <si>
    <t>Empleo</t>
  </si>
  <si>
    <t>Ingresos y
 G. Rep.</t>
  </si>
  <si>
    <t>Otros Ingr. 
Decl/Sust.</t>
  </si>
  <si>
    <t>Total de ingreso familiar</t>
  </si>
  <si>
    <t>Datos del Préstamo</t>
  </si>
  <si>
    <t>Fecha de entrega</t>
  </si>
  <si>
    <t>Capital + Interés</t>
  </si>
  <si>
    <t>*Tasa Efectiva</t>
  </si>
  <si>
    <t>Ingreso familiar requerido</t>
  </si>
  <si>
    <t xml:space="preserve">Promoción especial </t>
  </si>
  <si>
    <t>Observaciones</t>
  </si>
  <si>
    <t>*Los montos anteriores son referenciales. Estos han sido calculados en base a información básica y por ende son aproximados. Podrán variar una vez se verifiquen los datos de salud de los participantes.</t>
  </si>
  <si>
    <t>* Los Gastos correspondientes a servicios externos son aproximados y han sido calculados en base al monto y tipo de financiamiento cotizado. Estos gastos podrán variar en atención a los valores catastrales de la(s) finca(s) involucrada(s), la cantidad de operaciones registrales que conlleve la transacción y el aumento en el costo de los derechos notariales y registrales.</t>
  </si>
  <si>
    <t>* Esta Cotización está sujeta a los criterios de aprobación normalmente establecidos por el Banco y se reserva el derecho de cambio en sus condiciones sin previo aviso.</t>
  </si>
  <si>
    <t>* Banco General incluye el 7% de ITBMS en todas las comisiones cobradas y el 5% de impuesto en la prima de seguros.</t>
  </si>
  <si>
    <t>* Para mayor detalle de los montos y porcentajes de los cargos y comisiones presentadas en este documento favor referirse a la Tabla de Cargos del banco publicada en nuestro sitio web www.bgeneral.com</t>
  </si>
  <si>
    <t xml:space="preserve">Atendido por: </t>
  </si>
  <si>
    <t>Fecha:</t>
  </si>
  <si>
    <t>Sucursal:</t>
  </si>
  <si>
    <t>Tasa Efectiva - Nueva</t>
  </si>
  <si>
    <t>Monto del Préstamo</t>
  </si>
  <si>
    <t>Comisiones BG(Incluyen tramitación, cierre, servicios legales, servicios especiales) - bono</t>
  </si>
  <si>
    <t>Monto del Préstamo, Neto</t>
  </si>
  <si>
    <t>Letra del Préstamo</t>
  </si>
  <si>
    <t>Comisión de Manejo (neto ITBMS)</t>
  </si>
  <si>
    <t>Tasa Efectiva</t>
  </si>
  <si>
    <t>Cálculo de la tasa Efectiva</t>
  </si>
  <si>
    <t>Nombre aprueba</t>
  </si>
  <si>
    <t>Cálculo y Búsqueda para los campos Manejo, Plazo y Tasa</t>
  </si>
  <si>
    <t>llave</t>
  </si>
  <si>
    <t>Tramo</t>
  </si>
  <si>
    <t>Capacidad de Pago</t>
  </si>
  <si>
    <t>Total de Ingresos</t>
  </si>
  <si>
    <t>Total Otros Salarios</t>
  </si>
  <si>
    <t>Suma Obligacioens</t>
  </si>
  <si>
    <t>Cálculo para la Capacidad de ingreso</t>
  </si>
  <si>
    <t>SI(O(R1=2,R1=4,R1=5,R1=6,R1=7,R1=9,R1=10,R1=11),usada,SI(R1=8,compra_ley,demas))</t>
  </si>
  <si>
    <t>% Financiamiento</t>
  </si>
  <si>
    <t>Teléfono</t>
  </si>
  <si>
    <t>Telefono 3</t>
  </si>
  <si>
    <t>Telefono 4</t>
  </si>
  <si>
    <t>Telefono 2</t>
  </si>
  <si>
    <t>Telefono 1</t>
  </si>
  <si>
    <t>Canal</t>
  </si>
  <si>
    <t>Tiempo en el Empleo</t>
  </si>
  <si>
    <t>canal</t>
  </si>
  <si>
    <t>FUERZA DE VENTAS MOVIL</t>
  </si>
  <si>
    <t>FUERZA DE VENTAS SITIO</t>
  </si>
  <si>
    <t>PROMOTORES WALK-IN</t>
  </si>
  <si>
    <t>RETENCION</t>
  </si>
  <si>
    <t>SEGMENTO HIGH END</t>
  </si>
  <si>
    <t>FERIAS INSTITUCIONALES</t>
  </si>
  <si>
    <t>SUCURSALES</t>
  </si>
  <si>
    <t>VENTAS CONSUMO</t>
  </si>
  <si>
    <t>VENTAS INTERIOR</t>
  </si>
  <si>
    <t>CENTRO DE ATENCION AL CLIENTE</t>
  </si>
  <si>
    <t>BIENES REPOSEIDOS</t>
  </si>
  <si>
    <t>combo_canal</t>
  </si>
  <si>
    <t>ELIJA UNA OPCION</t>
  </si>
  <si>
    <t>PROMOTORES AUTORIZADOS A REALIZAR LAS ESCRITURAS DEL BANCO</t>
  </si>
  <si>
    <t>CHITRE</t>
  </si>
  <si>
    <t>DIVISA</t>
  </si>
  <si>
    <t>COLON</t>
  </si>
  <si>
    <t>DAVID</t>
  </si>
  <si>
    <t>INMOBILIARIA PACIFIC HILLS</t>
  </si>
  <si>
    <t>PROCASA</t>
  </si>
  <si>
    <t>SUCASA</t>
  </si>
  <si>
    <t>VIVIENDAS DE PRIMERA</t>
  </si>
  <si>
    <t>LAS TABLAS</t>
  </si>
  <si>
    <t>PENONOME</t>
  </si>
  <si>
    <t>SANTIAGO</t>
  </si>
  <si>
    <t>Abona</t>
  </si>
  <si>
    <t>Banco Hace Escritura</t>
  </si>
  <si>
    <t>Relación = Tipo Obligación</t>
  </si>
  <si>
    <t>Comisiones y  Servicios Legales</t>
  </si>
  <si>
    <t>Prest. de Auto</t>
  </si>
  <si>
    <t>Alquiler</t>
  </si>
  <si>
    <t>Factoring</t>
  </si>
  <si>
    <t>Facilidades de Crédito</t>
  </si>
  <si>
    <t xml:space="preserve">Hipoteca </t>
  </si>
  <si>
    <t>Línea Rotativa</t>
  </si>
  <si>
    <t>Línea de Crédito</t>
  </si>
  <si>
    <t>Leasing</t>
  </si>
  <si>
    <t>Prest. Personal</t>
  </si>
  <si>
    <t>Prest. Agropecuario</t>
  </si>
  <si>
    <t>Prest. Comercial</t>
  </si>
  <si>
    <t>Prest. Prendario</t>
  </si>
  <si>
    <t>Prest. Educativo</t>
  </si>
  <si>
    <t>Servicios</t>
  </si>
  <si>
    <t>Tarjeta de Crédito</t>
  </si>
  <si>
    <t>Excedente</t>
  </si>
  <si>
    <t>Aplicar Préstamo BG</t>
  </si>
  <si>
    <t>Promotor/Vendedor</t>
  </si>
  <si>
    <t>Intereses</t>
  </si>
  <si>
    <t>Adjudicado</t>
  </si>
  <si>
    <t>Interino BG</t>
  </si>
  <si>
    <t>Fideicomiso BG</t>
  </si>
  <si>
    <t>Relación</t>
  </si>
  <si>
    <t>Manejo para Ley, para programa otro</t>
  </si>
  <si>
    <t>PROYECTOS NO FINANCIADOS POR EL BANCO</t>
  </si>
  <si>
    <t>GRUPO LEFEVRE</t>
  </si>
  <si>
    <t>Abono Inicial Calculado</t>
  </si>
  <si>
    <t>Abono Inicial Ingresado</t>
  </si>
  <si>
    <t>Beneficiario</t>
  </si>
  <si>
    <t>Seguro de vida</t>
  </si>
  <si>
    <t>MENSUALIDAD</t>
  </si>
  <si>
    <t>Tasa 
incluye feci</t>
  </si>
  <si>
    <t xml:space="preserve">Saldo Actual </t>
  </si>
  <si>
    <t>Plazo que le falta (años)</t>
  </si>
  <si>
    <t>*</t>
  </si>
  <si>
    <t>Tárifa de Incendio</t>
  </si>
  <si>
    <t xml:space="preserve">Teléfono: </t>
  </si>
  <si>
    <t>Datos de la Propiedad</t>
  </si>
  <si>
    <t>Finalidad del Préstamo</t>
  </si>
  <si>
    <t>Tipo de Préstamo</t>
  </si>
  <si>
    <t>Observaciones de comité</t>
  </si>
  <si>
    <t>Mercado</t>
  </si>
  <si>
    <t>Objetivo</t>
  </si>
  <si>
    <t>Indefinido revisado</t>
  </si>
  <si>
    <t>No objetivo</t>
  </si>
  <si>
    <t>Indefinido no revisado</t>
  </si>
  <si>
    <t xml:space="preserve">Recomendado por:      </t>
  </si>
  <si>
    <t xml:space="preserve">Firma: </t>
  </si>
  <si>
    <t>BG</t>
  </si>
  <si>
    <t>Gastos Financiados</t>
  </si>
  <si>
    <t>1 - CASA MATRIZ</t>
  </si>
  <si>
    <t>2 - PAITILLA</t>
  </si>
  <si>
    <t>3 - EL DORADO</t>
  </si>
  <si>
    <t>4 - VIA ARGENTINA</t>
  </si>
  <si>
    <t>5 - VIA PORRAS</t>
  </si>
  <si>
    <t>6 - EL INGENIO</t>
  </si>
  <si>
    <t>7 - CHANIS</t>
  </si>
  <si>
    <t>8 - PLAZA TOCUMEN</t>
  </si>
  <si>
    <t>9 - SANTIAGO</t>
  </si>
  <si>
    <t>10 - OBARRIO</t>
  </si>
  <si>
    <t>11 - COLON</t>
  </si>
  <si>
    <t>13 - HATO PINTADO</t>
  </si>
  <si>
    <t>14 - RIO ABAJO</t>
  </si>
  <si>
    <t>15 - LA CHORRERA</t>
  </si>
  <si>
    <t>16 - AVENIDA CENTRAL</t>
  </si>
  <si>
    <t>17 - LOS ANGELES</t>
  </si>
  <si>
    <t>18 - VILLA LUCRE</t>
  </si>
  <si>
    <t>19 - LOS ANDES</t>
  </si>
  <si>
    <t>20 - VIA ESPANA</t>
  </si>
  <si>
    <t>21 - AVENIDA CUBA</t>
  </si>
  <si>
    <t>22 - CHITRE</t>
  </si>
  <si>
    <t>23 - LOS PUEBLOS</t>
  </si>
  <si>
    <t>24 - CALLE 50</t>
  </si>
  <si>
    <t>25 - SUCURSAL DISPONIBLE</t>
  </si>
  <si>
    <t>26 - TRANSISTMICA</t>
  </si>
  <si>
    <t>27 - ZONA LIBRE</t>
  </si>
  <si>
    <t>29 - PARQUE LEFEVRE</t>
  </si>
  <si>
    <t>30 - DAVID</t>
  </si>
  <si>
    <t>31 - BANCA PRIVADA - BANCO GENERAL</t>
  </si>
  <si>
    <t>32 - PLAZA LAS AMERICAS</t>
  </si>
  <si>
    <t>33 - CORONADO</t>
  </si>
  <si>
    <t>34 - ALBROOK MALL</t>
  </si>
  <si>
    <t>37 - PENONOME</t>
  </si>
  <si>
    <t>38 - ALBROOK</t>
  </si>
  <si>
    <t>39 - SUCURSAL DE VISTA ALEGRE</t>
  </si>
  <si>
    <t>40 - LAS TABLAS</t>
  </si>
  <si>
    <t>41 - 24 DE DICIEMBRE</t>
  </si>
  <si>
    <t>42 - DAVID - TERRONAL</t>
  </si>
  <si>
    <t>43 - COSTA DEL ESTE</t>
  </si>
  <si>
    <t>44 - MULTI PLAZA</t>
  </si>
  <si>
    <t>45 - HOSPITAL PUNTA PACIFICA</t>
  </si>
  <si>
    <t>46 - TERMINAL DE ALBROOK</t>
  </si>
  <si>
    <t>47 - CONCEPCION</t>
  </si>
  <si>
    <t>48 - BOQUETE</t>
  </si>
  <si>
    <t>49 - BRISAS DEL GOLF</t>
  </si>
  <si>
    <t>51 - PUENTE CENTENARIO</t>
  </si>
  <si>
    <t>53 - AGUADULCE</t>
  </si>
  <si>
    <t>54 - SABANITAS</t>
  </si>
  <si>
    <t>66 - METROMALL</t>
  </si>
  <si>
    <t>68 - ALTOS DE PANAMA</t>
  </si>
  <si>
    <t>70 - BUSINESS PARK</t>
  </si>
  <si>
    <t>71 - SAN FRANCISCO</t>
  </si>
  <si>
    <t>72 - PLAZA BANCO GENERAL</t>
  </si>
  <si>
    <t>73 - LA CHORRERA - PARQUE 10 DE NOV.</t>
  </si>
  <si>
    <t>74 - COSTA DEL ESTE - CENTENARIO</t>
  </si>
  <si>
    <t>76 - CLAYTON</t>
  </si>
  <si>
    <t>77 - MARBELLA</t>
  </si>
  <si>
    <t>78 - PLAZA CAROLINA</t>
  </si>
  <si>
    <t>79 - PLAZA CORDOBA</t>
  </si>
  <si>
    <t>80 - VIA SIMON BOLIVAR</t>
  </si>
  <si>
    <t>89 - JUSTO AROSEMENA</t>
  </si>
  <si>
    <t>91 - NEGOCIOS</t>
  </si>
  <si>
    <t>95 - BOULEVARD EL DORADO</t>
  </si>
  <si>
    <t>97 - SAN SEBASTIAN</t>
  </si>
  <si>
    <t>99 - CIUDAD DEL SABER</t>
  </si>
  <si>
    <t>12 - AUTOBANCO SAN FRANCISCO</t>
  </si>
  <si>
    <t>28 - CENTRO DE PRESTAMOS PEDREGAL</t>
  </si>
  <si>
    <t>36 - AUTOBANCO VIA PORRAS 2</t>
  </si>
  <si>
    <t>50 - CENTRO DE TARJETAS</t>
  </si>
  <si>
    <t>52 - GALERIAS OBARRIO</t>
  </si>
  <si>
    <t>55 - CENTRO DE OPERACIONES</t>
  </si>
  <si>
    <t>56 - DEPARTAMENTOS AVE_CUBA</t>
  </si>
  <si>
    <t>57 - HIPOTECAS</t>
  </si>
  <si>
    <t>58 - DEPARTAMENTOS MARBELLA</t>
  </si>
  <si>
    <t>59 - CREDITO COMERCIAL</t>
  </si>
  <si>
    <t>60 - DEPARTAMENTO DE CONTABILIDAD</t>
  </si>
  <si>
    <t>61 - RESERVA CENTRAL</t>
  </si>
  <si>
    <t>62 - BANCA VIRTUAL</t>
  </si>
  <si>
    <t>63 - SISTEMA CLAVE</t>
  </si>
  <si>
    <t>64 - ACTIVOS DE BANCOMER</t>
  </si>
  <si>
    <t>65 - SEGUNDO SERVIDOR DE TRANSISTMICA</t>
  </si>
  <si>
    <t>67 - BANCO DE BOSTON</t>
  </si>
  <si>
    <t>75 - BANCA MOVIL</t>
  </si>
  <si>
    <t>81 - BG VALORES</t>
  </si>
  <si>
    <t>82 - REGIONAL EL SALVADOR</t>
  </si>
  <si>
    <t>83 - REGIONAL COSTA RICA</t>
  </si>
  <si>
    <t>84 - REGIONAL GUATEMALA</t>
  </si>
  <si>
    <t>85 - REGIONAL MEXICO</t>
  </si>
  <si>
    <t>86 - REGIONAL COLOMBIA 1</t>
  </si>
  <si>
    <t>87 - REGIONAL NICARAGUA</t>
  </si>
  <si>
    <t>88 - REGIONAL HONDURAS</t>
  </si>
  <si>
    <t>90 - DIRECCION GENERAL</t>
  </si>
  <si>
    <t>92 - FINANZAS</t>
  </si>
  <si>
    <t>93 - SOPORTE</t>
  </si>
  <si>
    <t>94 - BANCA INTERNACIONAL</t>
  </si>
  <si>
    <t>96 - OFICINA DE CONTINGENCIA</t>
  </si>
  <si>
    <t>101 - DISPONIBLE</t>
  </si>
  <si>
    <t>163 - SISTEMA CNB</t>
  </si>
  <si>
    <t>252 - REMOTO2</t>
  </si>
  <si>
    <t>255 - DEPARTAMENTOS</t>
  </si>
  <si>
    <t>INVERSIONES RODIRAM, S.A.</t>
  </si>
  <si>
    <t>es el default</t>
  </si>
  <si>
    <t>CAPITAL HUMANO</t>
  </si>
  <si>
    <t>Contrato de construcción</t>
  </si>
  <si>
    <t>Permiso de construcción</t>
  </si>
  <si>
    <t>Empleado</t>
  </si>
  <si>
    <t>Calculo para la llave del programa</t>
  </si>
  <si>
    <t>Comisión de Renovación</t>
  </si>
  <si>
    <t>Monto Disponible para el Descuento</t>
  </si>
  <si>
    <t>35% Descuento Directo</t>
  </si>
  <si>
    <t>Cálculo del % Descuento</t>
  </si>
  <si>
    <t>Cliente</t>
  </si>
  <si>
    <t>Calcular con Base a 35%</t>
  </si>
  <si>
    <t>% Descuento</t>
  </si>
  <si>
    <t>Capacidad de Descuento</t>
  </si>
  <si>
    <t>Capacidad Hipotecaria</t>
  </si>
  <si>
    <t>Capacidad Hipotecaria Positiva</t>
  </si>
  <si>
    <t>Monto Disponible para el descuento</t>
  </si>
  <si>
    <t>Monto Disponible para Descuento</t>
  </si>
  <si>
    <t>No Cancela</t>
  </si>
  <si>
    <t>Abono o Cancelación de Obligaciones (solo casa cash)</t>
  </si>
  <si>
    <t>Cálculo Aproximado si el cliente tiene otra hipoteca y necesite colocarle FECI o si el cliente renuncia a la ley preferencial</t>
  </si>
  <si>
    <t>98 - SANTIAGO INTERAMERICANA</t>
  </si>
  <si>
    <t>Finalidad BG</t>
  </si>
  <si>
    <t>Finalidad Otros</t>
  </si>
  <si>
    <t>Calculo Abono y Cancelaciones - Capacidad de Pago</t>
  </si>
  <si>
    <t>Nivel de Enduedamieto 1 - cuando no es casa cash</t>
  </si>
  <si>
    <t>Capacidad de Pago 1 - cuando no es casa cash</t>
  </si>
  <si>
    <t>Capacidad de Pago 2 - cuando es casa cash - segunda hipoteca</t>
  </si>
  <si>
    <t>Cálculo para el Nivel de endeudamiento</t>
  </si>
  <si>
    <t>Calculo para el campo de Total a Cancelar</t>
  </si>
  <si>
    <t>DECLARACIÓN DE SALUD – SOLICITUD DE SEGURO DE VIDA</t>
  </si>
  <si>
    <t>Queda entendido que el seguro no entrará en vigor hasta que esta solicitud haya sido aprobada por la Compañía.  Los cambios y correcciones deben ser inicializados por el solicitante.</t>
  </si>
  <si>
    <t>Peso</t>
  </si>
  <si>
    <t>La información en esta solicitud se suministra para la obtención de un seguro y es verdadera y completa a mi leal saber. Por medio de este formulario (o copia fotostática del mismo) autorizo a cualquier médico, hospital, clínica, compañía de seguros u otra entidad para que suministre a General de Seguros, S.A. cualquiera información médica sobre mi persona que les sea solicitada por dicha Compañía.</t>
  </si>
  <si>
    <t>Colectivo</t>
  </si>
  <si>
    <t>Inicio</t>
  </si>
  <si>
    <t>Vencimiento</t>
  </si>
  <si>
    <t>Término</t>
  </si>
  <si>
    <t>Suma asegurada</t>
  </si>
  <si>
    <t>Tarifa mensual</t>
  </si>
  <si>
    <t>Recargo</t>
  </si>
  <si>
    <t>Prima mensual</t>
  </si>
  <si>
    <t>Prima anual</t>
  </si>
  <si>
    <t>Prima total</t>
  </si>
  <si>
    <t>Fecha: ________________________________________</t>
  </si>
  <si>
    <t>13.      Estatura</t>
  </si>
  <si>
    <t>14.      Nombre y dirección de su médico particular</t>
  </si>
  <si>
    <t xml:space="preserve">  Sexo      </t>
  </si>
  <si>
    <t>No. Préstamo</t>
  </si>
  <si>
    <r>
      <t xml:space="preserve">Esta información es completa y verdadera </t>
    </r>
    <r>
      <rPr>
        <sz val="9"/>
        <color rgb="FF1F497D"/>
        <rFont val="Calibri"/>
        <family val="2"/>
      </rPr>
      <t xml:space="preserve">y </t>
    </r>
    <r>
      <rPr>
        <sz val="9"/>
        <color theme="1"/>
        <rFont val="Calibri"/>
        <family val="2"/>
      </rPr>
      <t>se suministra para la obtención de un Seguro de Vida, cuya única cláusula es la cancelación del saldo teórico adecuado al fallecimiento. Banco General</t>
    </r>
    <r>
      <rPr>
        <sz val="9"/>
        <color rgb="FF1F497D"/>
        <rFont val="Calibri"/>
        <family val="2"/>
      </rPr>
      <t>,</t>
    </r>
    <r>
      <rPr>
        <sz val="9"/>
        <color theme="1"/>
        <rFont val="Calibri"/>
        <family val="2"/>
      </rPr>
      <t xml:space="preserve"> S.A.</t>
    </r>
    <r>
      <rPr>
        <sz val="9"/>
        <color rgb="FF1F497D"/>
        <rFont val="Calibri"/>
        <family val="2"/>
      </rPr>
      <t xml:space="preserve">, </t>
    </r>
    <r>
      <rPr>
        <sz val="9"/>
        <color theme="1"/>
        <rFont val="Calibri"/>
        <family val="2"/>
      </rPr>
      <t>recibirá directamente como único beneficiario el importe total del seguro arriba mencionado. Si la respuesta a alguna de estas preguntas es falsa o se omite alguna información, estará sujeta a negación por parte de General de Seguros, S.A. en caso de fallecimiento del prestatario.</t>
    </r>
  </si>
  <si>
    <r>
      <t>1.</t>
    </r>
    <r>
      <rPr>
        <sz val="9"/>
        <color theme="1"/>
        <rFont val="Times New Roman"/>
        <family val="1"/>
      </rPr>
      <t xml:space="preserve">        </t>
    </r>
    <r>
      <rPr>
        <sz val="9"/>
        <color theme="1"/>
        <rFont val="Calibri"/>
        <family val="2"/>
      </rPr>
      <t>Nombre completo</t>
    </r>
  </si>
  <si>
    <r>
      <t>18.</t>
    </r>
    <r>
      <rPr>
        <sz val="9"/>
        <color theme="1"/>
        <rFont val="Times New Roman"/>
        <family val="1"/>
      </rPr>
      <t xml:space="preserve">      </t>
    </r>
    <r>
      <rPr>
        <sz val="9"/>
        <color theme="1"/>
        <rFont val="Calibri"/>
        <family val="2"/>
      </rPr>
      <t xml:space="preserve">¿Va usted a ser operado o puesto en tratamiento médico?
                                                                                           SI                              NO         </t>
    </r>
  </si>
  <si>
    <r>
      <t>2.</t>
    </r>
    <r>
      <rPr>
        <sz val="9"/>
        <color theme="1"/>
        <rFont val="Times New Roman"/>
        <family val="1"/>
      </rPr>
      <t xml:space="preserve">        </t>
    </r>
    <r>
      <rPr>
        <sz val="9"/>
        <color theme="1"/>
        <rFont val="Calibri"/>
        <family val="2"/>
      </rPr>
      <t>Dirección residencial</t>
    </r>
  </si>
  <si>
    <r>
      <t>19.</t>
    </r>
    <r>
      <rPr>
        <sz val="9"/>
        <color theme="1"/>
        <rFont val="Times New Roman"/>
        <family val="1"/>
      </rPr>
      <t xml:space="preserve">      </t>
    </r>
    <r>
      <rPr>
        <sz val="9"/>
        <color theme="1"/>
        <rFont val="Calibri"/>
        <family val="2"/>
      </rPr>
      <t xml:space="preserve">¿Padece usted de presión alta o baja? (hipertensión) 
                                                                                           SI                              NO         </t>
    </r>
  </si>
  <si>
    <r>
      <t>3.</t>
    </r>
    <r>
      <rPr>
        <sz val="9"/>
        <color theme="1"/>
        <rFont val="Times New Roman"/>
        <family val="1"/>
      </rPr>
      <t xml:space="preserve">        </t>
    </r>
    <r>
      <rPr>
        <sz val="9"/>
        <color theme="1"/>
        <rFont val="Calibri"/>
        <family val="2"/>
      </rPr>
      <t>Dirección profesional</t>
    </r>
  </si>
  <si>
    <r>
      <t>20.</t>
    </r>
    <r>
      <rPr>
        <sz val="9"/>
        <color theme="1"/>
        <rFont val="Times New Roman"/>
        <family val="1"/>
      </rPr>
      <t xml:space="preserve">      </t>
    </r>
    <r>
      <rPr>
        <sz val="9"/>
        <color theme="1"/>
        <rFont val="Calibri"/>
        <family val="2"/>
      </rPr>
      <t xml:space="preserve">¿Según su leal saber y entender, está usted bien de salud y libre de cualquier deformidad o defecto físico?
                                                                                           SI                               NO         </t>
    </r>
  </si>
  <si>
    <r>
      <t>4.</t>
    </r>
    <r>
      <rPr>
        <sz val="9"/>
        <color theme="1"/>
        <rFont val="Times New Roman"/>
        <family val="1"/>
      </rPr>
      <t xml:space="preserve">        </t>
    </r>
    <r>
      <rPr>
        <sz val="9"/>
        <color theme="1"/>
        <rFont val="Calibri"/>
        <family val="2"/>
      </rPr>
      <t>Teléfono(s)</t>
    </r>
  </si>
  <si>
    <r>
      <t>21.</t>
    </r>
    <r>
      <rPr>
        <sz val="9"/>
        <color theme="1"/>
        <rFont val="Times New Roman"/>
        <family val="1"/>
      </rPr>
      <t xml:space="preserve">      </t>
    </r>
    <r>
      <rPr>
        <sz val="9"/>
        <color theme="1"/>
        <rFont val="Calibri"/>
        <family val="2"/>
      </rPr>
      <t xml:space="preserve">¿Le ha sido alguna vez rechazada, pospuesta, aceptada con recargo, modificada de algún modo una propuesta de seguro de vida, accidente, enfermedad o alguna solicitud de rehabilitación?                                                                                                                                                                                                                      </t>
    </r>
  </si>
  <si>
    <t xml:space="preserve">                                                                    SI                               NO</t>
  </si>
  <si>
    <r>
      <t>5.</t>
    </r>
    <r>
      <rPr>
        <sz val="9"/>
        <color theme="1"/>
        <rFont val="Times New Roman"/>
        <family val="1"/>
      </rPr>
      <t xml:space="preserve">        </t>
    </r>
    <r>
      <rPr>
        <sz val="9"/>
        <color theme="1"/>
        <rFont val="Calibri"/>
        <family val="2"/>
      </rPr>
      <t>Lugar de trabajo</t>
    </r>
  </si>
  <si>
    <r>
      <t>22.</t>
    </r>
    <r>
      <rPr>
        <sz val="9"/>
        <color theme="1"/>
        <rFont val="Times New Roman"/>
        <family val="1"/>
      </rPr>
      <t xml:space="preserve">      </t>
    </r>
    <r>
      <rPr>
        <sz val="9"/>
        <color theme="1"/>
        <rFont val="Calibri"/>
        <family val="2"/>
      </rPr>
      <t>¿Ha piloteado algún avión en los últimos cinco años o ha intentado hacerse piloto o volar en otra calidad que no sea la de pasajero en avión comercial?
                                                                                           SI                              NO</t>
    </r>
  </si>
  <si>
    <r>
      <t>6.</t>
    </r>
    <r>
      <rPr>
        <sz val="9"/>
        <color theme="1"/>
        <rFont val="Times New Roman"/>
        <family val="1"/>
      </rPr>
      <t xml:space="preserve">        </t>
    </r>
    <r>
      <rPr>
        <sz val="9"/>
        <color theme="1"/>
        <rFont val="Calibri"/>
        <family val="2"/>
      </rPr>
      <t>Profesión (funciones)</t>
    </r>
  </si>
  <si>
    <r>
      <t>23.</t>
    </r>
    <r>
      <rPr>
        <sz val="9"/>
        <color theme="1"/>
        <rFont val="Times New Roman"/>
        <family val="1"/>
      </rPr>
      <t xml:space="preserve">      </t>
    </r>
    <r>
      <rPr>
        <sz val="9"/>
        <color theme="1"/>
        <rFont val="Calibri"/>
        <family val="2"/>
      </rPr>
      <t>¿Ha existido alguna vez en su familia tuberculosis, diabetes o alteraciones cardíacas?
                                                                                           SI                             NO</t>
    </r>
  </si>
  <si>
    <r>
      <t>7.</t>
    </r>
    <r>
      <rPr>
        <sz val="9"/>
        <color theme="1"/>
        <rFont val="Times New Roman"/>
        <family val="1"/>
      </rPr>
      <t xml:space="preserve">        </t>
    </r>
    <r>
      <rPr>
        <sz val="9"/>
        <color theme="1"/>
        <rFont val="Calibri"/>
        <family val="2"/>
      </rPr>
      <t>Fecha de nacimiento</t>
    </r>
  </si>
  <si>
    <r>
      <t>24.</t>
    </r>
    <r>
      <rPr>
        <sz val="9"/>
        <color theme="1"/>
        <rFont val="Times New Roman"/>
        <family val="1"/>
      </rPr>
      <t xml:space="preserve">      </t>
    </r>
    <r>
      <rPr>
        <sz val="9"/>
        <color theme="1"/>
        <rFont val="Calibri"/>
        <family val="2"/>
      </rPr>
      <t>¿Fuma usted? Indique cantidad diaria
                                                                                           SI                              NO</t>
    </r>
  </si>
  <si>
    <r>
      <t>8.</t>
    </r>
    <r>
      <rPr>
        <sz val="9"/>
        <color theme="1"/>
        <rFont val="Times New Roman"/>
        <family val="1"/>
      </rPr>
      <t xml:space="preserve">        </t>
    </r>
    <r>
      <rPr>
        <sz val="9"/>
        <color theme="1"/>
        <rFont val="Calibri"/>
        <family val="2"/>
      </rPr>
      <t xml:space="preserve">Edad                                    </t>
    </r>
  </si>
  <si>
    <r>
      <t>25.</t>
    </r>
    <r>
      <rPr>
        <sz val="9"/>
        <color theme="1"/>
        <rFont val="Times New Roman"/>
        <family val="1"/>
      </rPr>
      <t xml:space="preserve">      </t>
    </r>
    <r>
      <rPr>
        <sz val="9"/>
        <color theme="1"/>
        <rFont val="Calibri"/>
        <family val="2"/>
      </rPr>
      <t>¿Ha recibido tratamiento en conexión con SIDA o una condición relacionada al SIDA o una  enfermedad transmitida sexualmente?
                                                                                            SI                              NO</t>
    </r>
  </si>
  <si>
    <r>
      <t>9.</t>
    </r>
    <r>
      <rPr>
        <sz val="9"/>
        <color theme="1"/>
        <rFont val="Times New Roman"/>
        <family val="1"/>
      </rPr>
      <t xml:space="preserve">        </t>
    </r>
    <r>
      <rPr>
        <sz val="9"/>
        <color theme="1"/>
        <rFont val="Calibri"/>
        <family val="2"/>
      </rPr>
      <t>Estado civil</t>
    </r>
  </si>
  <si>
    <r>
      <t>26.</t>
    </r>
    <r>
      <rPr>
        <sz val="9"/>
        <color theme="1"/>
        <rFont val="Times New Roman"/>
        <family val="1"/>
      </rPr>
      <t xml:space="preserve">      </t>
    </r>
    <r>
      <rPr>
        <sz val="9"/>
        <color theme="1"/>
        <rFont val="Calibri"/>
        <family val="2"/>
      </rPr>
      <t>¿Le han dicho que ha tenido SIDA o el complejo relacionado al SIDA?
                                                                                            SI                              NO</t>
    </r>
  </si>
  <si>
    <r>
      <t>10.</t>
    </r>
    <r>
      <rPr>
        <sz val="9"/>
        <color theme="1"/>
        <rFont val="Times New Roman"/>
        <family val="1"/>
      </rPr>
      <t xml:space="preserve">      </t>
    </r>
    <r>
      <rPr>
        <sz val="9"/>
        <color theme="1"/>
        <rFont val="Calibri"/>
        <family val="2"/>
      </rPr>
      <t>No. de Seguro Social</t>
    </r>
  </si>
  <si>
    <r>
      <t>27.</t>
    </r>
    <r>
      <rPr>
        <sz val="9"/>
        <color theme="1"/>
        <rFont val="Times New Roman"/>
        <family val="1"/>
      </rPr>
      <t xml:space="preserve">      </t>
    </r>
    <r>
      <rPr>
        <sz val="9"/>
        <color theme="1"/>
        <rFont val="Calibri"/>
        <family val="2"/>
      </rPr>
      <t xml:space="preserve">¿Ha tenido o le han dicho que ha tenido resultados positivos de pruebas sanguíneas para anticuerpos al virus del SIDA (Virus de Inmunodeficiencia Humano)?
                                                                                            SI                              NO  </t>
    </r>
  </si>
  <si>
    <r>
      <t>11.</t>
    </r>
    <r>
      <rPr>
        <sz val="9"/>
        <color theme="1"/>
        <rFont val="Times New Roman"/>
        <family val="1"/>
      </rPr>
      <t xml:space="preserve">      </t>
    </r>
    <r>
      <rPr>
        <sz val="9"/>
        <color theme="1"/>
        <rFont val="Calibri"/>
        <family val="2"/>
      </rPr>
      <t>No. de cédula</t>
    </r>
  </si>
  <si>
    <r>
      <t>28.</t>
    </r>
    <r>
      <rPr>
        <sz val="9"/>
        <color theme="1"/>
        <rFont val="Times New Roman"/>
        <family val="1"/>
      </rPr>
      <t xml:space="preserve">      </t>
    </r>
    <r>
      <rPr>
        <sz val="9"/>
        <color theme="1"/>
        <rFont val="Calibri"/>
        <family val="2"/>
      </rPr>
      <t xml:space="preserve">¿Tiene usted alguno de estos síntomas sin explicación: fatiga, pérdida de peso, diarrea, ganglios linfáticos inflamados o extrañas lesiones de la piel?
                                                                                            SI                               NO  </t>
    </r>
  </si>
  <si>
    <r>
      <t>12.</t>
    </r>
    <r>
      <rPr>
        <sz val="9"/>
        <color theme="1"/>
        <rFont val="Times New Roman"/>
        <family val="1"/>
      </rPr>
      <t xml:space="preserve">      </t>
    </r>
    <r>
      <rPr>
        <sz val="9"/>
        <color theme="1"/>
        <rFont val="Calibri"/>
        <family val="2"/>
      </rPr>
      <t xml:space="preserve">Beneficiario(s): </t>
    </r>
    <r>
      <rPr>
        <b/>
        <sz val="9"/>
        <color theme="1"/>
        <rFont val="Calibri"/>
        <family val="2"/>
      </rPr>
      <t>Banco General, S.A.</t>
    </r>
  </si>
  <si>
    <r>
      <t>29.</t>
    </r>
    <r>
      <rPr>
        <sz val="9"/>
        <color theme="1"/>
        <rFont val="Times New Roman"/>
        <family val="1"/>
      </rPr>
      <t xml:space="preserve">      </t>
    </r>
    <r>
      <rPr>
        <b/>
        <sz val="9"/>
        <color theme="1"/>
        <rFont val="Calibri"/>
        <family val="2"/>
      </rPr>
      <t>SOLO PARA MUJERES</t>
    </r>
    <r>
      <rPr>
        <sz val="9"/>
        <color theme="1"/>
        <rFont val="Calibri"/>
        <family val="2"/>
      </rPr>
      <t xml:space="preserve"> 
            ¿Está usted embarazada? Indique fecha probable de parto
                                                                                            SI                               NO  
            ¿Ha tenido usted algún trastorno en los senos u órganos femeninos?
                                                                                            SI                               NO  </t>
    </r>
  </si>
  <si>
    <r>
      <t>15.</t>
    </r>
    <r>
      <rPr>
        <sz val="9"/>
        <color theme="1"/>
        <rFont val="Times New Roman"/>
        <family val="1"/>
      </rPr>
      <t xml:space="preserve">      </t>
    </r>
    <r>
      <rPr>
        <sz val="9"/>
        <color theme="1"/>
        <rFont val="Calibri"/>
        <family val="2"/>
      </rPr>
      <t xml:space="preserve">¿Ha estado usted, a su mejor entender, en tratamiento o le han indicado que padece enfermedades del riñón, fiebre reumática, desórdenes cardíacos, enfermedades del pulmón, cáncer, úlcera, desórdenes del aparato digestivo, epilepsia, desórdenes nerviosos o mentales, o cualquier otra enfermedad, anormalidad, defecto o lesión?
                                                                                        SI                          NO  </t>
    </r>
  </si>
  <si>
    <r>
      <t>30.</t>
    </r>
    <r>
      <rPr>
        <sz val="9"/>
        <color theme="1"/>
        <rFont val="Times New Roman"/>
        <family val="1"/>
      </rPr>
      <t xml:space="preserve">      </t>
    </r>
    <r>
      <rPr>
        <sz val="9"/>
        <color theme="1"/>
        <rFont val="Calibri"/>
        <family val="2"/>
      </rPr>
      <t xml:space="preserve">Si la contestación a alguna de las preguntas entre la 15 y 29, exceptuando la 20, es afirmativa, de detalles al máximo, indicando el número de la pregunta, fechas, duraciones, nombres y domicilios de todos los médicos que le asistieron u hospitales donde fue atendido.
Autorización para realizar consultas a APC 
(para toda póliza relacionada a mi cédula o RUC)
                                                                                            SI                               NO  
_______________________________________
Firma del Propuesto Asegurado
                                               </t>
    </r>
  </si>
  <si>
    <r>
      <t>16.</t>
    </r>
    <r>
      <rPr>
        <sz val="9"/>
        <color theme="1"/>
        <rFont val="Times New Roman"/>
        <family val="1"/>
      </rPr>
      <t xml:space="preserve">      </t>
    </r>
    <r>
      <rPr>
        <sz val="9"/>
        <color theme="1"/>
        <rFont val="Calibri"/>
        <family val="2"/>
      </rPr>
      <t xml:space="preserve">¿Ha sido usted examinado durante los últimos cinco años a través de un electrocardiograma, rayos x, análisis de sangre, u otros exámenes diagnósticos?
                                                                                       SI                           NO  
                                                                                             </t>
    </r>
  </si>
  <si>
    <t xml:space="preserve">17.      ¿Es diabético? Indique usted desde cuándo.  ¿Ha tenido coma diabética?
                                                                                       SI                           NO  </t>
  </si>
  <si>
    <t>Nombre del Ejecutivo</t>
  </si>
  <si>
    <t>FORMULARIOS</t>
  </si>
  <si>
    <t>(cantidad que va en la hoja de impresión)</t>
  </si>
  <si>
    <t>Reposeído (BG)</t>
  </si>
  <si>
    <t>Traspaso por compra de vivienda (Ley Preferencial en BG)</t>
  </si>
  <si>
    <t>Ejecutivo</t>
  </si>
  <si>
    <t>Cuando es Casa Cash</t>
  </si>
  <si>
    <r>
      <t xml:space="preserve">Autorización de Paz y Salvo
</t>
    </r>
    <r>
      <rPr>
        <b/>
        <sz val="9"/>
        <color rgb="FFFF0000"/>
        <rFont val="Calibri"/>
        <family val="2"/>
        <scheme val="minor"/>
      </rPr>
      <t>SE REQUIERE COPIA DEL ÚLTIMO DE PAGO DEL IDAAN</t>
    </r>
  </si>
  <si>
    <t>Unidad de Vivienda</t>
  </si>
  <si>
    <t>SI(O(Hoja_de_Cotización!R1=2,Hoja_de_Cotización!R1=3),SI(Hoja_de_Cotización!G31&lt;&gt;"",Hoja_de_Cotización!G31,Hoja_de_Cotización!G32))</t>
  </si>
  <si>
    <t>28 - PLAZA GALAPAGOS</t>
  </si>
  <si>
    <t>Dueño de la Deuda</t>
  </si>
  <si>
    <t>Otros</t>
  </si>
  <si>
    <t>Casco Antiguo</t>
  </si>
  <si>
    <t>Casco viejo - 
No Hace Escritura</t>
  </si>
  <si>
    <t>Casco viejo - 
Fideicomiso</t>
  </si>
  <si>
    <t>01030101010101</t>
  </si>
  <si>
    <t>01030101020101</t>
  </si>
  <si>
    <t>01030102010101</t>
  </si>
  <si>
    <t>01030102020101</t>
  </si>
  <si>
    <t>01030101010201</t>
  </si>
  <si>
    <t>01030101020201</t>
  </si>
  <si>
    <t>01030102010201</t>
  </si>
  <si>
    <t>01030102020201</t>
  </si>
  <si>
    <t>01030101010202</t>
  </si>
  <si>
    <t>01030101020202</t>
  </si>
  <si>
    <t>01030102010202</t>
  </si>
  <si>
    <t>01030102020202</t>
  </si>
  <si>
    <t>SI(O(Hoja_de_Cotización!R1=1,Hoja_de_Cotización!R1=5,Hoja_de_Cotización!R1=8)</t>
  </si>
  <si>
    <t>Falta el valor de tramitación para estos casos</t>
  </si>
  <si>
    <t>APC</t>
  </si>
  <si>
    <t>Club Estates</t>
  </si>
  <si>
    <t>Delavista Tower</t>
  </si>
  <si>
    <t>Metro Tower</t>
  </si>
  <si>
    <t>P.H. Premium</t>
  </si>
  <si>
    <t>Residencial Lefevre</t>
  </si>
  <si>
    <t>The Heritage</t>
  </si>
  <si>
    <t>Torre Sorrento</t>
  </si>
  <si>
    <t>Valery Point</t>
  </si>
  <si>
    <r>
      <t xml:space="preserve">                  Solicitud de Paz y Salvo
                    </t>
    </r>
    <r>
      <rPr>
        <b/>
        <sz val="10"/>
        <color rgb="FFFF0000"/>
        <rFont val="Calibri"/>
        <family val="2"/>
        <scheme val="minor"/>
      </rPr>
      <t xml:space="preserve">    (2 Originales)</t>
    </r>
  </si>
  <si>
    <t>Crédito de Consumo - Descto Directo</t>
  </si>
  <si>
    <t>Crédito de Consumo - Voluntario</t>
  </si>
  <si>
    <t>Hipotecarios - Descuento Directo</t>
  </si>
  <si>
    <t>Hipotecarios - Voluntario</t>
  </si>
  <si>
    <t>Total de Hipotecarios Descto Directo + hipotecarios voluntario</t>
  </si>
  <si>
    <t>Total Credito consumo descto directo - credito consumo voluntario</t>
  </si>
  <si>
    <t>Crédito de consumo - Voluntario</t>
  </si>
  <si>
    <t>Crédito de consumo - Descuento Directo</t>
  </si>
  <si>
    <t>N/A</t>
  </si>
  <si>
    <t>Asalariado</t>
  </si>
  <si>
    <t>Independiente</t>
  </si>
  <si>
    <t>10 años</t>
  </si>
  <si>
    <t>6 a 12 meses</t>
  </si>
  <si>
    <t>Suma de todas las deudas (consumo + hipotecarios)</t>
  </si>
  <si>
    <t>35 - PANAMA PACIFICO</t>
  </si>
  <si>
    <t>125 - COSTA VERDE</t>
  </si>
  <si>
    <t>Ubicación</t>
  </si>
  <si>
    <t>24 de Diciembre</t>
  </si>
  <si>
    <t>Pacora</t>
  </si>
  <si>
    <t>San Francisco</t>
  </si>
  <si>
    <t>Penonomé</t>
  </si>
  <si>
    <t>DOCUMENTOS DEL TRAMITE - INTERNOS</t>
  </si>
  <si>
    <t>OBSERVACIONES</t>
  </si>
  <si>
    <t xml:space="preserve">        Cotización del  Crédito</t>
  </si>
  <si>
    <t>DOCUMENTOS DEL CLIENTE</t>
  </si>
  <si>
    <t>1ero</t>
  </si>
  <si>
    <t>2do</t>
  </si>
  <si>
    <t xml:space="preserve">3er </t>
  </si>
  <si>
    <t>4to</t>
  </si>
  <si>
    <t>Copia de pasaporte</t>
  </si>
  <si>
    <t>OTROS DOCUMENTOS</t>
  </si>
  <si>
    <t>Referencias de Crédito externas (APC)</t>
  </si>
  <si>
    <t>Solicitud de póliza de vida completa y firmada</t>
  </si>
  <si>
    <t>Recordar aclarar preguntas afirmativas</t>
  </si>
  <si>
    <t xml:space="preserve">        Carta de Trabajo si en retención indica "Salarios y otras remuneraciones"</t>
  </si>
  <si>
    <t>DOCUMENTOS POR FINALIDAD</t>
  </si>
  <si>
    <t>COMPRA VIVIENDA NUEVA</t>
  </si>
  <si>
    <t>CASA CASH Y/O TRASPASO OTRO BANCO</t>
  </si>
  <si>
    <t>COMPRA VIVIENDA USADA</t>
  </si>
  <si>
    <t>CAMBIO DUEÑO Y DEUDOR</t>
  </si>
  <si>
    <t xml:space="preserve">         Carta Solicitud de Cambio de Participación</t>
  </si>
  <si>
    <t>Cédula identidad Panamá Vigente (dueños y deudores)</t>
  </si>
  <si>
    <t xml:space="preserve">        Solicitud de Préstamo Completa y Firmada </t>
  </si>
  <si>
    <t xml:space="preserve">        Carta de autorización de Paz y salvos (firma de los dueños)</t>
  </si>
  <si>
    <t xml:space="preserve">        Solicitud de paz y salvo Inmueble (8.5 x 14) 2 formularios x cada dueño</t>
  </si>
  <si>
    <t xml:space="preserve">        Carta de saldo de préstamos personales  / Hipoteca</t>
  </si>
  <si>
    <t>En color rojo, los documentos mínimos que deben ser enviados por tipo de trámite.</t>
  </si>
  <si>
    <t>NOMBRE CLIENTE</t>
  </si>
  <si>
    <t>FINALIDAD</t>
  </si>
  <si>
    <t>USO INTERNO HIPOTECAS</t>
  </si>
  <si>
    <t>VERIFICACION DE REGISTRO PUBLICO</t>
  </si>
  <si>
    <t xml:space="preserve">FINCA:  </t>
  </si>
  <si>
    <t xml:space="preserve">DUEÑOS DE LA FINCA: </t>
  </si>
  <si>
    <t>.</t>
  </si>
  <si>
    <t>69 - VERSALLES</t>
  </si>
  <si>
    <r>
      <t xml:space="preserve">        </t>
    </r>
    <r>
      <rPr>
        <sz val="11"/>
        <color rgb="FF002060"/>
        <rFont val="Arial"/>
        <family val="2"/>
      </rPr>
      <t>Avalúo (es opcional que el cliente lo presenta)</t>
    </r>
  </si>
  <si>
    <r>
      <t xml:space="preserve">        </t>
    </r>
    <r>
      <rPr>
        <sz val="11"/>
        <color rgb="FF002060"/>
        <rFont val="Arial"/>
        <family val="2"/>
      </rPr>
      <t>Correo o nota del caso en People Soft- Recuperación Cartera detalla comentarios</t>
    </r>
  </si>
  <si>
    <t xml:space="preserve">        Contrato de compra venta</t>
  </si>
  <si>
    <t xml:space="preserve">Fecha de Entrega de la Propiedad </t>
  </si>
  <si>
    <t>Fecha de Entrega de la propiedad</t>
  </si>
  <si>
    <t>13 - AUTOBANCO SAN FRANCISCO</t>
  </si>
  <si>
    <t>131 - PLAZA LOS ANGELES</t>
  </si>
  <si>
    <t>BOQUETE</t>
  </si>
  <si>
    <r>
      <t xml:space="preserve">Solicitud de Seg Vida
</t>
    </r>
    <r>
      <rPr>
        <b/>
        <sz val="10"/>
        <color rgb="FFFF0000"/>
        <rFont val="Calibri"/>
        <family val="2"/>
        <scheme val="minor"/>
      </rPr>
      <t>Nuevo Formulario Seguro Vida</t>
    </r>
  </si>
  <si>
    <r>
      <t xml:space="preserve">Declaraciones de renta - 2 últimas  </t>
    </r>
    <r>
      <rPr>
        <b/>
        <sz val="9"/>
        <color rgb="FFFF0000"/>
        <rFont val="Arial"/>
        <family val="2"/>
      </rPr>
      <t xml:space="preserve"> (1)                     (2)</t>
    </r>
  </si>
  <si>
    <r>
      <t xml:space="preserve">   *Certificado de recepción             </t>
    </r>
    <r>
      <rPr>
        <b/>
        <sz val="9"/>
        <color rgb="FFFF0000"/>
        <rFont val="Arial"/>
        <family val="2"/>
      </rPr>
      <t xml:space="preserve"> (1)                     (2)</t>
    </r>
  </si>
  <si>
    <r>
      <t xml:space="preserve">   *Copia de recibo de  pago </t>
    </r>
    <r>
      <rPr>
        <b/>
        <sz val="9"/>
        <color rgb="FFFF0000"/>
        <rFont val="Arial"/>
        <family val="2"/>
      </rPr>
      <t xml:space="preserve">                 (1)                    (2)</t>
    </r>
  </si>
  <si>
    <r>
      <t xml:space="preserve">REVISADO POR:  ___________________________________
                                </t>
    </r>
    <r>
      <rPr>
        <b/>
        <sz val="10"/>
        <color rgb="FF002060"/>
        <rFont val="Arial"/>
        <family val="2"/>
      </rPr>
      <t>OFICIAL O GERENTE</t>
    </r>
  </si>
  <si>
    <t xml:space="preserve">Alta Terra </t>
  </si>
  <si>
    <t>Coral Residences &amp; Spa</t>
  </si>
  <si>
    <t>Doral Villas</t>
  </si>
  <si>
    <t>P.H. Acqua I</t>
  </si>
  <si>
    <t>P.H. Parques del Carmen</t>
  </si>
  <si>
    <t>Pobladores</t>
  </si>
  <si>
    <t>Colinas de Pacora</t>
  </si>
  <si>
    <t>Isabella Tower</t>
  </si>
  <si>
    <t>Loma Vista Tower</t>
  </si>
  <si>
    <t>New West</t>
  </si>
  <si>
    <t>P.H. Caminos de Galicia</t>
  </si>
  <si>
    <t>P.H. Matisse</t>
  </si>
  <si>
    <t>Park City Tower</t>
  </si>
  <si>
    <t>The Towers</t>
  </si>
  <si>
    <t>Victoria Royale</t>
  </si>
  <si>
    <t>Vista Verde</t>
  </si>
  <si>
    <t>LOS SANTOS</t>
  </si>
  <si>
    <t>Traspaso de Acciones</t>
  </si>
  <si>
    <t xml:space="preserve">NO FINANCIAMOS APARTAMENTOS CON MENOS DE 54 METROS O DE 1 RECAMARA Y 1 BAÑO CON PRECIO DE VENTA MENOR O IGUAL A $120 MIL </t>
  </si>
  <si>
    <t>Precalificación Crédito Hipotecario Interino</t>
  </si>
  <si>
    <t>Nombre del cliente</t>
  </si>
  <si>
    <t>___________________________</t>
  </si>
  <si>
    <t>_____________________</t>
  </si>
  <si>
    <t>Valor del terreno</t>
  </si>
  <si>
    <t>________________________</t>
  </si>
  <si>
    <t>Total</t>
  </si>
  <si>
    <t>Financiamiento  US$</t>
  </si>
  <si>
    <t>____________________  ________%</t>
  </si>
  <si>
    <t xml:space="preserve">Aporte del cliente  US$ </t>
  </si>
  <si>
    <r>
      <t xml:space="preserve">____________________ </t>
    </r>
    <r>
      <rPr>
        <b/>
        <sz val="11"/>
        <color theme="1"/>
        <rFont val="Calibri"/>
        <family val="2"/>
        <scheme val="minor"/>
      </rPr>
      <t xml:space="preserve"> Forma de pago: </t>
    </r>
    <r>
      <rPr>
        <sz val="11"/>
        <color theme="1"/>
        <rFont val="Calibri"/>
        <family val="2"/>
        <scheme val="minor"/>
      </rPr>
      <t>_______________</t>
    </r>
  </si>
  <si>
    <t xml:space="preserve">Tasa interino </t>
  </si>
  <si>
    <t>________ %</t>
  </si>
  <si>
    <t>Tasa de efectiva</t>
  </si>
  <si>
    <t>________ meses</t>
  </si>
  <si>
    <t>Comisión de cierre US$</t>
  </si>
  <si>
    <t>____________</t>
  </si>
  <si>
    <t>Dirección completa</t>
  </si>
  <si>
    <t>________________________________________________________________</t>
  </si>
  <si>
    <t>Número de finca</t>
  </si>
  <si>
    <t>Requisitos</t>
  </si>
  <si>
    <t>Si el requisito no fue presentado sustentar:</t>
  </si>
  <si>
    <t>Exonerado por:</t>
  </si>
  <si>
    <t>Planos aprobados</t>
  </si>
  <si>
    <t>Programa de trabajos</t>
  </si>
  <si>
    <t>Contrato de inspección técnica</t>
  </si>
  <si>
    <t>Seguro CAR</t>
  </si>
  <si>
    <t>Fianza de cumplimiento de contrato</t>
  </si>
  <si>
    <t>Fianza de pago</t>
  </si>
  <si>
    <t>Carta de cesión de pagos</t>
  </si>
  <si>
    <t>Inspección ingeniero</t>
  </si>
  <si>
    <t>Inspección residente</t>
  </si>
  <si>
    <t>Inspección financiera</t>
  </si>
  <si>
    <t>Inspección de seguridad</t>
  </si>
  <si>
    <t>Nombre del aprobador:</t>
  </si>
  <si>
    <t>_______________________________</t>
  </si>
  <si>
    <t>Nombre del ejecutivo comercial:</t>
  </si>
  <si>
    <t>COPA</t>
  </si>
  <si>
    <t>Compra de ViviendaLey PreferencialResidencialNuevaCasaFERIA COPA000000115000.00</t>
  </si>
  <si>
    <t>Casa CashIndividualSegunda HipotecaUsadaCasaBG000000115000.00</t>
  </si>
  <si>
    <t>Casa CashIndividualSegunda HipotecaUsadaCasaFERIA COPA000000115000.00</t>
  </si>
  <si>
    <t>Gastos Gratis / Empelados BG</t>
  </si>
  <si>
    <t>Empleado / Gastos Gratis</t>
  </si>
  <si>
    <t xml:space="preserve">Financiamiento = &lt; 90% </t>
  </si>
  <si>
    <t>&lt;=90%</t>
  </si>
  <si>
    <t>&gt;90%</t>
  </si>
  <si>
    <t>formula comisión de manejo sin la opción COPA</t>
  </si>
  <si>
    <t>formula tasa sin la opción COPA</t>
  </si>
  <si>
    <t>Precio Venta &gt; 40,000.00 y &lt;=80,000</t>
  </si>
  <si>
    <t>157- SAN MATEO</t>
  </si>
  <si>
    <t>Politica</t>
  </si>
  <si>
    <t>A</t>
  </si>
  <si>
    <t>B</t>
  </si>
  <si>
    <t>C</t>
  </si>
  <si>
    <t>D</t>
  </si>
  <si>
    <t>Política</t>
  </si>
  <si>
    <t>CAMBIO DUEÑO / DEUDOR</t>
  </si>
  <si>
    <t>EXCEPCIONES</t>
  </si>
  <si>
    <t>D - Extranjeros ingresos en Panamá</t>
  </si>
  <si>
    <t>C - Extranjeros ingresos en el exterior</t>
  </si>
  <si>
    <t>B - Panameños ingresos en el exterior</t>
  </si>
  <si>
    <t>Tipo Cliente</t>
  </si>
  <si>
    <t>Jubilado / Pensionado</t>
  </si>
  <si>
    <t>Saldo del Préstamo</t>
  </si>
  <si>
    <t>Fecha de Vencimiento del Préstamo</t>
  </si>
  <si>
    <t>Fecha Venc</t>
  </si>
  <si>
    <t>Años</t>
  </si>
  <si>
    <t>Cálculo del Plazo</t>
  </si>
  <si>
    <t>Dueños Actuales</t>
  </si>
  <si>
    <t>Seguro Incendio</t>
  </si>
  <si>
    <t>Deudores Actuales</t>
  </si>
  <si>
    <t>Fecha nac</t>
  </si>
  <si>
    <t>años</t>
  </si>
  <si>
    <t>Calculo Edad</t>
  </si>
  <si>
    <t>Calculo de Poliza de Incendio</t>
  </si>
  <si>
    <t>Total de los ingresos</t>
  </si>
  <si>
    <t xml:space="preserve">Totales </t>
  </si>
  <si>
    <t>Totales</t>
  </si>
  <si>
    <t>Total de todos los ingresos</t>
  </si>
  <si>
    <t>=E61</t>
  </si>
  <si>
    <t>=G61</t>
  </si>
  <si>
    <t>=H61</t>
  </si>
  <si>
    <t>Tasa de interés actual</t>
  </si>
  <si>
    <t>Cotización de</t>
  </si>
  <si>
    <t>no aplica bono</t>
  </si>
  <si>
    <t>Monto solicitado</t>
  </si>
  <si>
    <t>|</t>
  </si>
  <si>
    <t>No. Préstamo Primera Hipoteca BG</t>
  </si>
  <si>
    <t>Plazo años</t>
  </si>
  <si>
    <t>si el programa es copa y gastos gratis es si, siempre hace escritura</t>
  </si>
  <si>
    <t>Comisión Fideicomiso
           "Si Aplica"</t>
  </si>
  <si>
    <t>A-1</t>
  </si>
  <si>
    <t>A-1 Independiente</t>
  </si>
  <si>
    <t>A - Asalariado</t>
  </si>
  <si>
    <t>Terreno</t>
  </si>
  <si>
    <t>Sociedades</t>
  </si>
  <si>
    <t>Extranjeros ingresos en el exterior</t>
  </si>
  <si>
    <t>Extranjeros ingresos en Panamá</t>
  </si>
  <si>
    <t>Combo Terreno</t>
  </si>
  <si>
    <t>Combo Acciones</t>
  </si>
  <si>
    <t>Fundaciones</t>
  </si>
  <si>
    <t>Panameños ingresos en el exterior</t>
  </si>
  <si>
    <t>Participante no. 1</t>
  </si>
  <si>
    <t>Participante no. 2</t>
  </si>
  <si>
    <t>Participante no. 3</t>
  </si>
  <si>
    <t>Participante no. 4</t>
  </si>
  <si>
    <t>Tipos Participantes</t>
  </si>
  <si>
    <t>Extranjeros con ingreso del exterior</t>
  </si>
  <si>
    <t>Requisitos del Cliente</t>
  </si>
  <si>
    <t>Para la aprobación de su préstamo hipotecario, es necesario que presente los siguientes documentos: 
•Copia de la cédula (legible y vigente)
•Talonario de Pago
•Certificación de Jubilación
•Resolución de Jubilación o Resolución de Pensionado
•Completar y firmar solicitud de hipotecas.
•Completar y firmar carta de autorización de APC.</t>
  </si>
  <si>
    <t>Para la aprobación de su préstamo hipotecario, es necesario que presente los siguientes documentos:
•Copia completa del pasaporte. (Vigente y Legible), incluyendo todas las hojas que evidencien movimiento migratorio (sellos de entrada y salida).
•Carné de migración de Panamá.  (Vigente y Legible)
•Dos (2) Cartas de Referencias bancarias de su país de origen y de cuentas bancarias en Estados Unidos (si aplica).
•Declaración Jurada de Vivienda Principal.
•Income Tax (USA)
•WO - 2  (USA)
•WO - 9 (USA)
•Completar y firmar solicitud de hipotecas. 
•Completar y firmar carta de autorización de APC.</t>
  </si>
  <si>
    <t>Para la aprobación de su préstamo hipotecario, es necesario que presente los siguientes documentos:
•Copia del Pacto social (acciones nominativas solamente).
•Acta donde se autoriza la transacción.
•Tasa única.
•Declaración Jurada
•Copia de Pasaporte o cédula  del Representante Legal, Dignatarios y persona autorizada para realizar la transacción.
•Completar y firmar carta de autorización de APC.</t>
  </si>
  <si>
    <t>Para la aprobación de su préstamo hipotecario, es necesario que presente los siguientes documentos:
•Copia completa del pasaporte. (Vigente y Legible), incluyendo todas las hojas que evidencien movimiento migratorio (sellos de entrada y salida).
•Carné de migración de Panamá.  (Vigente y Legible).
•Cartas de referencias bancarias en dólares o movimientos bancarios como respaldo personal.
•Declaración Jurada de Vivienda Principal.
•Completar y firmar solicitud de hipotecas. 
•Completar y firmar carta de autorización de APC.</t>
  </si>
  <si>
    <t>Para la aprobación de su préstamo hipotecario, es necesario que presente los siguientes documentos:
•Acta del Consejo Fundacional.
•Acta donde se autoriza la transacción.
•Reglamento Fundacional.
•Declaración Jurada.
•Copia de cédula o pasaporte de los miembros del consejo fundacional y persona autorizada para realizar la transacción.
•Completar y firmar carta de autorización de APC.</t>
  </si>
  <si>
    <t>Para la aprobación de su préstamo hipotecario, es necesario que presente los siguientes documentos:
•Copia de la cédula (legible y vigente)
•Carta de Trabajo (original)
•Proforma de trabajo (público)
•Copia de la última Ficha de la CSS
•Copia del último Comprobante de pago.
•Copia del último talonario de pago (Público).
•Completar y firmar solicitud de hipotecas.
•Completar y firmar carta de autorización de APC.</t>
  </si>
  <si>
    <t>Para la aprobación de su préstamo hipotecario, es necesario que presente los siguientes documentos:
•Copia de la cédula (legible y vigente)
•Dos últimas declaraciones de renta, adjuntar certificado de recepción de cada declaración y recibo de pago de impuestos y seguro educativo (las declaraciones deben estar declaradas en el año fiscal correspondiente y el contribuyente debe estar al día en sus impuestos.). 
•En caso de ser dueño de compañía, los estados financieros de los mismos, de los dos últimos años auditados por contador público autorizado.
•Si no tiene referencias de crédito adjuntar Carta de Referencia Bancaria, movimiento de cuenta para últimos 3 meses o carta de referencia comercial.
•Completar y firmar solicitud de hipotecas. 
•Completar y firmar carta de autorización de APC.</t>
  </si>
  <si>
    <t>Para la aprobación de su préstamo hipotecario, es necesario que presente los siguientes documentos:
•Copia de la cédula (legible y vigente).
•Cartas de referencias bancarias en dólares o movimientos bancarios como respaldo personal.
•Declaración Jurada de Vivienda Principal.
•Completar y firmar solicitud de hipotecas. 
•Completar y firmar carta de autorización de APC.</t>
  </si>
  <si>
    <t>Sin Duplicados</t>
  </si>
  <si>
    <t>Para esta promoción el banco hace las escrituras</t>
  </si>
  <si>
    <t>Ver listado de la pestaña 6</t>
  </si>
  <si>
    <t>Datos Actuales "Ver Información de COBIS"</t>
  </si>
  <si>
    <t>Mensualidad Actual</t>
  </si>
  <si>
    <t>Seguro de vida $</t>
  </si>
  <si>
    <t>Seguro Incendio $</t>
  </si>
  <si>
    <t>Feci $</t>
  </si>
  <si>
    <t>Comisión Mensual $</t>
  </si>
  <si>
    <t>Tasa de Interés</t>
  </si>
  <si>
    <t>Cálculos Nuevos</t>
  </si>
  <si>
    <t>Comisión de Manejo</t>
  </si>
  <si>
    <t>Comisión Fideicomiso
"Si Aplica"</t>
  </si>
  <si>
    <t>Nueva Mensualidad</t>
  </si>
  <si>
    <t>Ubicación del Promotor</t>
  </si>
  <si>
    <t>Interior</t>
  </si>
  <si>
    <t>Panamá</t>
  </si>
  <si>
    <t>Combo Promotor</t>
  </si>
  <si>
    <t>ubicación Promotor</t>
  </si>
  <si>
    <t>Refinanciamiento Primera Hipoteca</t>
  </si>
  <si>
    <t>Equivalencia de lista ccash</t>
  </si>
  <si>
    <t>Tipo tramite largo</t>
  </si>
  <si>
    <t>Tipo de tramite para validación de gastos y comisiones</t>
  </si>
  <si>
    <t>Promotores hacen su escritura</t>
  </si>
  <si>
    <t>Requisitos del cliente para la aprobación de su préstamo hipotecario</t>
  </si>
  <si>
    <t>Monto del Casa Cash Vigente</t>
  </si>
  <si>
    <t>SI - Empresa General de Seguros</t>
  </si>
  <si>
    <t>NO - Otras Aseguradoras</t>
  </si>
  <si>
    <t>COCLE</t>
  </si>
  <si>
    <t>Etapa 2: Documentos para la aceptación del crédito:</t>
  </si>
  <si>
    <t xml:space="preserve">El crédito hipotecario es un proceso que implica una serie de etapas: </t>
  </si>
  <si>
    <t>Etapa 1: Documentos para la evaluación de Comité:</t>
  </si>
  <si>
    <t>Etapa 3: Documentos para la confección de escritura</t>
  </si>
  <si>
    <t>Etapa 4: Documentos para registro público:</t>
  </si>
  <si>
    <t>Endosa</t>
  </si>
  <si>
    <t>Endosa si o no</t>
  </si>
  <si>
    <t xml:space="preserve">Poliza de Vida </t>
  </si>
  <si>
    <t>░ Datos Generales y Cédula del (los) participantes (es) como dueños</t>
  </si>
  <si>
    <t>░ Abonar como mínimo  $200.00 a los gastos de cierre o Cancelación de los gastos de cierre</t>
  </si>
  <si>
    <t xml:space="preserve">░ Copia de la escritura </t>
  </si>
  <si>
    <t xml:space="preserve">░ Carta de saldo del prestamo a cancelar </t>
  </si>
  <si>
    <t>░ Minuta de cancelación confeccionado por el banco dueño de la hipoteca actual.</t>
  </si>
  <si>
    <t xml:space="preserve">░ Copia de la póliza endosada vigente </t>
  </si>
  <si>
    <t>░ Completar y firmar Solicitud de Póliza de vida e incendio si se van a pagar dentro de la mensualidad del prestamo</t>
  </si>
  <si>
    <t>░ Paz y Salvo de Inmueble</t>
  </si>
  <si>
    <t>░ Declaración de mejoras si la finca no mantiene mejoras declaradas en el registro público</t>
  </si>
  <si>
    <t>░ Póliza de Vida endosadas por el 100% de la deuda , si no desea tomarla pagando dentro de la mensualidad</t>
  </si>
  <si>
    <t>░ Póliza de Incendio endosada por el 80% del valor de la propiedad si no la toam dentro de la mensualidad</t>
  </si>
  <si>
    <t>░ Si mantiene polizas endosadas con el banco dueño de la hipoteca actual debe presentar copia de las mismas y
carta de la aseguradora indicando el cambio de beneficiario una vez cancelada la deuda.</t>
  </si>
  <si>
    <t>░ Paz y Salvo del Idaan</t>
  </si>
  <si>
    <t>Préstamo de Traspaso de Otro Banco</t>
  </si>
  <si>
    <t>162 - BRISAS DEL GOLF - ARRAIJAN</t>
  </si>
  <si>
    <t>Requisitos Préstamo Hipotecario</t>
  </si>
  <si>
    <t>Requisitos para evaluación:</t>
  </si>
  <si>
    <t>Solicitud de préstamo (completa y firmada)</t>
  </si>
  <si>
    <t>Autorización para consultar referencias de Crédito ( Clientes Nuevos)</t>
  </si>
  <si>
    <r>
      <t>Copia de cédula (</t>
    </r>
    <r>
      <rPr>
        <b/>
        <sz val="10"/>
        <rFont val="Arial"/>
        <family val="2"/>
      </rPr>
      <t>Vigente y Legible</t>
    </r>
    <r>
      <rPr>
        <sz val="10"/>
        <rFont val="Arial"/>
        <family val="2"/>
      </rPr>
      <t>) de los todos dueños y deudores del préstamo</t>
    </r>
  </si>
  <si>
    <t>Copia Carné de Seguro Social (solo Jubilados de CSS y funcionarios de CSS)</t>
  </si>
  <si>
    <t>Copia Carné de empleados de la Autoridad del Canal de Panamá</t>
  </si>
  <si>
    <r>
      <rPr>
        <b/>
        <sz val="10"/>
        <rFont val="Arial"/>
        <family val="2"/>
      </rPr>
      <t>Asalariado</t>
    </r>
    <r>
      <rPr>
        <sz val="10"/>
        <rFont val="Arial"/>
        <family val="2"/>
      </rPr>
      <t>: Carta de trabajo,  carta de continuidad laboral (si aplica), copia de Ficha CSS y Comprobante de pago vigente.</t>
    </r>
  </si>
  <si>
    <r>
      <rPr>
        <b/>
        <sz val="10"/>
        <rFont val="Arial"/>
        <family val="2"/>
      </rPr>
      <t>Jubilado y Pensionado</t>
    </r>
    <r>
      <rPr>
        <sz val="10"/>
        <rFont val="Arial"/>
        <family val="2"/>
      </rPr>
      <t>: Talonario de Pago,  Resolución (Pensionado)</t>
    </r>
  </si>
  <si>
    <r>
      <rPr>
        <b/>
        <sz val="10"/>
        <rFont val="Arial"/>
        <family val="2"/>
      </rPr>
      <t>Independiente</t>
    </r>
    <r>
      <rPr>
        <sz val="10"/>
        <rFont val="Arial"/>
        <family val="2"/>
      </rPr>
      <t xml:space="preserve"> / P. Jurídica: 2 últimas declaraciones de renta, recibos de pago y certificado de recepción o Estado Financiero Auditado (sólo aplica para el interior de la República). </t>
    </r>
  </si>
  <si>
    <r>
      <rPr>
        <b/>
        <sz val="10"/>
        <rFont val="Arial"/>
        <family val="2"/>
      </rPr>
      <t>Extranjeros</t>
    </r>
    <r>
      <rPr>
        <sz val="10"/>
        <rFont val="Arial"/>
        <family val="2"/>
      </rPr>
      <t>: copia del  pasaporte, 1 carta de referencia bancaria, evidencia de ingresos, copia carné de migración o residente (si va ser su vivienda principal).</t>
    </r>
  </si>
  <si>
    <t>Requisitos para el trámite (después de aprobada la hipoteca):</t>
  </si>
  <si>
    <t>Atendido por:</t>
  </si>
  <si>
    <t>Teléfono:</t>
  </si>
  <si>
    <t>Gracias por preferirnos…</t>
  </si>
  <si>
    <t>Compra de Vivienda Nueva</t>
  </si>
  <si>
    <r>
      <rPr>
        <b/>
        <sz val="10"/>
        <color theme="1"/>
        <rFont val="Arial"/>
        <family val="2"/>
      </rPr>
      <t>Sociedad Anónima</t>
    </r>
    <r>
      <rPr>
        <sz val="10"/>
        <color theme="1"/>
        <rFont val="Arial"/>
        <family val="2"/>
      </rPr>
      <t>: Pacto social (acciones nominativas solamente)</t>
    </r>
  </si>
  <si>
    <r>
      <rPr>
        <b/>
        <sz val="10"/>
        <color theme="1"/>
        <rFont val="Arial"/>
        <family val="2"/>
      </rPr>
      <t>Fundación:</t>
    </r>
    <r>
      <rPr>
        <sz val="10"/>
        <color theme="1"/>
        <rFont val="Arial"/>
        <family val="2"/>
      </rPr>
      <t xml:space="preserve"> Acta del Consejo Fundacional</t>
    </r>
  </si>
  <si>
    <t>Si participa una Persona Jurídica:</t>
  </si>
  <si>
    <t>pasaporte del Representante Legal, Dignatarios y persona autorizada para realizar la transacción.</t>
  </si>
  <si>
    <t>transacción.</t>
  </si>
  <si>
    <t>Compra de Vivienda Usada</t>
  </si>
  <si>
    <r>
      <rPr>
        <b/>
        <sz val="10"/>
        <color theme="1"/>
        <rFont val="Arial"/>
        <family val="2"/>
      </rPr>
      <t>Fundación</t>
    </r>
    <r>
      <rPr>
        <sz val="10"/>
        <color theme="1"/>
        <rFont val="Arial"/>
        <family val="2"/>
      </rPr>
      <t>: Acta del Consejo Fundacional</t>
    </r>
  </si>
  <si>
    <t xml:space="preserve">Contrato de Compra Venta </t>
  </si>
  <si>
    <t>Copia de Avalúo</t>
  </si>
  <si>
    <t>Carta de saldo si el bien inmueble tiene hipoteca</t>
  </si>
  <si>
    <t>Cédula del (los) Vendedor (es)</t>
  </si>
  <si>
    <t xml:space="preserve">Carta de autorización firmada por los dueños de la finca para tramitar los Paz y Salvo </t>
  </si>
  <si>
    <t>de IDAAN e Inmueble</t>
  </si>
  <si>
    <t>Copia de la última factura del IDAAN</t>
  </si>
  <si>
    <t>2% y 3% de transferencia de inmueble, boleta de pago y certificado de Recepción (Originales)</t>
  </si>
  <si>
    <t xml:space="preserve">Sociedad Anónima: acta donde se autoriza la transacción, tasa única, declaración jurada, copia de cédula o          </t>
  </si>
  <si>
    <t xml:space="preserve">Fundación: Acta donde se autoriza la transacción, Reglamento Fundacional, declaración jurada, copia de cédula o pasaporte de los miembros del consejo fundacional y persona autorizada para  para realizar la </t>
  </si>
  <si>
    <t>Contrato de Promesa de compraventa de acciones o, el contrato de compraventa definitivo de acciones.</t>
  </si>
  <si>
    <t xml:space="preserve">La sociedad debe haber emitido las acciones y el contrato de compraventa de acciones debe ser suscrita por el dueño de las acciones en su condición de vendedor y el comprador, cliente del banco. 
</t>
  </si>
  <si>
    <t>El Contrato debe contener entre sus cláusulas, la declaración del comprador o del promitente comprador, que del precio de venta ha procedido o procederá, a  retener el cinco (5%) por ciento  en concepto de adelanto al Impuesto sobre la Renta de la ganancia de capital.</t>
  </si>
  <si>
    <t>Cédula del (los) Vendedor (es) de las acciones</t>
  </si>
  <si>
    <t>Carta notificando los nombres de los nuevos diganatarios (Presidente, Secretario, tesorero)</t>
  </si>
  <si>
    <t>Copia de cédula (vigente y legible) de Presidente, Secretario y tesorero</t>
  </si>
  <si>
    <t>Acta de junta de accionistas inscrita con cambio de junta directiva y dignatarios conforme las normas legales y lo establecido en el pacto social de la sociedad.</t>
  </si>
  <si>
    <t>Carta donde el cliente certifica haber recibido a su entera satisfaccion las acciones - al desembolso</t>
  </si>
  <si>
    <t xml:space="preserve">Fundación: Acta donde se autoriza la transacción, Reglamento Fundacional, declaración jurada, </t>
  </si>
  <si>
    <t>copia de cédula o pasaporte de los miembros del consejo fundacional y persona autorizada para</t>
  </si>
  <si>
    <t>realizar la transacción.</t>
  </si>
  <si>
    <t>Compra de Vivienda Vacacional</t>
  </si>
  <si>
    <r>
      <rPr>
        <b/>
        <sz val="10"/>
        <rFont val="Arial"/>
        <family val="2"/>
      </rPr>
      <t>Extranjeros</t>
    </r>
    <r>
      <rPr>
        <sz val="10"/>
        <rFont val="Arial"/>
        <family val="2"/>
      </rPr>
      <t>:copia del  pasaporte, 1 carta de referencia bancaria, evidencia de ingresos, copia carné de migración o residente (si va ser su vivienda principal).</t>
    </r>
  </si>
  <si>
    <t>En caso de vivienda usada:</t>
  </si>
  <si>
    <t>Cédula del (los) Vendedor (es).</t>
  </si>
  <si>
    <t>Fundación: Acta donde se autoriza la transacción, Reglamento Fundacional, declaración jurada,</t>
  </si>
  <si>
    <t xml:space="preserve"> copia de cédula o pasaporte de los miembros del consejo fundacional y persona autorizada para</t>
  </si>
  <si>
    <r>
      <rPr>
        <b/>
        <sz val="10"/>
        <rFont val="Arial"/>
        <family val="2"/>
      </rPr>
      <t>Independiente / P. Jurídica</t>
    </r>
    <r>
      <rPr>
        <sz val="10"/>
        <rFont val="Arial"/>
        <family val="2"/>
      </rPr>
      <t xml:space="preserve">: 2 últimas declaraciones de renta, recibos de pago y certificado de recepción o Estado Financiero Auditado (sólo aplica para el interior de la República). </t>
    </r>
  </si>
  <si>
    <t>Carta de Saldo de obligaciones a cancelar</t>
  </si>
  <si>
    <t>Debe ser la vivienda principal del cliente</t>
  </si>
  <si>
    <t>2 Formularios de solicitud de paz y salvo</t>
  </si>
  <si>
    <t>Presupuesto de Mejoras (Sí Aplica)</t>
  </si>
  <si>
    <t>Copia de las escrituras</t>
  </si>
  <si>
    <t>Cambio de Dueño Deudor</t>
  </si>
  <si>
    <t>Carta donde se solicita el cambio firmada por todos los participantes del préstamo</t>
  </si>
  <si>
    <t>Copia de cédula del vendedor o donante</t>
  </si>
  <si>
    <t>de IDAAN e Inmueble.</t>
  </si>
  <si>
    <t xml:space="preserve">certificados de recepción. </t>
  </si>
  <si>
    <t xml:space="preserve"> Presupuesto de mejoras separado por actividades </t>
  </si>
  <si>
    <t>Avalúo del Terreno</t>
  </si>
  <si>
    <t>Planos aprobados por Ingeniería Municipal</t>
  </si>
  <si>
    <t>Programa de trabajos (cronograma de Gantt)</t>
  </si>
  <si>
    <t xml:space="preserve">Contrato de inspección técnica o nota del cliente informando quien será su inspector técnico o que </t>
  </si>
  <si>
    <t>no lo tendrá.</t>
  </si>
  <si>
    <t>Copia de cédula e idoneidad del inspector técnico</t>
  </si>
  <si>
    <t xml:space="preserve">Seguro CAR (coberturas: endoso de acreedor hipotecario, responsabilidad civil cruzada y cobertura </t>
  </si>
  <si>
    <t>amplia de mantenimiento).</t>
  </si>
  <si>
    <t xml:space="preserve">Bono o fianza de cumplimiento (si el constructor quiebra, el proyecto lo termina la aseguradora, debe </t>
  </si>
  <si>
    <t>ser por el 50% del valor del contrato)</t>
  </si>
  <si>
    <t xml:space="preserve">Bono  o fianza de Pago  (endoso del bono de cumplimiento cubre deudas del contratista con sus </t>
  </si>
  <si>
    <t>proveedores hasta un 25% del valor del contrato)</t>
  </si>
  <si>
    <t>Carta de cesión de pago (se ceden los pagos al banco en caso que se tengan que aplicar las fianzas)</t>
  </si>
  <si>
    <t>Copia de la carta de aceptación del interino.</t>
  </si>
  <si>
    <t xml:space="preserve">Carta de autorización firmada por los dueños de la finca para tramitar los Paz y Salvo de IDAAN </t>
  </si>
  <si>
    <t>e Inmueble</t>
  </si>
  <si>
    <t>Compra de Terreno</t>
  </si>
  <si>
    <r>
      <rPr>
        <b/>
        <sz val="10"/>
        <rFont val="Arial"/>
        <family val="2"/>
      </rPr>
      <t>Sociedad Anónima</t>
    </r>
    <r>
      <rPr>
        <sz val="10"/>
        <rFont val="Arial"/>
        <family val="2"/>
      </rPr>
      <t>: acta donde se autoriza la transacción, pacto social (acciones nominativas solamente), tasa única, copia de cédula o pasaporte del Representante Legal, Dignatarios y persona autorizada para realizar la transacción.</t>
    </r>
  </si>
  <si>
    <r>
      <rPr>
        <b/>
        <sz val="10"/>
        <rFont val="Arial"/>
        <family val="2"/>
      </rPr>
      <t>Fundación:</t>
    </r>
    <r>
      <rPr>
        <sz val="10"/>
        <rFont val="Arial"/>
        <family val="2"/>
      </rPr>
      <t xml:space="preserve"> Acta donde se autoriza la transacción, Reglamento Fundacional, copia de cédula o pasaporte de los miembros del consejo fundacional y persona autorizada para realizar la transacción</t>
    </r>
  </si>
  <si>
    <r>
      <rPr>
        <b/>
        <sz val="10"/>
        <color theme="1"/>
        <rFont val="Arial"/>
        <family val="2"/>
      </rPr>
      <t>Sociedad Anónima</t>
    </r>
    <r>
      <rPr>
        <sz val="10"/>
        <color theme="1"/>
        <rFont val="Arial"/>
        <family val="2"/>
      </rPr>
      <t>: Pacto social</t>
    </r>
  </si>
  <si>
    <t>INMOBILIARIA HERZA, S.A.</t>
  </si>
  <si>
    <t>INVERSIONES JUAN &amp; EMANUEL, S.A.</t>
  </si>
  <si>
    <t>PROMOTORA COCLESANA, S.A.</t>
  </si>
  <si>
    <t>GRUPO V &amp; V</t>
  </si>
  <si>
    <t>CONCAPITAL</t>
  </si>
  <si>
    <t>FINANZAS VOX, S.A.</t>
  </si>
  <si>
    <t>GRUPO ALTOS DEL BOSQUE, S.A.</t>
  </si>
  <si>
    <t>POZNAN CORP.</t>
  </si>
  <si>
    <t>CONSTRUCTORA SALOMON</t>
  </si>
  <si>
    <t>ELTAL, S.A.</t>
  </si>
  <si>
    <t>LISTADO DE PROYECTOS QUE LA CONSTRUCCIÓN ES FINANCIADA POR BANCO GENERAL</t>
  </si>
  <si>
    <t>Tipo</t>
  </si>
  <si>
    <t xml:space="preserve">Nombre del Proyecto </t>
  </si>
  <si>
    <t>Edificio</t>
  </si>
  <si>
    <t>Sierra Club Residences E-I</t>
  </si>
  <si>
    <t>Arraiján</t>
  </si>
  <si>
    <t>Calidonia</t>
  </si>
  <si>
    <t>Carrasquilla</t>
  </si>
  <si>
    <t>Clayton</t>
  </si>
  <si>
    <t>Green Park Torre 600 y 700</t>
  </si>
  <si>
    <t>Condado del Rey</t>
  </si>
  <si>
    <t>Costa del Este Country Club T-200</t>
  </si>
  <si>
    <t>Costa del Este</t>
  </si>
  <si>
    <t>Skyline</t>
  </si>
  <si>
    <t>Hato Pintado</t>
  </si>
  <si>
    <t>Miradores Residences T-100</t>
  </si>
  <si>
    <t>Metro View</t>
  </si>
  <si>
    <t>Llano Bonito</t>
  </si>
  <si>
    <t>Parque Lefevre</t>
  </si>
  <si>
    <t>P.H. Simjá</t>
  </si>
  <si>
    <t>Garden Apartment II</t>
  </si>
  <si>
    <t>Laguna E-I</t>
  </si>
  <si>
    <t>Laguna E-II</t>
  </si>
  <si>
    <t>Pueblo Nuevo</t>
  </si>
  <si>
    <t>P.H. Vistas de Ancón</t>
  </si>
  <si>
    <t>Santa Ana</t>
  </si>
  <si>
    <t>Santa María</t>
  </si>
  <si>
    <t>Transístmica</t>
  </si>
  <si>
    <t>Cosmopolitan Tower T-300 y T-400</t>
  </si>
  <si>
    <t>Vía España</t>
  </si>
  <si>
    <t>Urbanización</t>
  </si>
  <si>
    <t>Brisas del Lago E-III F-I</t>
  </si>
  <si>
    <t>Orange Valley Fase I</t>
  </si>
  <si>
    <t>Royal Park Elite F-I</t>
  </si>
  <si>
    <t>Chorrera</t>
  </si>
  <si>
    <t>Spring Hills</t>
  </si>
  <si>
    <t>Hacienda Los Calderones</t>
  </si>
  <si>
    <t>Residencial Los Establos F-I</t>
  </si>
  <si>
    <t>Costa Sur</t>
  </si>
  <si>
    <t>Dolega</t>
  </si>
  <si>
    <t>Panamá Pacifico</t>
  </si>
  <si>
    <t>Pedasi</t>
  </si>
  <si>
    <t>Punta Caelo Luceros</t>
  </si>
  <si>
    <t>Villa Iguana</t>
  </si>
  <si>
    <t>Oceanlake Golf Villas II</t>
  </si>
  <si>
    <t>Oceanlake Golf Villas III</t>
  </si>
  <si>
    <t>Pearl Island F- I</t>
  </si>
  <si>
    <t>codProyecto</t>
  </si>
  <si>
    <t>ALTOS DE NUEVO EMPERADOR</t>
  </si>
  <si>
    <t>ARRAIJAN</t>
  </si>
  <si>
    <t>PANAMA</t>
  </si>
  <si>
    <t>CUMBRE AZUL</t>
  </si>
  <si>
    <t>HORIZON TOWER RESIDENCES</t>
  </si>
  <si>
    <t>JARDINES DE LA ESPINOZA</t>
  </si>
  <si>
    <t>MILLA DE ORO</t>
  </si>
  <si>
    <t>P.H. ANDRO¨S PLAZA</t>
  </si>
  <si>
    <t>P.H. AZAHARES</t>
  </si>
  <si>
    <t>PEDREGAL</t>
  </si>
  <si>
    <t>P.H. BRISAS DEL RIO</t>
  </si>
  <si>
    <t>GRUPO PRO</t>
  </si>
  <si>
    <t>P.H. BRISAS RIO ABAJO</t>
  </si>
  <si>
    <t>P.H. CASCO VIEW</t>
  </si>
  <si>
    <t>P.H. HORIZON TOWER RESIDENCES</t>
  </si>
  <si>
    <t>BALBOA</t>
  </si>
  <si>
    <t>ANTON</t>
  </si>
  <si>
    <t>P.H. IBIZA BEACH RESIDENCES 2</t>
  </si>
  <si>
    <t>PLAYA RESIDENCES, S.A.</t>
  </si>
  <si>
    <t>P.H. IBIZA BEACH RESIDENCES III</t>
  </si>
  <si>
    <t>AVANCE URBANO, S.A.</t>
  </si>
  <si>
    <t>P.H. IBIZA OCEAN VIEW, PLAYA CORONA</t>
  </si>
  <si>
    <t>SAN CARLOS</t>
  </si>
  <si>
    <t>CASAS DE PLAYA, S.A.</t>
  </si>
  <si>
    <t>P.H. NIRVANA</t>
  </si>
  <si>
    <t>P.H. OCEAN GARDEN VIEW</t>
  </si>
  <si>
    <t>P.H. OMAR PARK VIEW</t>
  </si>
  <si>
    <t>CONSTRUCTORA RAMI, S.A.</t>
  </si>
  <si>
    <t>P.H. PALMERAS</t>
  </si>
  <si>
    <t>CHAME</t>
  </si>
  <si>
    <t>P.H. PORTAL DEL SOL</t>
  </si>
  <si>
    <t>P.H. PRADA VIEW</t>
  </si>
  <si>
    <t>P.H. SOL DEL SUR</t>
  </si>
  <si>
    <t>BETESH PROPERTIES, S.A.</t>
  </si>
  <si>
    <t>P.H. TURISTICO CONDO HOTEL IBIZA PLAYA CORONADO</t>
  </si>
  <si>
    <t>PLAYA PROJECTS, S.A.</t>
  </si>
  <si>
    <t>P.H. VISTA DE ANCON</t>
  </si>
  <si>
    <t>PEDROS BIENES RAICES, S.A.</t>
  </si>
  <si>
    <t>P.H. VITTO</t>
  </si>
  <si>
    <t>P.H. WORLWIDE PLAZA RESIDENCES &amp; MALL</t>
  </si>
  <si>
    <t>PASEO DE LOS ARBOLES</t>
  </si>
  <si>
    <t>PH 19 ROAD</t>
  </si>
  <si>
    <t>RIO ABAJO</t>
  </si>
  <si>
    <t>PH CAÑAS VERDES</t>
  </si>
  <si>
    <t>PH. ANA GABRIELA</t>
  </si>
  <si>
    <t>PH. ANTARES</t>
  </si>
  <si>
    <t>PH. HANNA</t>
  </si>
  <si>
    <t>PH. VILLA BROM</t>
  </si>
  <si>
    <t>PRADERAS DE BOQUETE</t>
  </si>
  <si>
    <t>QUINTAS DE TANARA</t>
  </si>
  <si>
    <t>RESIDENCIAL BRISAS DE SAN FRANCISCO</t>
  </si>
  <si>
    <t>LA CHORRERA</t>
  </si>
  <si>
    <t>RESIDENCIAL COLINAS DEL CARATE</t>
  </si>
  <si>
    <t>INVERSIONES JACO, S.A.</t>
  </si>
  <si>
    <t>RESIDENCIAL EL ROSAL</t>
  </si>
  <si>
    <t>INVERSIONES CASA PROPIA, S.A.</t>
  </si>
  <si>
    <t>RESIDENCIAL JARDIN DE LOS ALGARROBOS</t>
  </si>
  <si>
    <t>DOLEGA</t>
  </si>
  <si>
    <t>RESIDENCIAL JARDINES DE SAN FRANCISCO</t>
  </si>
  <si>
    <t>RESIDENCIAL LA DIVIDA PROVIDENCIA</t>
  </si>
  <si>
    <t>RESIDENCIAL LAS ACACIAS</t>
  </si>
  <si>
    <t>RESIDENCIAL LOS DURAZNOS</t>
  </si>
  <si>
    <t>RESIDENCIAL LUCES DEL PACIFICO</t>
  </si>
  <si>
    <t>RESIDENCIAL MIRIAM ISABEL</t>
  </si>
  <si>
    <t>RESIDENCIAL NUEVO CHORRILLO</t>
  </si>
  <si>
    <t>RESIDENCIAL QUINTA LOS ALGARROBOS</t>
  </si>
  <si>
    <t>RESIDENCIAL REPARTO BELLA VISTA</t>
  </si>
  <si>
    <t>RESIDENCIAL SAN PABLO VIEJO ABAJO</t>
  </si>
  <si>
    <t>ORMELIS GONZALEZ QUIROZ</t>
  </si>
  <si>
    <t>RESIDENCIAL SAN PANCRACIO</t>
  </si>
  <si>
    <t>CAPIRA</t>
  </si>
  <si>
    <t>RESIDENCIAL VILLA LUNA</t>
  </si>
  <si>
    <t>RESIDENCIAS EN LA 20 DE COLON</t>
  </si>
  <si>
    <t>URBANIZACION JARDINES DE SAN FRANCISCO</t>
  </si>
  <si>
    <t>JARDINES DE SAN FRANCISCO, S.A.</t>
  </si>
  <si>
    <t>URBANIZACION LA FLORIDA</t>
  </si>
  <si>
    <t>URBANIZACION LOS MONTEROS</t>
  </si>
  <si>
    <t>URBANIZACION SAN JUAN</t>
  </si>
  <si>
    <t>URBANIZACION VALLE DEL NISPERO</t>
  </si>
  <si>
    <t>URBANIZACION VILLA REAL</t>
  </si>
  <si>
    <t>CANAAN DEVELOPMENT, S.A.</t>
  </si>
  <si>
    <t>VILLA ROSARIO</t>
  </si>
  <si>
    <t>VILLAS DEL SOL</t>
  </si>
  <si>
    <t>WESTLAND VIEW</t>
  </si>
  <si>
    <t>EXCEPCIONES (en tasa de interés, comisión mensual, etc)</t>
  </si>
  <si>
    <t>Casa Cash vivienda sin hipoteca</t>
  </si>
  <si>
    <r>
      <t>Metros</t>
    </r>
    <r>
      <rPr>
        <b/>
        <vertAlign val="superscript"/>
        <sz val="11"/>
        <color indexed="9"/>
        <rFont val="Tahoma"/>
        <family val="2"/>
      </rPr>
      <t>2</t>
    </r>
  </si>
  <si>
    <r>
      <t>Financiamiento / mts</t>
    </r>
    <r>
      <rPr>
        <b/>
        <vertAlign val="superscript"/>
        <sz val="10"/>
        <color theme="0"/>
        <rFont val="Tahoma"/>
        <family val="2"/>
      </rPr>
      <t>2</t>
    </r>
  </si>
  <si>
    <t>Provisión para intereses y cargos de otros Bancos</t>
  </si>
  <si>
    <t>Para traspaso de otro banco</t>
  </si>
  <si>
    <t>Con Seguro</t>
  </si>
  <si>
    <t>Sin Seguro</t>
  </si>
  <si>
    <t>Mensualidad sin seguro</t>
  </si>
  <si>
    <t>Mensualidad con seguro</t>
  </si>
  <si>
    <t>con seguro</t>
  </si>
  <si>
    <t>sin seguro</t>
  </si>
  <si>
    <t>Mensualidad Sin Seguro</t>
  </si>
  <si>
    <t>Mensualidad con Seguro</t>
  </si>
  <si>
    <t>formula para tipo prestamo</t>
  </si>
  <si>
    <t>RESIDENCIAL VICTORIA HILLS</t>
  </si>
  <si>
    <t>PACORA</t>
  </si>
  <si>
    <t>Contamos con más de 70 Sucursales con horarios extendidos y Autobancos
500 cajeros automáticos
Rápida y Facil Banca en Línea
Asesoría de Expertos
Rápida Aprobación</t>
  </si>
  <si>
    <t>Provincia</t>
  </si>
  <si>
    <t>Distrito</t>
  </si>
  <si>
    <t>Corregimiento</t>
  </si>
  <si>
    <t>JUAN DIAZ</t>
  </si>
  <si>
    <t>P.H. AMIRA GARDEN</t>
  </si>
  <si>
    <t>VISTA ALEGRE</t>
  </si>
  <si>
    <t>P.H. DANLI</t>
  </si>
  <si>
    <t>RIO HATO</t>
  </si>
  <si>
    <t>LA EXPOSICION/CALIDONIA</t>
  </si>
  <si>
    <t>P.H. MARIA BONITA</t>
  </si>
  <si>
    <t>ROYAL CONSULTING INVESTMENT, INC.</t>
  </si>
  <si>
    <t>PLAYA LEONA</t>
  </si>
  <si>
    <t>SAN FRANCISCO</t>
  </si>
  <si>
    <t>LAS LAJAS</t>
  </si>
  <si>
    <t>SANTA ANA</t>
  </si>
  <si>
    <t>PH. 19 ROAD</t>
  </si>
  <si>
    <t>CHIRIQUI</t>
  </si>
  <si>
    <t>BAJO BOQUETE</t>
  </si>
  <si>
    <t>GUADALUPE</t>
  </si>
  <si>
    <t>RESIDENCIAL CASTILLO DE LA HERRADURA</t>
  </si>
  <si>
    <t>VERAGUAS</t>
  </si>
  <si>
    <t>ATALAYA</t>
  </si>
  <si>
    <t>EL CARATE</t>
  </si>
  <si>
    <t>JUAN DEMOSTENES AROSEMENA</t>
  </si>
  <si>
    <t>HERRERA</t>
  </si>
  <si>
    <t>MONAGRILLO</t>
  </si>
  <si>
    <t>PROMOTOR NO EXISTE</t>
  </si>
  <si>
    <t>24 DE DICIEMBRE</t>
  </si>
  <si>
    <t>BARRIO BALBOA</t>
  </si>
  <si>
    <t>LA VILLA DE LOS SANTOS</t>
  </si>
  <si>
    <t>CERRO SILVESTRE</t>
  </si>
  <si>
    <t>RESIDENCIAL NUEVO SANTIAGO</t>
  </si>
  <si>
    <t>CEMANIN, S. A.</t>
  </si>
  <si>
    <t>LOS ALGARROBOS</t>
  </si>
  <si>
    <t>SAN JUAN</t>
  </si>
  <si>
    <t>SAN JUDAS TADEO PACORA</t>
  </si>
  <si>
    <t>LAS CUMBRES</t>
  </si>
  <si>
    <t>RESIDENCIAL ALTOS DE TERRONAL</t>
  </si>
  <si>
    <t>RESIDENCIAL LA ALEGRIA DEL FLOR</t>
  </si>
  <si>
    <t>RESIDENCIAL LAS FUENTES</t>
  </si>
  <si>
    <t>BUGABA</t>
  </si>
  <si>
    <t>RESIDENCIAL MIRABELLA PARK</t>
  </si>
  <si>
    <t>BARBERRY HOLDINGS, INC.</t>
  </si>
  <si>
    <t>LAS LOMAS</t>
  </si>
  <si>
    <t>RESIDENCIAL PALESTINA</t>
  </si>
  <si>
    <t>RESIDENCIAL VALLE VERDE</t>
  </si>
  <si>
    <t>URBANIZACION EL PINAR</t>
  </si>
  <si>
    <t>Refinanciamiento Casa Cash Vigente (Segunda Hipoteca)</t>
  </si>
  <si>
    <t xml:space="preserve">        Avalúo - Compra de Vivienda de Segunda - Vigencia de 1 año</t>
  </si>
  <si>
    <t xml:space="preserve">        Aprobación de Comité                     Adj. Correo                 Firma en Cotización </t>
  </si>
  <si>
    <t>Aprobado por :   __________________________</t>
  </si>
  <si>
    <t xml:space="preserve">                                            Aceptación de Descuento Directo de la Empresa                     </t>
  </si>
  <si>
    <t xml:space="preserve">                                            Estabilidad Laboral                    Venta de Propiedad              Otros:  ________________________________           </t>
  </si>
  <si>
    <r>
      <t xml:space="preserve">Copia de pacto social y sus adendas </t>
    </r>
    <r>
      <rPr>
        <sz val="10"/>
        <color rgb="FF002060"/>
        <rFont val="Arial"/>
        <family val="2"/>
      </rPr>
      <t xml:space="preserve"> (Sociedad oFundación)</t>
    </r>
  </si>
  <si>
    <r>
      <t xml:space="preserve">Referencias de crédito internas </t>
    </r>
    <r>
      <rPr>
        <sz val="9"/>
        <color rgb="FFFF0000"/>
        <rFont val="Arial"/>
        <family val="2"/>
      </rPr>
      <t>(Vista Integral de People Soft y Pantallazo)</t>
    </r>
  </si>
  <si>
    <t xml:space="preserve">Cliente extranjero:             World Check              Google </t>
  </si>
  <si>
    <t>Carta de Referencia Bancaria                   Confirmada</t>
  </si>
  <si>
    <t>Carta de trabajo                  Confirmada (validarla)</t>
  </si>
  <si>
    <r>
      <t xml:space="preserve">         Ficha de CSS</t>
    </r>
    <r>
      <rPr>
        <sz val="8"/>
        <color rgb="FFFF0000"/>
        <rFont val="Arial"/>
        <family val="2"/>
      </rPr>
      <t>(Copia)</t>
    </r>
    <r>
      <rPr>
        <sz val="11"/>
        <color rgb="FFFF0000"/>
        <rFont val="Arial"/>
        <family val="2"/>
      </rPr>
      <t xml:space="preserve">           Talonario de pago actualizado</t>
    </r>
  </si>
  <si>
    <t xml:space="preserve">         Proforma o                 Contrato</t>
  </si>
  <si>
    <r>
      <t xml:space="preserve">        Copia de recibo de pago del idaan                  </t>
    </r>
    <r>
      <rPr>
        <sz val="11"/>
        <color theme="1"/>
        <rFont val="Arial"/>
        <family val="2"/>
      </rPr>
      <t>Paz y salvo de idaan e inmueble</t>
    </r>
  </si>
  <si>
    <t>Copia de la escritura del crédito que se traspasa</t>
  </si>
  <si>
    <t xml:space="preserve">         Datos Necesario para que el banco gestione el avalúo: Número Finca   _______________  Tomo/rollo ____________</t>
  </si>
  <si>
    <t xml:space="preserve"> Folio/documento  _______________  / Dirección de la vivienda : _________________________________________</t>
  </si>
  <si>
    <t>Número de préstamo si la hipoteca esta en BG:  __________________________</t>
  </si>
  <si>
    <t xml:space="preserve">        Vendedor:              Persona Natural:  Copia de Cédula/Pasaporte</t>
  </si>
  <si>
    <t xml:space="preserve">Telefonos:  </t>
  </si>
  <si>
    <r>
      <t xml:space="preserve">                                        Persona Juridica: Copia de Pacto Social  </t>
    </r>
    <r>
      <rPr>
        <b/>
        <sz val="9"/>
        <color rgb="FFFF0000"/>
        <rFont val="Arial"/>
        <family val="2"/>
      </rPr>
      <t>(sociedad o Fundación)</t>
    </r>
  </si>
  <si>
    <r>
      <t xml:space="preserve">         Resolución de Donación                   Copia Cédula/Pasaporte (</t>
    </r>
    <r>
      <rPr>
        <b/>
        <sz val="10"/>
        <color rgb="FFFF0000"/>
        <rFont val="Arial"/>
        <family val="2"/>
      </rPr>
      <t>Donante/Vendedor)</t>
    </r>
  </si>
  <si>
    <t xml:space="preserve">         Poder General                          Poder Especial                  Cédula de Apoderado</t>
  </si>
  <si>
    <r>
      <t xml:space="preserve">         Otros Documentos:</t>
    </r>
    <r>
      <rPr>
        <b/>
        <sz val="11"/>
        <color rgb="FF002060"/>
        <rFont val="Arial"/>
        <family val="2"/>
      </rPr>
      <t xml:space="preserve"> _______________________________________________</t>
    </r>
  </si>
  <si>
    <t xml:space="preserve">Gravamen:            Si               No                                 1ra                    2da
Entidad Bancaria: _____________________________________             
        Secuestro                 Embargo                No consta             Cancelado </t>
  </si>
  <si>
    <t>Sujeto de comité:                Cancelación Obligaciones                    Colocar FECI Hipoteca otro Banco</t>
  </si>
  <si>
    <t>$1,150</t>
  </si>
  <si>
    <t>$2,200</t>
  </si>
  <si>
    <t>Contrato de Compra Venta</t>
  </si>
  <si>
    <t>Proforma</t>
  </si>
  <si>
    <t>GRUPO OTI PANAMA, S.A.</t>
  </si>
  <si>
    <t>Compra Venta de Acciones</t>
  </si>
  <si>
    <t>102 - AZUERO TERMINAL PLAZA</t>
  </si>
  <si>
    <t>ACompra Venta de AccionesIndividualResidencialUsadaCasaBG</t>
  </si>
  <si>
    <t>Compra Venta Acciones</t>
  </si>
  <si>
    <t>compra acciones</t>
  </si>
  <si>
    <t>12030101020101</t>
  </si>
  <si>
    <t>12030101010101</t>
  </si>
  <si>
    <t>12020101020101</t>
  </si>
  <si>
    <t>12020101010101</t>
  </si>
  <si>
    <t>12030102020101</t>
  </si>
  <si>
    <t>12030102010101</t>
  </si>
  <si>
    <t>12020102020101</t>
  </si>
  <si>
    <t>12020102010101</t>
  </si>
  <si>
    <t>Comisión de cierre - compra venta de acciones</t>
  </si>
  <si>
    <t>INMUEBLES DAVID, S.A.</t>
  </si>
  <si>
    <t>PRETTY HOUSES, S.A.</t>
  </si>
  <si>
    <t>CASAS DEL NORTE, S.A.</t>
  </si>
  <si>
    <t>P.H. AQUA TOWER TORRE 1</t>
  </si>
  <si>
    <t>CASA DE CAMPO FARALLON, S.A.</t>
  </si>
  <si>
    <t>P.H. PARADISE POINT</t>
  </si>
  <si>
    <t>THE GROUP, INC.</t>
  </si>
  <si>
    <t>NUEVA GORGONA</t>
  </si>
  <si>
    <t>CAÑAS VERDES ASSETS CORPORATION</t>
  </si>
  <si>
    <t>PRADERAS DE BOQUETE S.A.</t>
  </si>
  <si>
    <t>RESIDENCIAL PASEO DE LOS ARBOLES S.A.</t>
  </si>
  <si>
    <t>RESIDENCIAL VILLAS DE SAN ROQUE</t>
  </si>
  <si>
    <t>RESIDENCIAL JARDINES DE SAN JOSE</t>
  </si>
  <si>
    <t>P.H. GALA</t>
  </si>
  <si>
    <t>ANAJULA, SOCIEDAD ANONIMA</t>
  </si>
  <si>
    <t>SAN PABLO VIEJO</t>
  </si>
  <si>
    <t>RESIDENCIAL BRISAS DE LA FRONTERA</t>
  </si>
  <si>
    <t>SANTO DOMINGO</t>
  </si>
  <si>
    <t>RESIDENCIAL QANAH GARDENS</t>
  </si>
  <si>
    <t>NUEVO EMPERADOR</t>
  </si>
  <si>
    <t>MULTIKASAS, S.A</t>
  </si>
  <si>
    <t>P.H. VILLA LUCRE</t>
  </si>
  <si>
    <t>SAN MIGUELITO</t>
  </si>
  <si>
    <t>JOSE DOMINGO ESPINAR</t>
  </si>
  <si>
    <t>RESIDENCIAL BONANZA COUNTRY CLUB</t>
  </si>
  <si>
    <t>P.H. NAOS HARBOUR ISLAND</t>
  </si>
  <si>
    <t>ANCON</t>
  </si>
  <si>
    <t>RESIDENCIAL VILLAS DE TANARA</t>
  </si>
  <si>
    <t>CHEPO</t>
  </si>
  <si>
    <t>P.H. PANARAMA</t>
  </si>
  <si>
    <t>BELLA VISTA</t>
  </si>
  <si>
    <t>RESIDENCIAL RODEO CAMPESTRE</t>
  </si>
  <si>
    <t>RESIDENCIAL LA LIBERTAD ETAPA 1</t>
  </si>
  <si>
    <t>PROMOTORA AGUADULCE, S.A.</t>
  </si>
  <si>
    <t>AGUADULCE</t>
  </si>
  <si>
    <t>POCRI</t>
  </si>
  <si>
    <t>RESIDENCIAL CRYSTAL PARK</t>
  </si>
  <si>
    <t>PACORA GARDENS</t>
  </si>
  <si>
    <t>P.H. MYSTIC GATES</t>
  </si>
  <si>
    <t>AZURRE PH 42</t>
  </si>
  <si>
    <t>FOUR PROMOTION, S.A.</t>
  </si>
  <si>
    <t>RESIDENCIAL EL TECAL GUARARE</t>
  </si>
  <si>
    <t>CAP DESARROLLOS PANAMA S.A.</t>
  </si>
  <si>
    <t>GUARARE</t>
  </si>
  <si>
    <t>RESIDENCIAL VILLAS DEL MARIA</t>
  </si>
  <si>
    <t>INVERSIONES VILLAS DEL MARIA, S.A.</t>
  </si>
  <si>
    <t>BEJUCO</t>
  </si>
  <si>
    <t>P.H. SKY ONE RESIDENCES</t>
  </si>
  <si>
    <t>RESIDENCIAL PORTOBELO</t>
  </si>
  <si>
    <t>COLINAS DEL ESTE</t>
  </si>
  <si>
    <t>RESIDENCIAL EL HIGO</t>
  </si>
  <si>
    <t>RESIDENCIAL EL HIGO, S.A.</t>
  </si>
  <si>
    <t xml:space="preserve">164 - PASEO ARRAIJAN
</t>
  </si>
  <si>
    <t>ALTOS DE LAS PRADERAS ( LA QUINTA ETAPA LA PRADERA)</t>
  </si>
  <si>
    <t>DESARROLLOS INMOBILIARIOS LA PRADERA, S.A.</t>
  </si>
  <si>
    <t>MALIBU LAKE VILLAS</t>
  </si>
  <si>
    <t>MALIBU DEVELOPERS, S.A.</t>
  </si>
  <si>
    <t>P.H. RESIDENCIAL SANTA BARBARA</t>
  </si>
  <si>
    <t>PUERTO PILON</t>
  </si>
  <si>
    <t>P.H. TREBOL TOWERS</t>
  </si>
  <si>
    <t>DESARROLLO KASMIR, S.A.</t>
  </si>
  <si>
    <t>RESIDENCIAL ALTOS DE BELLA VISTA</t>
  </si>
  <si>
    <t>GRUPO LA VIVIENDA, S.A.</t>
  </si>
  <si>
    <t>RESIDENCIAL ALTOS DE CAÑAVERAL</t>
  </si>
  <si>
    <t>CANAVERAL</t>
  </si>
  <si>
    <t>RESIDENCIAL ALTOS LOMA BONITA</t>
  </si>
  <si>
    <t>REDAIR DEVELOPMENT CORP</t>
  </si>
  <si>
    <t>RESIDENCIAL BRISAS DEL ESPINO</t>
  </si>
  <si>
    <t>HURTADO</t>
  </si>
  <si>
    <t>RESIDENCIAL LOS ALMENDROS</t>
  </si>
  <si>
    <t>ALKES ENTERPRISES, INC.</t>
  </si>
  <si>
    <t>RESIDENCIAL QUINTAS DEL ESTE</t>
  </si>
  <si>
    <t>AB COPA, S.A.</t>
  </si>
  <si>
    <t>URBANIZACION VILLA CANDE</t>
  </si>
  <si>
    <t>DESARROLLO VILLA CANDE, S.A.</t>
  </si>
  <si>
    <t>OCU</t>
  </si>
  <si>
    <t>BRISAS DE VOLCAN</t>
  </si>
  <si>
    <t>RAINFOREST MOUNTAIN VIEW S.A.</t>
  </si>
  <si>
    <t>VOLCAN</t>
  </si>
  <si>
    <t>LA IGUANA VERDE</t>
  </si>
  <si>
    <t>LAS DELICIAS</t>
  </si>
  <si>
    <t>RANCHO LOS ALAMITOS, S.A.</t>
  </si>
  <si>
    <t>RESIDENCIAL VILLAS DEL ARADO</t>
  </si>
  <si>
    <t>GRUPO JOVA, S.A.</t>
  </si>
  <si>
    <t>EL ARADO</t>
  </si>
  <si>
    <t>(ver modelo en la pestaña Formularios)</t>
  </si>
  <si>
    <t>En caso de donación: resolución de donación (adjuntar los documentos para su captura)</t>
  </si>
  <si>
    <t xml:space="preserve">En caso de venta: Una vez aprobada la transacción, la boleta de pago por el 2% y 3%  (original) con sus respectivos </t>
  </si>
  <si>
    <t>NO FINANCIADO</t>
  </si>
  <si>
    <t>HACIENDA DE SAN ANTONIO</t>
  </si>
  <si>
    <t>LA PRADERA RESIDENCIAL</t>
  </si>
  <si>
    <t>LA SEGUNDA ETAPA, (MODELO LA PRADERA)</t>
  </si>
  <si>
    <t>PANAMA OESTE</t>
  </si>
  <si>
    <t>LA TERCERA ETAPA, (MODELO LA PRADERA)</t>
  </si>
  <si>
    <t>PACORA VILLAGE</t>
  </si>
  <si>
    <t>RESIDENCIAL VILLA ALEXANDRA</t>
  </si>
  <si>
    <t>CHILIBRE</t>
  </si>
  <si>
    <t>PUEBLO NUEVO</t>
  </si>
  <si>
    <t>RESIDENCIAL BARRIO FINO</t>
  </si>
  <si>
    <t>BUENA VISTA</t>
  </si>
  <si>
    <t>RESIDENCIAL CIBELES</t>
  </si>
  <si>
    <t>CASAS DE PANAMA, S.A.</t>
  </si>
  <si>
    <t>RESIDENCIAL SAN GABRIEL</t>
  </si>
  <si>
    <t>SERGIO ISAIAS PEREZ BOTELLO</t>
  </si>
  <si>
    <t>RESIDENCIAL VILLA BLANCA</t>
  </si>
  <si>
    <t>VILLAS DE NUEVO EMPERADOR</t>
  </si>
  <si>
    <t>COHEMPRO, S.A.</t>
  </si>
  <si>
    <t>VILLAS DE TOLEDO</t>
  </si>
  <si>
    <t>El Crisol</t>
  </si>
  <si>
    <t>Barlovento del Este T-1</t>
  </si>
  <si>
    <t>Ave. Domingo Díaz</t>
  </si>
  <si>
    <t>Barlovento del Este T-2</t>
  </si>
  <si>
    <t>Condado Country Club T-400</t>
  </si>
  <si>
    <t>Condado Country Club T-500</t>
  </si>
  <si>
    <t>Condado Country Club T-600</t>
  </si>
  <si>
    <t>Av. 12 de Octubre y altos de la pulida</t>
  </si>
  <si>
    <t>Santa María 01</t>
  </si>
  <si>
    <t>Bijao  - Balboa 4</t>
  </si>
  <si>
    <t>Bijao</t>
  </si>
  <si>
    <t>Bijao  - Gatun 5B</t>
  </si>
  <si>
    <t>Bijao  - Gatun 5C</t>
  </si>
  <si>
    <t>Bijao  - Gatun 5D</t>
  </si>
  <si>
    <t>Bijao - Quarry Heights 10</t>
  </si>
  <si>
    <t>Bijao - Quarry Heights 3</t>
  </si>
  <si>
    <t>Bijao - Quarry Heights 8</t>
  </si>
  <si>
    <t>Bijao - Quarry Heights 9</t>
  </si>
  <si>
    <t>Bijao - Quarry Heights Estates</t>
  </si>
  <si>
    <t>Bijao - Sherman 6A</t>
  </si>
  <si>
    <t>Clayton Park T-IV</t>
  </si>
  <si>
    <t>Clayton Park T-V</t>
  </si>
  <si>
    <t>P.H. Allegra</t>
  </si>
  <si>
    <t>Altapark</t>
  </si>
  <si>
    <t>Altos de Panamá</t>
  </si>
  <si>
    <t>Aviñón Towers ( 3 Torres )</t>
  </si>
  <si>
    <t>The Reserve - Legacy 400</t>
  </si>
  <si>
    <t>The Reserve - Privilege 1100</t>
  </si>
  <si>
    <t>The Reserve - Providence 600</t>
  </si>
  <si>
    <t>Calle 14 Río Abajo</t>
  </si>
  <si>
    <t>P.H. Las Palmeras, T- 3</t>
  </si>
  <si>
    <t>Calle 7 Río Abajo</t>
  </si>
  <si>
    <t>P.H. Radiant Tower</t>
  </si>
  <si>
    <t>Ciudad Radial</t>
  </si>
  <si>
    <t>East Tower</t>
  </si>
  <si>
    <t>San Carlos - Río Mar</t>
  </si>
  <si>
    <t>Ensenada Torre Galeon 300</t>
  </si>
  <si>
    <t>San Carlos - Lagomar</t>
  </si>
  <si>
    <t>Ensenada Torre Galeon 400</t>
  </si>
  <si>
    <t>Ensenada Torre Galeon 500</t>
  </si>
  <si>
    <t>Ensenada Torre Malecon 300</t>
  </si>
  <si>
    <t>Ensenada Torre Malecon 500</t>
  </si>
  <si>
    <t>Ensenada Torre Malecon 600</t>
  </si>
  <si>
    <t>Ocean Drive</t>
  </si>
  <si>
    <t>P.H. Lantana 29</t>
  </si>
  <si>
    <t>Paseo del Mar</t>
  </si>
  <si>
    <t>Buenaventura</t>
  </si>
  <si>
    <t>Punta Caelo Solaria</t>
  </si>
  <si>
    <t>Vía España y Parque Lefevre</t>
  </si>
  <si>
    <t>The Pacific</t>
  </si>
  <si>
    <t>Balboa Bay Condominium</t>
  </si>
  <si>
    <t>Calle 40 Bellavista</t>
  </si>
  <si>
    <t>Barcovento E-I e Infra</t>
  </si>
  <si>
    <t>Punta Barco</t>
  </si>
  <si>
    <t>Central Park (Torres y Oficinas)</t>
  </si>
  <si>
    <t>El Sitio Village F-I</t>
  </si>
  <si>
    <t>P.H. Aria</t>
  </si>
  <si>
    <t>P.H. La Vista</t>
  </si>
  <si>
    <t>P.H. Marea 2</t>
  </si>
  <si>
    <t>P.H. Mirador</t>
  </si>
  <si>
    <t>El Carmen</t>
  </si>
  <si>
    <t>Isla Pedro Gonzalez</t>
  </si>
  <si>
    <t>Terrazas de Santa María</t>
  </si>
  <si>
    <t>Mi Condado - Torre 1</t>
  </si>
  <si>
    <t>P.H. Zaphiro</t>
  </si>
  <si>
    <t>Cangrejo</t>
  </si>
  <si>
    <t>Residencial Llano Bonito A</t>
  </si>
  <si>
    <t>Residencial Llano Bonito C</t>
  </si>
  <si>
    <t>Residencial Llano Bonito D</t>
  </si>
  <si>
    <t>San Francisco Bay T-600</t>
  </si>
  <si>
    <t>Calle 50</t>
  </si>
  <si>
    <t>P.H. La Caleta</t>
  </si>
  <si>
    <t>Coco del Mar</t>
  </si>
  <si>
    <t>P.H. Madeira</t>
  </si>
  <si>
    <t>Calle 1era Parque Lefevre</t>
  </si>
  <si>
    <t>Palmarena</t>
  </si>
  <si>
    <t>River Valley - Tramo B</t>
  </si>
  <si>
    <t>Llano Marín (varias fases)</t>
  </si>
  <si>
    <t>Summer Village (varias fases)</t>
  </si>
  <si>
    <t>Milla 8</t>
  </si>
  <si>
    <t>Bijao - Casas Gatun</t>
  </si>
  <si>
    <t>Residencial Laurel</t>
  </si>
  <si>
    <t>Campiña Club Residencial E-I ( 3 Fases )</t>
  </si>
  <si>
    <t>Coronado</t>
  </si>
  <si>
    <t>Costa Linda E-I</t>
  </si>
  <si>
    <t>Embassy Club - Etapa II F-IV</t>
  </si>
  <si>
    <t>Playa Dorada E-1A Alamar</t>
  </si>
  <si>
    <t>Playa Dorada E-1A Altamarina 19</t>
  </si>
  <si>
    <t>Playa Dorada E-1A F-II - Vistazul 3</t>
  </si>
  <si>
    <t>Playa Dorada II - Villa Marina I F-I</t>
  </si>
  <si>
    <t>Playa Dorada II - Villa Marina I F-II</t>
  </si>
  <si>
    <t>Brisas del Lago E-III F-II</t>
  </si>
  <si>
    <t>Eco Garden IV</t>
  </si>
  <si>
    <t>Eco Garden V</t>
  </si>
  <si>
    <t>Praderas del Campo E-III</t>
  </si>
  <si>
    <t>Rolling Hills</t>
  </si>
  <si>
    <t>Senderos - E-I</t>
  </si>
  <si>
    <t>Senderos - E-II</t>
  </si>
  <si>
    <t>Senderos - E-III</t>
  </si>
  <si>
    <t>Villas de la Alameda II Etapa I</t>
  </si>
  <si>
    <t>Brisas del Sol F-II</t>
  </si>
  <si>
    <t>Brisas del Sol F-III</t>
  </si>
  <si>
    <t>Bosques de Bugaba Etapa V</t>
  </si>
  <si>
    <t>Bugaba</t>
  </si>
  <si>
    <t>Península F-I</t>
  </si>
  <si>
    <t>Residencial Paseo del Rey F-I</t>
  </si>
  <si>
    <t>Villa Marina Fase I</t>
  </si>
  <si>
    <t>Forest Hill F-I</t>
  </si>
  <si>
    <t>Parques de Oviedo IV</t>
  </si>
  <si>
    <t>Parques de Oviedo V</t>
  </si>
  <si>
    <t>Residencial Los Establos F-II</t>
  </si>
  <si>
    <t>Royal Park Elite F-II</t>
  </si>
  <si>
    <t>Valle Regio F-II</t>
  </si>
  <si>
    <t>Villas de Antigua - E- 2</t>
  </si>
  <si>
    <t>Villas del Lago III</t>
  </si>
  <si>
    <t>Costa del Sol</t>
  </si>
  <si>
    <t>Palma Real</t>
  </si>
  <si>
    <t>River Valley &amp; Woodlands - Tramo A</t>
  </si>
  <si>
    <t>The Crescent F-I</t>
  </si>
  <si>
    <t>Ventanas al Mar E-I</t>
  </si>
  <si>
    <t>Woodlands - Tramo B</t>
  </si>
  <si>
    <t>CONTRATISTA AUTORIZADOS POR EL BANCO (VIVIENDAS INDIVIDUALES)</t>
  </si>
  <si>
    <t>SOCIEDAD</t>
  </si>
  <si>
    <t>CONTRATISTA</t>
  </si>
  <si>
    <t>AREA</t>
  </si>
  <si>
    <t>DESARROLLO URBANISTICO,S.A. D.U.S.A</t>
  </si>
  <si>
    <t xml:space="preserve">ING. JULIO SUCRE S. Y ARQ. MANUEL F. SUCRE A. </t>
  </si>
  <si>
    <t>David, Chiriqui</t>
  </si>
  <si>
    <t>CONSTRUCSA,S.A.</t>
  </si>
  <si>
    <t>ARQ. JOSE ANTONIO SAAVEDRA CASTELLANOS</t>
  </si>
  <si>
    <t>ING. ALBERTO NASTA</t>
  </si>
  <si>
    <t xml:space="preserve">SIDCA </t>
  </si>
  <si>
    <t>KONSTRUCTORA ATENCIO, S.A.</t>
  </si>
  <si>
    <t>ARQ. MIGUEL ATENCIO</t>
  </si>
  <si>
    <t>LETFALAH NADER Y CIA</t>
  </si>
  <si>
    <t>ARQINGSA</t>
  </si>
  <si>
    <t>ARQ. ALEJANDRO PITTY</t>
  </si>
  <si>
    <t>RUBECASA</t>
  </si>
  <si>
    <t>ARQ. RUBEN CARRERA</t>
  </si>
  <si>
    <t>OH INGENIERIA</t>
  </si>
  <si>
    <t>ING. VICTOR ORTIZ</t>
  </si>
  <si>
    <t>David, Chiriqui Promotor desarrolla</t>
  </si>
  <si>
    <t>R.B. INGENIEROS</t>
  </si>
  <si>
    <t>ING. BENJAMIN OSORIO</t>
  </si>
  <si>
    <t>ING. JORGE MONTENEGRO VALLARINO</t>
  </si>
  <si>
    <t>CONSTRUCTORA PISA</t>
  </si>
  <si>
    <t>ARQ. IRENE BARRIA</t>
  </si>
  <si>
    <t>CONSTRUCTORA BRASIL PANAMA</t>
  </si>
  <si>
    <t>ING. ANTONIO BACIL</t>
  </si>
  <si>
    <t>AREA ARQUITECTOS, S.A.</t>
  </si>
  <si>
    <t>ARQ. BENJAMIN GARCIA</t>
  </si>
  <si>
    <t>CONSTRUCTORA LA ACEQUIA, S.A.</t>
  </si>
  <si>
    <t>AQUILINO FUENTES</t>
  </si>
  <si>
    <t>VICTOR AGUDO PITANO</t>
  </si>
  <si>
    <t>PROMOTOTA DE CONSTRUCCIONES , S.A.</t>
  </si>
  <si>
    <t>Provincias Centrales (Santiago)</t>
  </si>
  <si>
    <t>CARLOS SPIEGEL</t>
  </si>
  <si>
    <t>DESARROLLO INMB. LA MATA, S.A.</t>
  </si>
  <si>
    <t>JUSTO FABIO SPIEGEL</t>
  </si>
  <si>
    <t>SPIEGEL CARRIZO, S.A.</t>
  </si>
  <si>
    <t>IVAN ESQUIVEL</t>
  </si>
  <si>
    <t>PROMOTORA LA ATALAYA, S.A.</t>
  </si>
  <si>
    <t>DORITA STANZIOLA de CHEVALIER</t>
  </si>
  <si>
    <t>CHEVALIER STANZIOLA, S.A.</t>
  </si>
  <si>
    <t xml:space="preserve">BORIS BONILLA </t>
  </si>
  <si>
    <t>Provincias Centrales (Herrera)</t>
  </si>
  <si>
    <t>C &amp; G ARQUITECTOS</t>
  </si>
  <si>
    <t>INMOBILIARIA R&amp; R</t>
  </si>
  <si>
    <t>LAURA RODRIGUEZ</t>
  </si>
  <si>
    <t>LILIANA RODRIGUEZ</t>
  </si>
  <si>
    <t>ROSA DOPESO</t>
  </si>
  <si>
    <t>EFRAIN GONZALEZ</t>
  </si>
  <si>
    <t>Provincias Centrales (Los Santos)</t>
  </si>
  <si>
    <t>estadoProyecto</t>
  </si>
  <si>
    <t>COLINA DEL MAR</t>
  </si>
  <si>
    <t>El Celaje</t>
  </si>
  <si>
    <t>Residencias Limon</t>
  </si>
  <si>
    <t>SANTA CRUZ TOWER-BUSINESS &amp; RESIDENCES</t>
  </si>
  <si>
    <t>ALAMEDA DE LA CHORRERA</t>
  </si>
  <si>
    <t>HACIENDA NUEVO EMPERADOR</t>
  </si>
  <si>
    <t>PUERTO CAIMITO</t>
  </si>
  <si>
    <t>P.H. RIOLATTE</t>
  </si>
  <si>
    <t>DOCUMENTOS FISICOS
HIPOTECAS ASIGNACION - CENTRO OPERATIVO - PISO 4</t>
  </si>
  <si>
    <t>Casa Cash Consumo</t>
  </si>
  <si>
    <t>Tipo Persona</t>
  </si>
  <si>
    <t>Jubilado</t>
  </si>
  <si>
    <t>Pensionado</t>
  </si>
  <si>
    <t>Pensionado Temporal</t>
  </si>
  <si>
    <t>Tercera Edad</t>
  </si>
  <si>
    <t>Beneficio Jubilado / Tercera Edad</t>
  </si>
  <si>
    <t>Beneficio Jubilado</t>
  </si>
  <si>
    <t>Tasa Vigente</t>
  </si>
  <si>
    <t>101 - VILLA ZAITA</t>
  </si>
  <si>
    <t>* Banco General aplica los descuentos otorgados por la Ley 6 del 16 de junio de 1987 y sus modificaciones sobre las comisiones, tasas y demás condiciones pertinentes a personas jubiladas, pensionadas y de la tercera edad.</t>
  </si>
  <si>
    <t>Segmento</t>
  </si>
  <si>
    <t>Patrimonial</t>
  </si>
  <si>
    <t>Diamante</t>
  </si>
  <si>
    <t>Platino</t>
  </si>
  <si>
    <t>Dorado</t>
  </si>
  <si>
    <t>Estrella</t>
  </si>
  <si>
    <t>P.H. CASA BALCONES</t>
  </si>
  <si>
    <t>P.H. CASA PATTERSON</t>
  </si>
  <si>
    <t>P.H. GOLD PARK</t>
  </si>
  <si>
    <t>RESIDENCIAL BRISA FRESCA</t>
  </si>
  <si>
    <t>BARCELONA HOLDINGS CORP.</t>
  </si>
  <si>
    <t>BRISAS DE BURUNGA</t>
  </si>
  <si>
    <t>BURUNGA</t>
  </si>
  <si>
    <t>CIUDAD BRISAS DE TANARA</t>
  </si>
  <si>
    <t>ISABELLA RESIDENCIAL</t>
  </si>
  <si>
    <t>P.H. CASASPATTERSON</t>
  </si>
  <si>
    <t>QUINTAS DE PANAMA OESTE</t>
  </si>
  <si>
    <t>CASAS Y MAS, S.A.</t>
  </si>
  <si>
    <t>VILLA CAROLINA</t>
  </si>
  <si>
    <t>Compra de Vivienda Inversión (No Vivienda Principal en área metropolitana)</t>
  </si>
  <si>
    <t>Construcción de Vivienda</t>
  </si>
  <si>
    <t>Política A1: Panameño (Asalariado)</t>
  </si>
  <si>
    <t>Descripción</t>
  </si>
  <si>
    <t>Valor del Inmueble</t>
  </si>
  <si>
    <r>
      <t xml:space="preserve">Financiamiento por M2 </t>
    </r>
    <r>
      <rPr>
        <b/>
        <u/>
        <sz val="10"/>
        <color theme="1"/>
        <rFont val="Calibri"/>
        <family val="2"/>
        <scheme val="minor"/>
      </rPr>
      <t>(solo aplica apartamentos)</t>
    </r>
  </si>
  <si>
    <t>Abono</t>
  </si>
  <si>
    <t xml:space="preserve">Tasa </t>
  </si>
  <si>
    <t>Comisión de revisión</t>
  </si>
  <si>
    <t xml:space="preserve">Política </t>
  </si>
  <si>
    <t>Tipo de bein</t>
  </si>
  <si>
    <t>Financiamiento M2</t>
  </si>
  <si>
    <t>Financiamiento m2</t>
  </si>
  <si>
    <r>
      <rPr>
        <b/>
        <u/>
        <sz val="11"/>
        <color theme="1"/>
        <rFont val="Calibri"/>
        <family val="2"/>
        <scheme val="minor"/>
      </rPr>
      <t>Residencia:</t>
    </r>
    <r>
      <rPr>
        <sz val="11"/>
        <color theme="1"/>
        <rFont val="Calibri"/>
        <family val="2"/>
        <scheme val="minor"/>
      </rPr>
      <t xml:space="preserve"> Local</t>
    </r>
  </si>
  <si>
    <t xml:space="preserve">de $18M a $40M (solo aplica en casa) </t>
  </si>
  <si>
    <t>de 15 hasta 30 años</t>
  </si>
  <si>
    <t>$2000</t>
  </si>
  <si>
    <t>5%- 9%</t>
  </si>
  <si>
    <t>Patrimonial, Diamante, Platino</t>
  </si>
  <si>
    <t>de 5 a 30 años</t>
  </si>
  <si>
    <t>de $40M a  $250M</t>
  </si>
  <si>
    <t>6.25% + FECI</t>
  </si>
  <si>
    <t>de 5 a 20 años</t>
  </si>
  <si>
    <t>de $40M a  $200M</t>
  </si>
  <si>
    <t>2% hasta $100M</t>
  </si>
  <si>
    <t>de $200M en adelante</t>
  </si>
  <si>
    <t>$1,000</t>
  </si>
  <si>
    <t>6.00% + FECI</t>
  </si>
  <si>
    <t>de 15 a 20 años</t>
  </si>
  <si>
    <t>de $100M en adelante</t>
  </si>
  <si>
    <t>7.25% + FECI</t>
  </si>
  <si>
    <r>
      <rPr>
        <b/>
        <u/>
        <sz val="11"/>
        <color theme="1"/>
        <rFont val="Calibri"/>
        <family val="2"/>
        <scheme val="minor"/>
      </rPr>
      <t>Documento:</t>
    </r>
    <r>
      <rPr>
        <sz val="11"/>
        <color theme="1"/>
        <rFont val="Calibri"/>
        <family val="2"/>
        <scheme val="minor"/>
      </rPr>
      <t xml:space="preserve"> Cédula</t>
    </r>
  </si>
  <si>
    <t xml:space="preserve">de $40.01M a $80M </t>
  </si>
  <si>
    <t>Otro Segmento</t>
  </si>
  <si>
    <t>Todas</t>
  </si>
  <si>
    <t>de $200.01M a $400M</t>
  </si>
  <si>
    <t>de $400.01M en adelante</t>
  </si>
  <si>
    <r>
      <rPr>
        <b/>
        <u/>
        <sz val="11"/>
        <color theme="1"/>
        <rFont val="Calibri"/>
        <family val="2"/>
        <scheme val="minor"/>
      </rPr>
      <t>Fuente  de Ingreso:</t>
    </r>
    <r>
      <rPr>
        <sz val="11"/>
        <color theme="1"/>
        <rFont val="Calibri"/>
        <family val="2"/>
        <scheme val="minor"/>
      </rPr>
      <t xml:space="preserve">  Local</t>
    </r>
  </si>
  <si>
    <t>No cliente</t>
  </si>
  <si>
    <t>Ninguno</t>
  </si>
  <si>
    <t>de $400.01M a $600M</t>
  </si>
  <si>
    <t>de $400.01 a $600M</t>
  </si>
  <si>
    <t>$2,000</t>
  </si>
  <si>
    <t>10% - 14%</t>
  </si>
  <si>
    <t>de $600.01 en adelante</t>
  </si>
  <si>
    <t>$600.01 en adelante</t>
  </si>
  <si>
    <t>$1,200</t>
  </si>
  <si>
    <t>Política A2: Panameño (Independiente)</t>
  </si>
  <si>
    <t>15% en adelante</t>
  </si>
  <si>
    <t>de $40.01M a $80M</t>
  </si>
  <si>
    <r>
      <rPr>
        <b/>
        <u/>
        <sz val="11"/>
        <color theme="1"/>
        <rFont val="Calibri"/>
        <family val="2"/>
        <scheme val="minor"/>
      </rPr>
      <t xml:space="preserve">Fuente  de Ingreso: </t>
    </r>
    <r>
      <rPr>
        <sz val="11"/>
        <color theme="1"/>
        <rFont val="Calibri"/>
        <family val="2"/>
        <scheme val="minor"/>
      </rPr>
      <t>Local</t>
    </r>
  </si>
  <si>
    <t>6% + FECI</t>
  </si>
  <si>
    <t>Política D1: Extranjero(Asalariado)</t>
  </si>
  <si>
    <t>de $250.01M a $400M</t>
  </si>
  <si>
    <t>$2,100</t>
  </si>
  <si>
    <t>10% -14%</t>
  </si>
  <si>
    <r>
      <rPr>
        <b/>
        <u/>
        <sz val="11"/>
        <color theme="1"/>
        <rFont val="Calibri"/>
        <family val="2"/>
        <scheme val="minor"/>
      </rPr>
      <t>Fuente  de Ingreso:</t>
    </r>
    <r>
      <rPr>
        <sz val="11"/>
        <color theme="1"/>
        <rFont val="Calibri"/>
        <family val="2"/>
        <scheme val="minor"/>
      </rPr>
      <t xml:space="preserve"> </t>
    </r>
  </si>
  <si>
    <t>Política B: Panameño (Asalariado /Independiente)</t>
  </si>
  <si>
    <t>Política B: Panameño (Asalariado/Independiente)</t>
  </si>
  <si>
    <r>
      <rPr>
        <b/>
        <u/>
        <sz val="11"/>
        <color theme="1"/>
        <rFont val="Calibri"/>
        <family val="2"/>
        <scheme val="minor"/>
      </rPr>
      <t>Documento:</t>
    </r>
    <r>
      <rPr>
        <sz val="11"/>
        <color theme="1"/>
        <rFont val="Calibri"/>
        <family val="2"/>
        <scheme val="minor"/>
      </rPr>
      <t xml:space="preserve"> Pasaporte</t>
    </r>
  </si>
  <si>
    <t>Tipo de bien</t>
  </si>
  <si>
    <r>
      <rPr>
        <b/>
        <u/>
        <sz val="11"/>
        <color theme="1"/>
        <rFont val="Calibri"/>
        <family val="2"/>
        <scheme val="minor"/>
      </rPr>
      <t>Residencia:</t>
    </r>
    <r>
      <rPr>
        <sz val="11"/>
        <color theme="1"/>
        <rFont val="Calibri"/>
        <family val="2"/>
        <scheme val="minor"/>
      </rPr>
      <t xml:space="preserve"> Extranjera</t>
    </r>
  </si>
  <si>
    <t>6.50% + FECI</t>
  </si>
  <si>
    <t>Política D2: Extranjero (Independiente)</t>
  </si>
  <si>
    <r>
      <rPr>
        <b/>
        <u/>
        <sz val="11"/>
        <color theme="1"/>
        <rFont val="Calibri"/>
        <family val="2"/>
        <scheme val="minor"/>
      </rPr>
      <t>Fuente  de Ingreso:</t>
    </r>
    <r>
      <rPr>
        <sz val="11"/>
        <color theme="1"/>
        <rFont val="Calibri"/>
        <family val="2"/>
        <scheme val="minor"/>
      </rPr>
      <t xml:space="preserve"> Extranjera</t>
    </r>
  </si>
  <si>
    <r>
      <rPr>
        <b/>
        <u/>
        <sz val="11"/>
        <color theme="1"/>
        <rFont val="Calibri"/>
        <family val="2"/>
        <scheme val="minor"/>
      </rPr>
      <t>Fuente  de Ingreso:</t>
    </r>
    <r>
      <rPr>
        <sz val="11"/>
        <color theme="1"/>
        <rFont val="Calibri"/>
        <family val="2"/>
        <scheme val="minor"/>
      </rPr>
      <t xml:space="preserve">  Extranjera</t>
    </r>
  </si>
  <si>
    <t>$1,400</t>
  </si>
  <si>
    <t>Política C: Extranjero (Asalariado /Independiente)</t>
  </si>
  <si>
    <t>Política C: Extranjero (Asalariado/Independiente)</t>
  </si>
  <si>
    <t xml:space="preserve">Todas </t>
  </si>
  <si>
    <t>de $600.01M en adelante</t>
  </si>
  <si>
    <t>de $120.01M a  $250M</t>
  </si>
  <si>
    <t>Todos  /No cliente</t>
  </si>
  <si>
    <t>Todas /sin relación</t>
  </si>
  <si>
    <t>de $120.01M a  $200M</t>
  </si>
  <si>
    <r>
      <rPr>
        <b/>
        <u/>
        <sz val="11"/>
        <color theme="1"/>
        <rFont val="Calibri"/>
        <family val="2"/>
        <scheme val="minor"/>
      </rPr>
      <t>Fuente  de Ingreso:</t>
    </r>
    <r>
      <rPr>
        <sz val="11"/>
        <color theme="1"/>
        <rFont val="Calibri"/>
        <family val="2"/>
        <scheme val="minor"/>
      </rPr>
      <t xml:space="preserve"> Local</t>
    </r>
  </si>
  <si>
    <t>Local (Independiente)</t>
  </si>
  <si>
    <t xml:space="preserve">Segmento </t>
  </si>
  <si>
    <t xml:space="preserve">Relación </t>
  </si>
  <si>
    <t>de $120.01M a $250M</t>
  </si>
  <si>
    <t>Política D1: Extranjero (Asalariado)</t>
  </si>
  <si>
    <t>Glosario:</t>
  </si>
  <si>
    <t xml:space="preserve">1) Bono del MIVI: </t>
  </si>
  <si>
    <t>2) Metraje de Apto:</t>
  </si>
  <si>
    <t xml:space="preserve">3) Proyecto Objetivos de Playa: </t>
  </si>
  <si>
    <t>4) Comisión de revisión</t>
  </si>
  <si>
    <t>Cada 5 años. 2% para préstamos de hasta $100M, con excepción de los proyectos de los siguientes promotores: Provivienda, Inm. Residencial, Casas Grandes, Ventaviv y SuCasa</t>
  </si>
  <si>
    <t xml:space="preserve"> </t>
  </si>
  <si>
    <t>Ejemplo:</t>
  </si>
  <si>
    <t>Valor de la propiedad: $114,500</t>
  </si>
  <si>
    <t>Metraje: 62.20 m2</t>
  </si>
  <si>
    <r>
      <rPr>
        <b/>
        <sz val="11"/>
        <color theme="1"/>
        <rFont val="Calibri"/>
        <family val="2"/>
        <scheme val="minor"/>
      </rPr>
      <t>Paso #1:</t>
    </r>
    <r>
      <rPr>
        <sz val="11"/>
        <color theme="1"/>
        <rFont val="Calibri"/>
        <family val="2"/>
        <scheme val="minor"/>
      </rPr>
      <t xml:space="preserve"> precio de venta / metraje</t>
    </r>
  </si>
  <si>
    <r>
      <rPr>
        <b/>
        <sz val="11"/>
        <color theme="1"/>
        <rFont val="Calibri"/>
        <family val="2"/>
        <scheme val="minor"/>
      </rPr>
      <t>Paso #2:</t>
    </r>
    <r>
      <rPr>
        <sz val="11"/>
        <color theme="1"/>
        <rFont val="Calibri"/>
        <family val="2"/>
        <scheme val="minor"/>
      </rPr>
      <t xml:space="preserve"> buscar tabla de financiamiento. ($1,750)</t>
    </r>
  </si>
  <si>
    <r>
      <rPr>
        <b/>
        <sz val="11"/>
        <color theme="1"/>
        <rFont val="Calibri"/>
        <family val="2"/>
        <scheme val="minor"/>
      </rPr>
      <t>Paso #3:</t>
    </r>
    <r>
      <rPr>
        <sz val="11"/>
        <color theme="1"/>
        <rFont val="Calibri"/>
        <family val="2"/>
        <scheme val="minor"/>
      </rPr>
      <t xml:space="preserve"> Multiplicar m2 de la propiedad x financiamiento BG</t>
    </r>
  </si>
  <si>
    <t>Monto Máximo a Financiar: 62.20 x 1,750= $108,850.00</t>
  </si>
  <si>
    <r>
      <rPr>
        <b/>
        <sz val="11"/>
        <color theme="1"/>
        <rFont val="Calibri"/>
        <family val="2"/>
        <scheme val="minor"/>
      </rPr>
      <t>Paso #4:</t>
    </r>
    <r>
      <rPr>
        <sz val="11"/>
        <color theme="1"/>
        <rFont val="Calibri"/>
        <family val="2"/>
        <scheme val="minor"/>
      </rPr>
      <t xml:space="preserve"> Restar el valor de la propiedad - El valor final del paso #3 (monto máximo a financiar)</t>
    </r>
  </si>
  <si>
    <t>Abono a Solicitar:  $114,500 - $108,850 = $5,650.00</t>
  </si>
  <si>
    <t>Cualquier excepción de parámetros debe ser sustentada a Comité</t>
  </si>
  <si>
    <t>Fuerte</t>
  </si>
  <si>
    <t>Medio</t>
  </si>
  <si>
    <t>Bajo</t>
  </si>
  <si>
    <t>Plateado</t>
  </si>
  <si>
    <t>CINCO PALMAS</t>
  </si>
  <si>
    <t>P.H. ACACIAS GALA</t>
  </si>
  <si>
    <t>P.H. MONTERRA</t>
  </si>
  <si>
    <t>PRADO VERDE</t>
  </si>
  <si>
    <t>RESIDENCIAL ALAMEDA DE LAS CUMBRES</t>
  </si>
  <si>
    <t>Residencial CARBALLEDA</t>
  </si>
  <si>
    <t>AGROGANADERA MARELISA, S.A.</t>
  </si>
  <si>
    <t>%Financiamiento</t>
  </si>
  <si>
    <t>Financiamiento</t>
  </si>
  <si>
    <t>de $80.01 a $100M</t>
  </si>
  <si>
    <t>de $100.01 - $120M</t>
  </si>
  <si>
    <t>de $100.01M a $120M</t>
  </si>
  <si>
    <t>Política A1: Panameño Asalariado</t>
  </si>
  <si>
    <r>
      <t xml:space="preserve">Residencia: </t>
    </r>
    <r>
      <rPr>
        <sz val="11"/>
        <color theme="1"/>
        <rFont val="Calibri"/>
        <family val="2"/>
        <scheme val="minor"/>
      </rPr>
      <t>Local</t>
    </r>
  </si>
  <si>
    <t>de $18M a $120M</t>
  </si>
  <si>
    <r>
      <t xml:space="preserve">Documento: </t>
    </r>
    <r>
      <rPr>
        <sz val="11"/>
        <color theme="1"/>
        <rFont val="Calibri"/>
        <family val="2"/>
        <scheme val="minor"/>
      </rPr>
      <t>Cédula</t>
    </r>
  </si>
  <si>
    <r>
      <t xml:space="preserve">Fuente de Ingreso: </t>
    </r>
    <r>
      <rPr>
        <sz val="11"/>
        <color theme="1"/>
        <rFont val="Calibri"/>
        <family val="2"/>
        <scheme val="minor"/>
      </rPr>
      <t>Local</t>
    </r>
  </si>
  <si>
    <t>Política A2: Panameño Independiente</t>
  </si>
  <si>
    <t>de $18M a $200M</t>
  </si>
  <si>
    <r>
      <t xml:space="preserve">Fuente de Ingreso: </t>
    </r>
    <r>
      <rPr>
        <sz val="11"/>
        <color theme="1"/>
        <rFont val="Calibri"/>
        <family val="2"/>
        <scheme val="minor"/>
      </rPr>
      <t>Extranjero</t>
    </r>
  </si>
  <si>
    <r>
      <t xml:space="preserve">Documento: </t>
    </r>
    <r>
      <rPr>
        <sz val="11"/>
        <color theme="1"/>
        <rFont val="Calibri"/>
        <family val="2"/>
        <scheme val="minor"/>
      </rPr>
      <t xml:space="preserve"> Pasaporte</t>
    </r>
  </si>
  <si>
    <t>Platino, Diamante, Gestión Patrimonial</t>
  </si>
  <si>
    <t xml:space="preserve">Otro segmento </t>
  </si>
  <si>
    <t>todos</t>
  </si>
  <si>
    <t>Todos / No cliente</t>
  </si>
  <si>
    <t>Todos / Ninguno</t>
  </si>
  <si>
    <t>RESIDENCIAL LA VALDEZA</t>
  </si>
  <si>
    <t>VILLAS DE CHICA</t>
  </si>
  <si>
    <t>PANAMA PORTFOLIO, COM, S.A.</t>
  </si>
  <si>
    <t>CHICA</t>
  </si>
  <si>
    <t>VERACRUZ HILLS</t>
  </si>
  <si>
    <t>AC HOMES PANAMA</t>
  </si>
  <si>
    <t>ADCO HABITAT</t>
  </si>
  <si>
    <t>AGROGANADERA DON BOSCO, S.A.</t>
  </si>
  <si>
    <t>AGROGANADERA NUEVO SAN JUAN, S.A.</t>
  </si>
  <si>
    <t>AGROGANADERA PRADO, S.A.</t>
  </si>
  <si>
    <t>AGROGANADERA SANTA INES, S.A.</t>
  </si>
  <si>
    <t>AGROGANADERA SANTA TERESA, S.A.</t>
  </si>
  <si>
    <t>AGROGANADERA SANTIAGO J&amp;J, S.A.</t>
  </si>
  <si>
    <t>AH GRUPO INMOBILIARIO</t>
  </si>
  <si>
    <t>ANTOJO INMOBILIARIO, S.A.</t>
  </si>
  <si>
    <t>ARRAIJAN COUNTRY CLUB, S.A.</t>
  </si>
  <si>
    <t>BARLOVENTO DEL ESTE, S.A.</t>
  </si>
  <si>
    <t>BIENES RAICES HALLMAN, S.A.</t>
  </si>
  <si>
    <t>BOQUERON DEVELOPMENT, S.A.</t>
  </si>
  <si>
    <t>BOQUETE HIGHLANDS, S.A.</t>
  </si>
  <si>
    <t>C &amp; G ARQUITECTOS, S.A.</t>
  </si>
  <si>
    <t>CASAS PACIFICAS, S.A.</t>
  </si>
  <si>
    <t>COLINAS DEL SOL, S.A.</t>
  </si>
  <si>
    <t>COMPAÑIA DE LEFEVRE, S. A.</t>
  </si>
  <si>
    <t>CONCAPITAL CORP.</t>
  </si>
  <si>
    <t>CONCRETOS SAN JUAN, S.A.</t>
  </si>
  <si>
    <t>CONSORCIO VILLAS DE PEDREGAL, S.A.</t>
  </si>
  <si>
    <t>CONSTRUCTORA BIENES RAICES TROPICALES, S.A.</t>
  </si>
  <si>
    <t>CONSTRUCTORA METROPOLITANA, S.A.</t>
  </si>
  <si>
    <t>CONSTRUCTORA SFM,S.A.</t>
  </si>
  <si>
    <t>CONSTRUCTORA SUAREZ, S.A.</t>
  </si>
  <si>
    <t>CONSTRUCTORA TIA MARIA, S.A.</t>
  </si>
  <si>
    <t>COQUITO HILLS, S.A.</t>
  </si>
  <si>
    <t>D&amp;R GROUP, INC.</t>
  </si>
  <si>
    <t>DESARROLLADORA ALTOS DEL TIGRE, S.A.</t>
  </si>
  <si>
    <t>DESARROLLADORA LOS SANTOS, S.A.</t>
  </si>
  <si>
    <t>DESARROLLADORA TORRES DEL ESTE, S.A.</t>
  </si>
  <si>
    <t>DESARROLLO DEL COUNTRY, S.A.</t>
  </si>
  <si>
    <t>DESARROLLO INMOBILIARIO LA MATA, S.A.</t>
  </si>
  <si>
    <t>DESARROLLO LA MITRA, S.A.</t>
  </si>
  <si>
    <t>DESARROLLO PERIFERICO, S.A.</t>
  </si>
  <si>
    <t>DESARROLLO THE HILLS, S. DE RL</t>
  </si>
  <si>
    <t>DESARROLLO URBANISTICO DEL ATLANTICO</t>
  </si>
  <si>
    <t>DESARROLLO ZAR, S.A.</t>
  </si>
  <si>
    <t>DESARROLLOS FEVADEL, S.A.</t>
  </si>
  <si>
    <t>ECONOCASAS, S.A.</t>
  </si>
  <si>
    <t>EDIFICACIONES RAO, S.A.</t>
  </si>
  <si>
    <t>EL ROBLEDAL, SOCIEDAD ANONIMA</t>
  </si>
  <si>
    <t>EL SITIO COMPANY, S.A.</t>
  </si>
  <si>
    <t>EMPRESAS SOLANG, S. A.</t>
  </si>
  <si>
    <t>ENCARNACION CORREA SOLIS</t>
  </si>
  <si>
    <t>EPIMENIDES ANTONIO DOMINGUEZ CEDEÑO</t>
  </si>
  <si>
    <t>ESTRUCTURAS ALFA, S.A.</t>
  </si>
  <si>
    <t>FELIPE ALEJANDRO VIRZI LOPEZ</t>
  </si>
  <si>
    <t>GOLDEN ESTATES, S.A.</t>
  </si>
  <si>
    <t>GRACE, S.A.</t>
  </si>
  <si>
    <t>GRALUIRA, S.A.</t>
  </si>
  <si>
    <t>GREEN CITY DEVELOPMENT, S.A.</t>
  </si>
  <si>
    <t>GRUPO EQUINOX PRO</t>
  </si>
  <si>
    <t>GRUPO GESTIONA B &amp; V, S.A.</t>
  </si>
  <si>
    <t>GRUPO INMOBILIARIO UNIVERSAL, S.A.</t>
  </si>
  <si>
    <t>GRUPO PROVIVIENDA, S.A.</t>
  </si>
  <si>
    <t>GRUPO ROBLE DE PANAMA, S.A.</t>
  </si>
  <si>
    <t>GRUPO SPIEGEL CARRIZO, S.A.</t>
  </si>
  <si>
    <t>HACIENDA LOS MOLINOS BOQUETE</t>
  </si>
  <si>
    <t>HAUS, S.A.</t>
  </si>
  <si>
    <t>HIJAZ &amp; ASOCIADOS, S.A.</t>
  </si>
  <si>
    <t>HOGLAND HOLDING, INC.</t>
  </si>
  <si>
    <t>IAR GROUP, S.A.</t>
  </si>
  <si>
    <t>IDC CONSTRUCCIONES DE PANAMA, S.A.</t>
  </si>
  <si>
    <t>INMOBILIARIA AMARILYS, S.A.</t>
  </si>
  <si>
    <t>INMOBILIARIA CASAS GRANDES, S.A.</t>
  </si>
  <si>
    <t>INMOBILIARIA CIELO AZUL, S.A.</t>
  </si>
  <si>
    <t>INMOBILIARIA CONSTRUCTEC, S.A.</t>
  </si>
  <si>
    <t>INMOBILIARIA G.S. DEL MAR, S.A.</t>
  </si>
  <si>
    <t>INMOBILIARIA GREEN FIELDS, S.A.</t>
  </si>
  <si>
    <t>INMOBILIARIA LAS VERDES, S.A.</t>
  </si>
  <si>
    <t>INMOBILIARIA R &amp; R, S.A.</t>
  </si>
  <si>
    <t>INMOBILIARIA R Y R, S.A.</t>
  </si>
  <si>
    <t>INMOBILIARIA RESIDENCIAL, S.A.</t>
  </si>
  <si>
    <t>INMOBILIARIA TELLO SAEZ, S. A</t>
  </si>
  <si>
    <t>INMOBILIARIA VALARCO, S.A. (HATO MONTAÑA)</t>
  </si>
  <si>
    <t>INMOBILIARIA VASQUEZ, S.A.</t>
  </si>
  <si>
    <t>INMOBILIARIA YITSELLI</t>
  </si>
  <si>
    <t>INTERPLUS PANAMA</t>
  </si>
  <si>
    <t>INVERSIONES CHEVI, S.A. (CHEVISA)</t>
  </si>
  <si>
    <t>INVERSIONES DAVIVIENDA, S.A.</t>
  </si>
  <si>
    <t>INVERSIONES DON MINGO, S.A.</t>
  </si>
  <si>
    <t>INVERSIONES GRUPO CC, S.A.</t>
  </si>
  <si>
    <t>INVERSIONES MIRODEL, S.A.</t>
  </si>
  <si>
    <t>INVERSIONES NATASHA, S.A.</t>
  </si>
  <si>
    <t>INVERSIONES TEMEDA, S.A.</t>
  </si>
  <si>
    <t>INVERSIONES TEMPTATION, S.A.</t>
  </si>
  <si>
    <t>INVERSIONES VENTAVIV, S.A.</t>
  </si>
  <si>
    <t>INVERSIONES Y DESARROLLO OESTE, S.A.</t>
  </si>
  <si>
    <t>JORGE ARMANDO RAMIREZ</t>
  </si>
  <si>
    <t>JUSTO FABIO SPIEGEL ABADIA</t>
  </si>
  <si>
    <t>LANDERS GRUPO INMOBILIARIO, S.A.</t>
  </si>
  <si>
    <t>LAURA ESTHER RODRIGUEZ DE DOMINGUEZ</t>
  </si>
  <si>
    <t>LILIANA JANNETH RODRIGUEZ de VASQUEZ</t>
  </si>
  <si>
    <t>LIMAYON,S.A.</t>
  </si>
  <si>
    <t>LONDON &amp; REGIONAL (PANAMA), S.A.</t>
  </si>
  <si>
    <t>MANUEL ARTURO PEREZ TELLO</t>
  </si>
  <si>
    <t>MATERIALES JOSE MORENO Y CIA, S.A.</t>
  </si>
  <si>
    <t>MILU, S.A.</t>
  </si>
  <si>
    <t>MULTISERVICIOS LUNA, S.A.</t>
  </si>
  <si>
    <t>MULTIVENTAS JFRIAS, S.A.</t>
  </si>
  <si>
    <t>MYSTIC TOWERS, S.A.</t>
  </si>
  <si>
    <t>NELO, S.A.</t>
  </si>
  <si>
    <t>N-TIERRA, S.A.</t>
  </si>
  <si>
    <t>OH GROUP, S.A.</t>
  </si>
  <si>
    <t>PANAMA LAGO MAR, S.A.</t>
  </si>
  <si>
    <t>PANAPROJECTS, S.A.</t>
  </si>
  <si>
    <t>PARAMOUNT DEVELOPMENT, S.A.</t>
  </si>
  <si>
    <t>PRADERA INMOBILIARIA</t>
  </si>
  <si>
    <t>PRADERAS DE SAN ANTONIO, S.A.</t>
  </si>
  <si>
    <t>PRODECASA</t>
  </si>
  <si>
    <t>PROMOCIONES Y PROYECTOS URBANOS, S.A.</t>
  </si>
  <si>
    <t>PROMOTORA ADP S.A.</t>
  </si>
  <si>
    <t>PROMOTORA BUENA VISTA, S.A.</t>
  </si>
  <si>
    <t>PROMOTORA COSMOPOLITAN CORP.</t>
  </si>
  <si>
    <t>PROMOTORA DEL SUR, S.A.</t>
  </si>
  <si>
    <t>PROMOTORA DORADO VILLAGE, S.A.</t>
  </si>
  <si>
    <t>PROMOTORA HOGARES, S.A.</t>
  </si>
  <si>
    <t>PROMOTORA HOLILAN COMPANY</t>
  </si>
  <si>
    <t>PROMOTORA LA BALSA, S.A.</t>
  </si>
  <si>
    <t>PROMOTORA LLANO HERMOSO, S.A.</t>
  </si>
  <si>
    <t>PROMOTORA MARIA GLORIA, S.A.</t>
  </si>
  <si>
    <t>PROMOTORA NEW WEST, S.A.</t>
  </si>
  <si>
    <t>PROMOTORA SANTA BARBARA, S.A.</t>
  </si>
  <si>
    <t>PROMOTORA TEN TOWER, S.A.</t>
  </si>
  <si>
    <t>PROMOTORA TUCASA (PRORED)</t>
  </si>
  <si>
    <t>PROMOTORA VERDE REAL, S.A.</t>
  </si>
  <si>
    <t>PROMOTORA VILLA SAN CARLITOS</t>
  </si>
  <si>
    <t>PROMOTORA VILLAS DEL ESTE, S.A.</t>
  </si>
  <si>
    <t>PROYECTOS Y DESARROLLOS DE CASAS, S.A.</t>
  </si>
  <si>
    <t>PUNTA PARAISO VILLAGE, S.A.</t>
  </si>
  <si>
    <t>RESIDENCIAL EL MESON, S.A.</t>
  </si>
  <si>
    <t>RESIDENCIAL HORIZONTES, S.A.</t>
  </si>
  <si>
    <t>RESIDENCIAL PORTAL DEL BOSQUE, S.A.</t>
  </si>
  <si>
    <t>RIJADA HOLDING, S.A.</t>
  </si>
  <si>
    <t>ROGELIO ORLANDO OLARTE CORREA</t>
  </si>
  <si>
    <t>SABANAS HOLDINGS, S.A.</t>
  </si>
  <si>
    <t>SILKA CELIBETH VILLARREAL MEN</t>
  </si>
  <si>
    <t>SPIEGEL CARRIZO, S.A.(SPICA, S.A.)</t>
  </si>
  <si>
    <t>TECNICOS EN CONSTRUCCIONES GENERALES, S.A. (TECOGSA)</t>
  </si>
  <si>
    <t>TERRENOS PENONOME, S.A.</t>
  </si>
  <si>
    <t>THE HERITAGE BUSINESS CORP.</t>
  </si>
  <si>
    <t>THE ONE ASSETS CORP.</t>
  </si>
  <si>
    <t>TU VIVIENDA</t>
  </si>
  <si>
    <t>UNHABITAT, S.A.</t>
  </si>
  <si>
    <t>UNIVERSAL RED HILLS CORP.</t>
  </si>
  <si>
    <t>URBANIZACIÓN VILLAS DE LLANO MARIN, S.A.</t>
  </si>
  <si>
    <t>URBANIZADORA EL NARANJAL</t>
  </si>
  <si>
    <t>VIA TERTIA PANAMA, S.A.</t>
  </si>
  <si>
    <t>VICTORIA INVESTMENT REALTY, S.A.</t>
  </si>
  <si>
    <t>VILLAGE DEL BOSQUE, S.A.</t>
  </si>
  <si>
    <t>XONTAL, S.A.</t>
  </si>
  <si>
    <t>LA TERCERA ETAPA, (MODELO PEÑA BLANCA)</t>
  </si>
  <si>
    <t>LOS NARANJOS DEL ESPINO</t>
  </si>
  <si>
    <t>P.H. FORMENTERA</t>
  </si>
  <si>
    <t>P.H. THE SANDS</t>
  </si>
  <si>
    <t>HIPOTECAS</t>
  </si>
  <si>
    <t xml:space="preserve">Bella Vista 45 </t>
  </si>
  <si>
    <t>Calle 45 este Bellavista</t>
  </si>
  <si>
    <t>P.H. Crystal Tower</t>
  </si>
  <si>
    <t>Paitilla</t>
  </si>
  <si>
    <t>P.H. Riviera del Golf</t>
  </si>
  <si>
    <t>P.H. Solana</t>
  </si>
  <si>
    <t>Residencial Llano Bonito Torre D</t>
  </si>
  <si>
    <t>Brisas del Lago E-IV</t>
  </si>
  <si>
    <t>Palmeras del Oeste F-II</t>
  </si>
  <si>
    <t>Península F-II</t>
  </si>
  <si>
    <t>Porta Norte E-I</t>
  </si>
  <si>
    <t>Panamá Norte</t>
  </si>
  <si>
    <t>The Crescent F-II</t>
  </si>
  <si>
    <t>Valle Regio F-III</t>
  </si>
  <si>
    <t>Velamar</t>
  </si>
  <si>
    <t>Villa Marina Fase II</t>
  </si>
  <si>
    <t>Actualizado</t>
  </si>
  <si>
    <t>18 Agosto de 2017</t>
  </si>
  <si>
    <t>Actualizado:</t>
  </si>
  <si>
    <t>Todos /Ninguno</t>
  </si>
  <si>
    <t>Todas /Ninguno</t>
  </si>
  <si>
    <t>Patriomonial, Diamante, Platino</t>
  </si>
  <si>
    <t>20 años</t>
  </si>
  <si>
    <t>Ninguna</t>
  </si>
  <si>
    <t>No Cliente</t>
  </si>
  <si>
    <t>Todos / No Cliente</t>
  </si>
  <si>
    <t>Todas / No Cliente</t>
  </si>
  <si>
    <t>5) El valor del inmueble considerado para financiamiento en viviendas usadas es el menor del avalúo (90% del valor de venta rápida) o precio de venta</t>
  </si>
  <si>
    <t>196 - SANTA MARIA</t>
  </si>
  <si>
    <t>ALAMEDAS DE PACORA</t>
  </si>
  <si>
    <t>AZURA</t>
  </si>
  <si>
    <t>COASTAL HOMES &amp; DEVELOPMENT, INC.</t>
  </si>
  <si>
    <t>SAN JOSE</t>
  </si>
  <si>
    <t>CASA ROMANA</t>
  </si>
  <si>
    <t>D' VALI</t>
  </si>
  <si>
    <t>EL ESPINO</t>
  </si>
  <si>
    <t>EL PRADO</t>
  </si>
  <si>
    <t>COMILFON, S.A.(PROMOTORA TITANIUM)</t>
  </si>
  <si>
    <t>HACIENDA SANTA TERESA</t>
  </si>
  <si>
    <t>LOS GUAYACANES</t>
  </si>
  <si>
    <t>FEUILLET</t>
  </si>
  <si>
    <t>MALIBU BEACH PARK &amp; RESORT</t>
  </si>
  <si>
    <t>PROYECTO MALIBU BEACH RESORT</t>
  </si>
  <si>
    <t>STRONG WAVE, S.A.</t>
  </si>
  <si>
    <t>SAN FELIX</t>
  </si>
  <si>
    <t>P.H. CORONADO ESCAPES</t>
  </si>
  <si>
    <t>P.H. COSTA SAN MIGUEL</t>
  </si>
  <si>
    <t>BELISARIO FRIAS</t>
  </si>
  <si>
    <t>P.H. DOWN RIVER PLACE</t>
  </si>
  <si>
    <t>INVERSIONES LA ROTONDA,S.A</t>
  </si>
  <si>
    <t>P.H. EL PALMAR RESIDENCES</t>
  </si>
  <si>
    <t>INVERSIONES DECURIA, S.A.</t>
  </si>
  <si>
    <t>P.H. FONTANELLA DEL MAR</t>
  </si>
  <si>
    <t>PARQUE LEFEVRE</t>
  </si>
  <si>
    <t>P.H. GENERATION TOWER</t>
  </si>
  <si>
    <t>P.H. INNOVA TOWER AZUERO</t>
  </si>
  <si>
    <t>P.H. LAS OLAS TOWERS OCEANFRONT</t>
  </si>
  <si>
    <t>ALANJE</t>
  </si>
  <si>
    <t>GUARUMAL</t>
  </si>
  <si>
    <t>P.H. OCEAN WAVES</t>
  </si>
  <si>
    <t>P.H. PARQUE DEL ESTE GARDENS</t>
  </si>
  <si>
    <t>P.H. PIEDRAS GORDAS VILLAGE</t>
  </si>
  <si>
    <t>P.H. PUNTA  PARAISO VILLAGE</t>
  </si>
  <si>
    <t>P.H. RIOMAR VILLAGES</t>
  </si>
  <si>
    <t>MARVAL PROJECTS CORPORATION</t>
  </si>
  <si>
    <t>P.H. SAN ROQUE</t>
  </si>
  <si>
    <t>P.H. SANTA CLARA SIGNATURE</t>
  </si>
  <si>
    <t>DESARROLLO PLAYASOL, S.A.</t>
  </si>
  <si>
    <t>EL VALLE</t>
  </si>
  <si>
    <t>P.H. SION</t>
  </si>
  <si>
    <t>P.H. THE VILLAGE BEACH RESIDENCES</t>
  </si>
  <si>
    <t>GRUPO REAL INTERNACIONAL, S.A.</t>
  </si>
  <si>
    <t>P.H. TOWN CENTER</t>
  </si>
  <si>
    <t>TOWN CENTER, INC.</t>
  </si>
  <si>
    <t>RESIDENCIAL COLINAS DEL BOSQUE</t>
  </si>
  <si>
    <t>RESIDENCIAL COLONIA SANTA LUCIA</t>
  </si>
  <si>
    <t>INMOBILIARIA LA COLONIA, S.A.</t>
  </si>
  <si>
    <t>RESIDENCIAL EL RENUEVO</t>
  </si>
  <si>
    <t>RESIDENCIAL EMMANUEL MONAGRILLO</t>
  </si>
  <si>
    <t>RESIDENCIAL EN LLANO AFUERA</t>
  </si>
  <si>
    <t>EL COCAL</t>
  </si>
  <si>
    <t>RESIDENCIAL HACIENDA PACIFICA</t>
  </si>
  <si>
    <t>BIENES RAICES SHAHANI, S.A.</t>
  </si>
  <si>
    <t>RESIDENCIAL LA BENDICION</t>
  </si>
  <si>
    <t>SAN JUAN BAUTISTA</t>
  </si>
  <si>
    <t>RESIDENCIAL LA ROSA DE LOS VIENTOS</t>
  </si>
  <si>
    <t>RESIDENCIAL LAS VIOLETAS</t>
  </si>
  <si>
    <t>RESIDENCIAL NAZARENO</t>
  </si>
  <si>
    <t>LA PASERA</t>
  </si>
  <si>
    <t>RESIDENCIAL NUEVO CHITRE</t>
  </si>
  <si>
    <t>CONSTRUCTORA MI CASA, S.A.</t>
  </si>
  <si>
    <t>RESIDENCIAL SAN MIGUEL SEGUNDA ETAPA</t>
  </si>
  <si>
    <t>RESIDENCIAL SANTA CLARA</t>
  </si>
  <si>
    <t>LA CONCEPCION</t>
  </si>
  <si>
    <t>RESIDENCIAL VIA MELO</t>
  </si>
  <si>
    <t>RESIDENCIAL VILLAS DE LA COLONIA</t>
  </si>
  <si>
    <t>VILLAS DE LA COLONIA, S.A.</t>
  </si>
  <si>
    <t>SAN ANTONIO</t>
  </si>
  <si>
    <t>RODEO VIEJO COUNTRY</t>
  </si>
  <si>
    <t>INMOBILIARIA  RODEO VIEJO, S.A.</t>
  </si>
  <si>
    <t>VERACRUZ</t>
  </si>
  <si>
    <t>VILLAS DE SAN JOSE</t>
  </si>
  <si>
    <t xml:space="preserve">Recuerda: Consultar el Glosario en la fila 70 </t>
  </si>
  <si>
    <t>Compra de Vivienda Ley Preferencial Nueva ( Uso: Vivienda Principal)</t>
  </si>
  <si>
    <t>Compra de Vivienda Residencial Nueva (Vivienda Principal)</t>
  </si>
  <si>
    <t>Compra de vivienda nueva  Uso: Segunda Residencia</t>
  </si>
  <si>
    <t>Traspaso de banco</t>
  </si>
  <si>
    <t>Valor menor (Venta rápida o Precio de Venta)</t>
  </si>
  <si>
    <t>de $200.01M en adelante</t>
  </si>
  <si>
    <t>de $120.01M en adelante</t>
  </si>
  <si>
    <t>Política D1: Extranjero Asalariado</t>
  </si>
  <si>
    <r>
      <t xml:space="preserve">Compra de vivienda nueva  </t>
    </r>
    <r>
      <rPr>
        <b/>
        <sz val="16"/>
        <color rgb="FF8D0505"/>
        <rFont val="Calibri"/>
        <family val="2"/>
        <scheme val="minor"/>
      </rPr>
      <t>Uso: Segunda Residencia</t>
    </r>
  </si>
  <si>
    <r>
      <rPr>
        <b/>
        <u/>
        <sz val="11"/>
        <rFont val="Calibri"/>
        <family val="2"/>
        <scheme val="minor"/>
      </rPr>
      <t>Residencia:</t>
    </r>
    <r>
      <rPr>
        <sz val="11"/>
        <rFont val="Calibri"/>
        <family val="2"/>
        <scheme val="minor"/>
      </rPr>
      <t xml:space="preserve"> Local</t>
    </r>
  </si>
  <si>
    <r>
      <rPr>
        <b/>
        <u/>
        <sz val="11"/>
        <rFont val="Calibri"/>
        <family val="2"/>
        <scheme val="minor"/>
      </rPr>
      <t>Documento:</t>
    </r>
    <r>
      <rPr>
        <sz val="11"/>
        <rFont val="Calibri"/>
        <family val="2"/>
        <scheme val="minor"/>
      </rPr>
      <t xml:space="preserve"> Pasaporte, carnet de migración ypermiso de trabajo</t>
    </r>
  </si>
  <si>
    <r>
      <rPr>
        <b/>
        <u/>
        <sz val="11"/>
        <rFont val="Calibri"/>
        <family val="2"/>
        <scheme val="minor"/>
      </rPr>
      <t>Fuente  de Ingreso:</t>
    </r>
    <r>
      <rPr>
        <sz val="11"/>
        <rFont val="Calibri"/>
        <family val="2"/>
        <scheme val="minor"/>
      </rPr>
      <t xml:space="preserve">  Local</t>
    </r>
  </si>
  <si>
    <t>Carnet de migración y permiso de trabajo</t>
  </si>
  <si>
    <t>Política D2: Extranjero Independiente</t>
  </si>
  <si>
    <r>
      <rPr>
        <b/>
        <u/>
        <sz val="11"/>
        <rFont val="Calibri"/>
        <family val="2"/>
        <scheme val="minor"/>
      </rPr>
      <t>Documento:</t>
    </r>
    <r>
      <rPr>
        <sz val="11"/>
        <rFont val="Calibri"/>
        <family val="2"/>
        <scheme val="minor"/>
      </rPr>
      <t xml:space="preserve"> Pasaporte Carnet de migración y permiso de trabajo</t>
    </r>
  </si>
  <si>
    <r>
      <rPr>
        <b/>
        <u/>
        <sz val="11"/>
        <rFont val="Calibri"/>
        <family val="2"/>
        <scheme val="minor"/>
      </rPr>
      <t>Documento:</t>
    </r>
    <r>
      <rPr>
        <sz val="11"/>
        <rFont val="Calibri"/>
        <family val="2"/>
        <scheme val="minor"/>
      </rPr>
      <t xml:space="preserve"> Pasaporte, carnet de migración y permiso de trabajo</t>
    </r>
  </si>
  <si>
    <r>
      <rPr>
        <b/>
        <u/>
        <sz val="11"/>
        <rFont val="Calibri"/>
        <family val="2"/>
        <scheme val="minor"/>
      </rPr>
      <t xml:space="preserve">Fuente  de Ingreso: </t>
    </r>
    <r>
      <rPr>
        <sz val="11"/>
        <rFont val="Calibri"/>
        <family val="2"/>
        <scheme val="minor"/>
      </rPr>
      <t>Local</t>
    </r>
  </si>
  <si>
    <t>Política D1: Extranjeros Asalariado</t>
  </si>
  <si>
    <r>
      <rPr>
        <b/>
        <u/>
        <sz val="11"/>
        <color theme="1"/>
        <rFont val="Calibri"/>
        <family val="2"/>
        <scheme val="minor"/>
      </rPr>
      <t xml:space="preserve">Documento: </t>
    </r>
    <r>
      <rPr>
        <sz val="11"/>
        <color theme="1"/>
        <rFont val="Calibri"/>
        <family val="2"/>
        <scheme val="minor"/>
      </rPr>
      <t>Pasaporte, carnet de migración y permiso de trabajo</t>
    </r>
  </si>
  <si>
    <r>
      <t>Documento:</t>
    </r>
    <r>
      <rPr>
        <sz val="11"/>
        <color theme="1"/>
        <rFont val="Calibri"/>
        <family val="2"/>
        <scheme val="minor"/>
      </rPr>
      <t xml:space="preserve"> Pasaporte Carnet de migración y permiso de trabajo</t>
    </r>
  </si>
  <si>
    <t>de $ 120.01M en adelante</t>
  </si>
  <si>
    <t>Política D2: Extranjeros Extranjeros</t>
  </si>
  <si>
    <t>Política D1: Extranjeros Asalariados</t>
  </si>
  <si>
    <t xml:space="preserve">Política D2: Extranjero Independiente </t>
  </si>
  <si>
    <t>7% + FECI</t>
  </si>
  <si>
    <r>
      <rPr>
        <b/>
        <u/>
        <sz val="11"/>
        <rFont val="Calibri"/>
        <family val="2"/>
        <scheme val="minor"/>
      </rPr>
      <t>Documento</t>
    </r>
    <r>
      <rPr>
        <sz val="11"/>
        <rFont val="Calibri"/>
        <family val="2"/>
        <scheme val="minor"/>
      </rPr>
      <t>: Pasaporte, carnet de migración y permiso de trabajo</t>
    </r>
  </si>
  <si>
    <t>de $200.01 a $400M</t>
  </si>
  <si>
    <t>$400.01 en adelante</t>
  </si>
  <si>
    <r>
      <rPr>
        <b/>
        <u/>
        <sz val="11"/>
        <rFont val="Calibri"/>
        <family val="2"/>
        <scheme val="minor"/>
      </rPr>
      <t>Fuente  de Ingreso</t>
    </r>
    <r>
      <rPr>
        <sz val="11"/>
        <rFont val="Calibri"/>
        <family val="2"/>
        <scheme val="minor"/>
      </rPr>
      <t>:  Local</t>
    </r>
  </si>
  <si>
    <t>No se financian apartamentos por menos de 54 m2  o de 1 recámara y 1 baños con precio de venta menor o igual a $120M</t>
  </si>
  <si>
    <t xml:space="preserve"> Profuturo, Vale General, Finanzas Generales, BG Valores y General de Seguros tasa de  3.90% para hipotecas con precio de venta mayor a $120M</t>
  </si>
  <si>
    <t xml:space="preserve"> Para clientes política B y C con fuente de ingresos extranjera, se cotiza segunda residencia en vez de vivienda principal. Se toma en consideración que el cliente labora en el extranjero, por ello la hipoteca siempre debe tener FECI.                                                                                    Para clientes política A y D con fuente de ingreso local, este tipo de préstamo aplica cuando la nueva hipoteca no será la vivienda principal del deudor. Ejemplo: Vivienda para algun familiar</t>
  </si>
  <si>
    <t>Cancelado</t>
  </si>
  <si>
    <t>Activo</t>
  </si>
  <si>
    <t>Estado Interino</t>
  </si>
  <si>
    <t xml:space="preserve">Actualizado </t>
  </si>
  <si>
    <t>13 de octubre 2017</t>
  </si>
  <si>
    <t>Política D2: Extranjero Independiente Uso primera residencia</t>
  </si>
  <si>
    <t>Política D1: Extranjero Asalariado Uso Vivienda Principal</t>
  </si>
  <si>
    <t>de 5 a  30 años</t>
  </si>
  <si>
    <t>Política C: Extranjero (Asalariado /Independiente) Uso Uso: Segunda Residencia</t>
  </si>
  <si>
    <t>Manejo Mensual</t>
  </si>
  <si>
    <t xml:space="preserve">Política B: Panameño (Asalariado /Independiente) Uso: Segunda Residencia </t>
  </si>
  <si>
    <t>Política C: Extranjero (Asalariado / Independiente)</t>
  </si>
  <si>
    <t>de $18M a $40M</t>
  </si>
  <si>
    <t>Política B: Panameño (Asalariado / Independiente)</t>
  </si>
  <si>
    <t>Política A2: Panameño (Independiente) Uso: Vivienda Principal</t>
  </si>
  <si>
    <t>Política A1: Panameño (Asalariado) Uso: Vivienda Principal</t>
  </si>
  <si>
    <r>
      <t xml:space="preserve">Residencia: </t>
    </r>
    <r>
      <rPr>
        <sz val="11"/>
        <color theme="1"/>
        <rFont val="Calibri"/>
        <family val="2"/>
        <scheme val="minor"/>
      </rPr>
      <t>extranjera</t>
    </r>
  </si>
  <si>
    <t>30 de Octubre 2017</t>
  </si>
  <si>
    <t>Chitré</t>
  </si>
  <si>
    <t>Santiago</t>
  </si>
  <si>
    <t>David</t>
  </si>
  <si>
    <t>Boquete</t>
  </si>
  <si>
    <t>Chiriquí</t>
  </si>
  <si>
    <t>CORIN BUSINESS, S.A.  (PH 4 HORIZONTES)</t>
  </si>
  <si>
    <t xml:space="preserve">Política D1: Extranjero Asalariado </t>
  </si>
  <si>
    <t>Compra de vivienda nueva Uso:  Segunda Residencia</t>
  </si>
  <si>
    <t>BELLA ESPERANZA</t>
  </si>
  <si>
    <t>HACIENDA LA HERRADURA</t>
  </si>
  <si>
    <t>P.H. BRISAS SABANITAS</t>
  </si>
  <si>
    <t>GREEN HOUSES, S.A.</t>
  </si>
  <si>
    <t>CATIVA</t>
  </si>
  <si>
    <t>P.H. PENINSULA</t>
  </si>
  <si>
    <t>INVERSIONES KRIS, S.A.</t>
  </si>
  <si>
    <t>CRISTOBAL</t>
  </si>
  <si>
    <t>RESIDENCIAL EL CIELO</t>
  </si>
  <si>
    <t>RESIDENCIAL PALO VERDE</t>
  </si>
  <si>
    <t>EL COCO</t>
  </si>
  <si>
    <t>RESIDENCIAL VILLAS DE ROMA</t>
  </si>
  <si>
    <t>RESIDENCIAL VILLAS LAS OROPENDOLAS</t>
  </si>
  <si>
    <t>INVERSIONES LAS VILLAS DE ARRAIJAN, S.A.</t>
  </si>
  <si>
    <t>URBANIZACION BRISAS DE SABANITAS</t>
  </si>
  <si>
    <t>Chiriquí, Boquerón</t>
  </si>
  <si>
    <t>Los Santos</t>
  </si>
  <si>
    <t>Panamá, Arraiján</t>
  </si>
  <si>
    <t>Bugaba, Chiriquí</t>
  </si>
  <si>
    <t>David, Chiriquí</t>
  </si>
  <si>
    <t>Santiago, Veraguas</t>
  </si>
  <si>
    <t>Atalaya, Veraguas</t>
  </si>
  <si>
    <t>Penonomé, Coclé</t>
  </si>
  <si>
    <t>Dolega, Chiriquí</t>
  </si>
  <si>
    <t>Herrera / Los Santos</t>
  </si>
  <si>
    <t>Las Tablas, Los Santos</t>
  </si>
  <si>
    <t>Boqueté, Chiriquí</t>
  </si>
  <si>
    <t>Panamá, La Chorrera</t>
  </si>
  <si>
    <t>Panamá, Chame</t>
  </si>
  <si>
    <t>Actualizado: 15 Noviembre de 2017</t>
  </si>
  <si>
    <t>Promotor de Panamá</t>
  </si>
  <si>
    <t>Promotor del Interior</t>
  </si>
  <si>
    <t>Valor del Inmueble         (Venta Rápida)</t>
  </si>
  <si>
    <t>Comisión de Ciere</t>
  </si>
  <si>
    <t>32% Descuento Directo</t>
  </si>
  <si>
    <r>
      <t xml:space="preserve">Si el alguno de los participantes cumple con las siguientes condiciones, se debe </t>
    </r>
    <r>
      <rPr>
        <b/>
        <sz val="11"/>
        <color theme="1"/>
        <rFont val="Calibri"/>
        <family val="2"/>
        <scheme val="minor"/>
      </rPr>
      <t xml:space="preserve">sumar </t>
    </r>
    <r>
      <rPr>
        <sz val="11"/>
        <color theme="1"/>
        <rFont val="Calibri"/>
        <family val="2"/>
        <scheme val="minor"/>
      </rPr>
      <t>a la tasa:</t>
    </r>
  </si>
  <si>
    <t>Pantallazo de Riesgo  y Referencias de Crédito</t>
  </si>
  <si>
    <t>Referencias de Crédito</t>
  </si>
  <si>
    <t xml:space="preserve">Pantallazo </t>
  </si>
  <si>
    <t>Variación Tasa</t>
  </si>
  <si>
    <t xml:space="preserve">Buenas </t>
  </si>
  <si>
    <t xml:space="preserve">Si </t>
  </si>
  <si>
    <t xml:space="preserve">No </t>
  </si>
  <si>
    <t xml:space="preserve">Regulares </t>
  </si>
  <si>
    <t>Mayores</t>
  </si>
  <si>
    <t>de 15 hasta 20 años</t>
  </si>
  <si>
    <t>de 5 a  20 años</t>
  </si>
  <si>
    <t>Declaración Jurada</t>
  </si>
  <si>
    <t>Cálculo de acciones</t>
  </si>
  <si>
    <t>Hojas de datos de accionistas/beneficiarios, (si aplica)</t>
  </si>
  <si>
    <t>Copia de cédula (si aplica)</t>
  </si>
  <si>
    <r>
      <t xml:space="preserve">Cliente jurídico </t>
    </r>
    <r>
      <rPr>
        <b/>
        <sz val="11"/>
        <color rgb="FFFF0000"/>
        <rFont val="Arial"/>
        <family val="2"/>
      </rPr>
      <t>DEUDOR</t>
    </r>
    <r>
      <rPr>
        <sz val="11"/>
        <color rgb="FFFF0000"/>
        <rFont val="Arial"/>
        <family val="2"/>
      </rPr>
      <t xml:space="preserve"> :
 Declaración Jurada                       Hoja de Cálculo</t>
    </r>
  </si>
  <si>
    <t>Hoja de datos</t>
  </si>
  <si>
    <t>Persona Jurídica (Deudor)</t>
  </si>
  <si>
    <r>
      <rPr>
        <b/>
        <sz val="10"/>
        <rFont val="Arial"/>
        <family val="2"/>
      </rPr>
      <t>Sociedad Anónima</t>
    </r>
    <r>
      <rPr>
        <sz val="10"/>
        <rFont val="Arial"/>
        <family val="2"/>
      </rPr>
      <t xml:space="preserve">: acta donde se autoriza la transacción, declaración jurada tasa única, copia de cédula o          </t>
    </r>
  </si>
  <si>
    <r>
      <rPr>
        <b/>
        <sz val="10"/>
        <rFont val="Arial"/>
        <family val="2"/>
      </rPr>
      <t>Fundación</t>
    </r>
    <r>
      <rPr>
        <sz val="10"/>
        <rFont val="Arial"/>
        <family val="2"/>
      </rPr>
      <t xml:space="preserve">: Acta donde se autoriza la transacción, Reglamento Fundacional, declaración jurada, </t>
    </r>
  </si>
  <si>
    <r>
      <rPr>
        <b/>
        <sz val="10"/>
        <rFont val="Arial"/>
        <family val="2"/>
      </rPr>
      <t>Sociedad Anónima</t>
    </r>
    <r>
      <rPr>
        <sz val="10"/>
        <rFont val="Arial"/>
        <family val="2"/>
      </rPr>
      <t xml:space="preserve">: acta donde se autoriza la transacción, tasa única, declaración jurada,copia de cédula o          </t>
    </r>
  </si>
  <si>
    <r>
      <rPr>
        <b/>
        <sz val="10"/>
        <rFont val="Arial"/>
        <family val="2"/>
      </rPr>
      <t>Fundación</t>
    </r>
    <r>
      <rPr>
        <sz val="10"/>
        <rFont val="Arial"/>
        <family val="2"/>
      </rPr>
      <t>: Acta donde se autoriza la transacción, Reglamento Fundacional, declaración jurada, copia de cédula o pasaporte de los miembros del consejo fundacional y persona autorizada para realizar la transacción.</t>
    </r>
  </si>
  <si>
    <r>
      <rPr>
        <b/>
        <sz val="10"/>
        <rFont val="Arial"/>
        <family val="2"/>
      </rPr>
      <t>Sociedad Anónima:</t>
    </r>
    <r>
      <rPr>
        <sz val="10"/>
        <rFont val="Arial"/>
        <family val="2"/>
      </rPr>
      <t xml:space="preserve"> acta donde se autoriza la transacción, tasa única, declaración jurada, copia de cédula o          </t>
    </r>
  </si>
  <si>
    <r>
      <rPr>
        <b/>
        <sz val="10"/>
        <rFont val="Arial"/>
        <family val="2"/>
      </rPr>
      <t>Fundación</t>
    </r>
    <r>
      <rPr>
        <sz val="10"/>
        <rFont val="Arial"/>
        <family val="2"/>
      </rPr>
      <t>: Acta donde se autoriza la transacción, Reglamento Fundacional, declaración jurada,</t>
    </r>
  </si>
  <si>
    <t>Reposeido Banco General</t>
  </si>
  <si>
    <t xml:space="preserve">de $0M a $40M </t>
  </si>
  <si>
    <t>25 años</t>
  </si>
  <si>
    <t>de $40.01 a $120M</t>
  </si>
  <si>
    <t>de $120M en adelante</t>
  </si>
  <si>
    <t>103 - TOWER CENTER COSTA DEL ESTE</t>
  </si>
  <si>
    <t>RECUPERACIÓN DE CARTERA</t>
  </si>
  <si>
    <t>Condiciones Copa</t>
  </si>
  <si>
    <r>
      <t xml:space="preserve">Aplica únicamente para </t>
    </r>
    <r>
      <rPr>
        <b/>
        <sz val="11"/>
        <color rgb="FFFF0000"/>
        <rFont val="Calibri"/>
        <family val="2"/>
        <scheme val="minor"/>
      </rPr>
      <t>"Compra de Vivienda Principal"</t>
    </r>
  </si>
  <si>
    <t>Ingresos a considerar</t>
  </si>
  <si>
    <t>Rubro de Ingreso</t>
  </si>
  <si>
    <t>Porcentaje a considerar Pilotos</t>
  </si>
  <si>
    <t>Porcentajes a considerar Tripulantes de Cabina</t>
  </si>
  <si>
    <t>Salario base</t>
  </si>
  <si>
    <t>Prima de productividad y tiempo de servicio</t>
  </si>
  <si>
    <t>Viáticos</t>
  </si>
  <si>
    <t>Precio de la propiedad</t>
  </si>
  <si>
    <t>Tasa Vigente BG</t>
  </si>
  <si>
    <t>Tasa Oferta para Copa</t>
  </si>
  <si>
    <t>Programa de Interés Preferencial</t>
  </si>
  <si>
    <t>$0 hasta $40,000.00*</t>
  </si>
  <si>
    <t>$40,000.00 hasta $120,000.00***</t>
  </si>
  <si>
    <t>1.50%(**)</t>
  </si>
  <si>
    <t>Programa regular (nuevas o usadas)</t>
  </si>
  <si>
    <t>$120,000.01 hasta $200,000.00</t>
  </si>
  <si>
    <t>$200,000.00 hasta $400,000.00</t>
  </si>
  <si>
    <t>$400,000.00 hasta $600,000.00</t>
  </si>
  <si>
    <t>$600,000.00 en adelante</t>
  </si>
  <si>
    <t>(**) abono de 10%</t>
  </si>
  <si>
    <t>(***) abono de 15% o más</t>
  </si>
  <si>
    <t>BOQUETE VALLEY OF FLOWERS</t>
  </si>
  <si>
    <t>ALTO BOQUETE</t>
  </si>
  <si>
    <t>BRISAS DE PACORA</t>
  </si>
  <si>
    <t>BRISAS DE SAN PABLO</t>
  </si>
  <si>
    <t>BRISAS DEL CONGO</t>
  </si>
  <si>
    <t>BRISAS DEL VALLE</t>
  </si>
  <si>
    <t>LA ARENA</t>
  </si>
  <si>
    <t>COLINAS DE LAS CUMBRES</t>
  </si>
  <si>
    <t>HACIENDA SENDERO DEL VALLE</t>
  </si>
  <si>
    <t>ANTON DEVELOPMENTS</t>
  </si>
  <si>
    <t>MIRADOR EL COCO</t>
  </si>
  <si>
    <t>MIRADOR EL COCO, S.A.</t>
  </si>
  <si>
    <t>P.H. BAY VIEW CIUDAD DE PANAMA</t>
  </si>
  <si>
    <t>P.H. BOSQUES DE GATUN</t>
  </si>
  <si>
    <t>ADSA (Alimentos y Diversiones, S.A.)</t>
  </si>
  <si>
    <t>P.H. BUONA VISTA</t>
  </si>
  <si>
    <t>FOUR TOWER CORPORATE, INC.</t>
  </si>
  <si>
    <t>P.H. CASA GALVEZ</t>
  </si>
  <si>
    <t>P.H. COLONIAL PARK</t>
  </si>
  <si>
    <t>P.H. COLONIAL TOWER</t>
  </si>
  <si>
    <t>P.H. LOS PUEBLOS TOWERS</t>
  </si>
  <si>
    <t>INMOBILIARIA LOS PUEBLOS TOWERS, S.A.</t>
  </si>
  <si>
    <t>P.H. MYSTIC AVENUE</t>
  </si>
  <si>
    <t>P.H. PASEO CALIFORNIA</t>
  </si>
  <si>
    <t>P.H. VALY TOWER</t>
  </si>
  <si>
    <t>P.H. VILLAS ZAFARRANCHO</t>
  </si>
  <si>
    <t>MI FINKITA, S.A.</t>
  </si>
  <si>
    <t>P.H. VINTAGE</t>
  </si>
  <si>
    <t>P.H. VISTAS DE CHANIS</t>
  </si>
  <si>
    <t>RESIDENCIAL ALBORAN</t>
  </si>
  <si>
    <t>RESIDENCIAL ALTAMAR II</t>
  </si>
  <si>
    <t>INVERTIMOS PROYECTANDO, S.A.</t>
  </si>
  <si>
    <t>RESIDENCIAL ALTO VIENTO</t>
  </si>
  <si>
    <t>RESIDENCIAL ALTOS DE LA ARBOLEDA</t>
  </si>
  <si>
    <t>CONSTRUCTORA LAS TABLAS, S.A.</t>
  </si>
  <si>
    <t>LA TABLAS</t>
  </si>
  <si>
    <t>RESIDENCIAL ALTOS DE LOS GUAYACANES</t>
  </si>
  <si>
    <t>INVERSIONES RIO LA VILLA, S.A.</t>
  </si>
  <si>
    <t>RESIDENCIAL ALTOS DE ZARATI</t>
  </si>
  <si>
    <t>RESIDENCIAL ANA MAE</t>
  </si>
  <si>
    <t xml:space="preserve">WUZHOULONG MOTORS COMPANY, S.A.   </t>
  </si>
  <si>
    <t>RESIDENCIAL BRISAS DE SAN CRISTOBAL</t>
  </si>
  <si>
    <t>SAELA,S.A.</t>
  </si>
  <si>
    <t>RESIDENCIAL BRISAS DEL GOLFO</t>
  </si>
  <si>
    <t>RESIDENCIAL CAMPO DORADO</t>
  </si>
  <si>
    <t>RESIDENCIAL CASA HACIENDA</t>
  </si>
  <si>
    <t>VISTALMAR OVERSEAS, INC.</t>
  </si>
  <si>
    <t>RESIDENCIAL COLONCITO VILLAGE</t>
  </si>
  <si>
    <t>RESIDENCIAL EL BOULEVARD</t>
  </si>
  <si>
    <t>RESIDENCIAL EMMANUEL</t>
  </si>
  <si>
    <t>EMMANUEL INVESTMENT CORPORATION, INC.</t>
  </si>
  <si>
    <t>TINAJAS</t>
  </si>
  <si>
    <t>RESIDENCIAL LA MORALEJA</t>
  </si>
  <si>
    <t>BARRIO COLON</t>
  </si>
  <si>
    <t>RESIDENCIAL LAS DELICIAS</t>
  </si>
  <si>
    <t>RESIDENCIAL LOS BOSQUES</t>
  </si>
  <si>
    <t>PROYECTOS INMOBILIARIOS LA PALMITA, S.A.</t>
  </si>
  <si>
    <t>LAS PALMITAS</t>
  </si>
  <si>
    <t>RESIDENCIAL MENDOZAS PARK</t>
  </si>
  <si>
    <t>RESIDENCIAL PACORA PARK</t>
  </si>
  <si>
    <t>RESIDENCIAL PALMEIRA 89</t>
  </si>
  <si>
    <t>RESIDENCIAL PRADERAS DEL GOLF</t>
  </si>
  <si>
    <t>RESIDENCIAL QUINTAS DE LA RIVIERA</t>
  </si>
  <si>
    <t>RESIDENCIAL SANTA TERESA DE JESUS</t>
  </si>
  <si>
    <t>REPRESENTACIONES CABSA, SA.</t>
  </si>
  <si>
    <t>RESIDENCIAL TAGUA VILLAGE</t>
  </si>
  <si>
    <t>CALEIVA, S.A.</t>
  </si>
  <si>
    <t>RESIDENCIAL VALLE ESMERALDA</t>
  </si>
  <si>
    <t>CORPORACION INMOBILIARIA BRISAS DEL RIO, S.A.</t>
  </si>
  <si>
    <t>BOQUERON</t>
  </si>
  <si>
    <t>RESIDENCIAL VISTA DEL RIO</t>
  </si>
  <si>
    <t>PASCAL W.G. WATTE</t>
  </si>
  <si>
    <t>RESIDENCIAL VISTA HERMOSA</t>
  </si>
  <si>
    <t>RESIDENCIAL VIVA SANTIAGO</t>
  </si>
  <si>
    <t>SUNSET COUNTRY CLUB</t>
  </si>
  <si>
    <t>TERRAZAS DE BONANZA</t>
  </si>
  <si>
    <t>URBANIZACION ALTOS DE LA FERIA</t>
  </si>
  <si>
    <t>EMPRESAS PALMA, S.A.</t>
  </si>
  <si>
    <t>URBANIZACION CIUDAD EL AMANECER</t>
  </si>
  <si>
    <t>GRUPO JWL, S.A.</t>
  </si>
  <si>
    <t>URBANIZACION LA HERRADURA</t>
  </si>
  <si>
    <t>URBANIZACION LAS MERCEDES</t>
  </si>
  <si>
    <t>URBANIZACION VILLAS DE SAN ANTONIO</t>
  </si>
  <si>
    <t>BIENES RAICES METROPOLITANA, S.A.</t>
  </si>
  <si>
    <t>URBANIZACION VILLAS DEL GOLF</t>
  </si>
  <si>
    <t>CONSTRUCTORA RODSA,S.A.</t>
  </si>
  <si>
    <t>VILLA GENESIS</t>
  </si>
  <si>
    <t>POTRERILLOS ABAJO</t>
  </si>
  <si>
    <t>VILLA LINETH NO. 3</t>
  </si>
  <si>
    <t>VILLA MASIEL</t>
  </si>
  <si>
    <t>VILLA MONTE ROSSE</t>
  </si>
  <si>
    <t>VILLA'S PARK</t>
  </si>
  <si>
    <t>MANUEL GONZALEZ</t>
  </si>
  <si>
    <t>VILLAS DE SAN MIGUEL NO.2</t>
  </si>
  <si>
    <t>VILLAS DE SAN PABLO</t>
  </si>
  <si>
    <r>
      <rPr>
        <u/>
        <sz val="11"/>
        <color theme="1"/>
        <rFont val="Calibri"/>
        <family val="2"/>
        <scheme val="minor"/>
      </rPr>
      <t xml:space="preserve">Buscar en la proforma si aplica. </t>
    </r>
    <r>
      <rPr>
        <sz val="11"/>
        <color theme="1"/>
        <rFont val="Calibri"/>
        <family val="2"/>
        <scheme val="minor"/>
      </rPr>
      <t xml:space="preserve"> Son $10,000 otorgados por el promotor para viviendas con precio de venta de hasta $50M, el cliente debe abonar según los criterios del banco (2% asalariados, 15% independiente)</t>
    </r>
  </si>
  <si>
    <t>Buenavuentura, Casamar, La Ensenada, Rio Mar, Bijao, Barcovento, Punta Barco Village, Punta Caelo, Vista Mar, Hacienda Pacífica y Playa Caracol. Plazo mayor a 20 años debe ir como excepción y se debe buscar la aprobación de un VP de Negocio o Banca de Consumo</t>
  </si>
  <si>
    <t xml:space="preserve">6) El valor del inmueble considerado para casacash o traspaso es el  del avalúo (85% del valor de venta rápida, si aplica) </t>
  </si>
  <si>
    <t>7)  Tasa para subsidiarias</t>
  </si>
  <si>
    <t>8) Tasas para subsidiarias</t>
  </si>
  <si>
    <t xml:space="preserve">9) Segunda Residencia </t>
  </si>
  <si>
    <t>10) Excepciones</t>
  </si>
  <si>
    <t>11) Financiamiento por M2 (solo apartamentos nuevos)</t>
  </si>
  <si>
    <t>ALTOS DEL MORAZAN</t>
  </si>
  <si>
    <t>ALTOS DEL MORAZAN No.3</t>
  </si>
  <si>
    <t>VILLARREAL GONZALEZ, S.A.</t>
  </si>
  <si>
    <t>BARRIO LA CONCEPCION</t>
  </si>
  <si>
    <t>ABIGAIL POMPILIO AGUILA JIMENEZ</t>
  </si>
  <si>
    <t>CIUDAD DE LAS AMERICAS - P.H. PANAMA AMERICA</t>
  </si>
  <si>
    <t>CIUDAD PARQUES DE SAN JUAN</t>
  </si>
  <si>
    <t>BADGER SERVICES, INC.</t>
  </si>
  <si>
    <t>IN &amp; OUT DESIGNS</t>
  </si>
  <si>
    <t>IN &amp; OUT DESIGNS, S.A.</t>
  </si>
  <si>
    <t>LOMAS DEL ESTE</t>
  </si>
  <si>
    <t>LOS BOSQUES DE PACORA II</t>
  </si>
  <si>
    <t>MELISA 1</t>
  </si>
  <si>
    <t>ARQ. MELY MIRANDA R.</t>
  </si>
  <si>
    <t>MELISA 2</t>
  </si>
  <si>
    <t>MIRADOR 1</t>
  </si>
  <si>
    <t>CONSTRUCTORA DOÑA MARIA</t>
  </si>
  <si>
    <t>P.H. ACACIAS GARDEN</t>
  </si>
  <si>
    <t>P.H. ACACIAS GARDEN II</t>
  </si>
  <si>
    <t>URBANIA DEVELOPERS, S.A.</t>
  </si>
  <si>
    <t>P.H. ACACIAS GARDEN III</t>
  </si>
  <si>
    <t>P.H. AIRES DEL OESTE</t>
  </si>
  <si>
    <t>P.H. AMIRA GARDEN II</t>
  </si>
  <si>
    <t>P.H. BRISAS PLAYA LAS LAJAS</t>
  </si>
  <si>
    <t>P.H. CLUB X</t>
  </si>
  <si>
    <t>BETANIA</t>
  </si>
  <si>
    <t>P.H. EDIFICIO BRISAS DE SAN PABLO</t>
  </si>
  <si>
    <t>P.H. EMBASSY GOLF</t>
  </si>
  <si>
    <t>RUFINA ALFARO</t>
  </si>
  <si>
    <t>P.H. FORESTA</t>
  </si>
  <si>
    <t>BLAS JIMENEZ RAYA</t>
  </si>
  <si>
    <t>ERNESTO CORDOBA CAMPOS</t>
  </si>
  <si>
    <t>P.H. JARDINES ESPINO DE LA ROSA</t>
  </si>
  <si>
    <t>CARLOS SANTANA AVILA</t>
  </si>
  <si>
    <t>P.H. LOS JAZMINES</t>
  </si>
  <si>
    <t>P.H. MIRADOR</t>
  </si>
  <si>
    <t>P.H. MYSTIC BLUE</t>
  </si>
  <si>
    <t>THE FOUNDERS S.A.</t>
  </si>
  <si>
    <t>P.H. VEDADO COUNTRY</t>
  </si>
  <si>
    <t>PROHVAL, S.A.</t>
  </si>
  <si>
    <t>PANORAMA VILLAS</t>
  </si>
  <si>
    <t>PARQUES DE LA BELLA SUIZA</t>
  </si>
  <si>
    <t>RESIDENCIAL ALTOS DE ALGARROBOS</t>
  </si>
  <si>
    <t>NORBOT GROUP CORP</t>
  </si>
  <si>
    <t>CASAS Y APARTAMENTOS, SOCIEDAD ANONIMA</t>
  </si>
  <si>
    <t>RESIDENCIAL ALTOS DE ALGARROBOS ETAPA II</t>
  </si>
  <si>
    <t>RESIDENCIAL ALTOS DE CERRO TIGRE</t>
  </si>
  <si>
    <t>RESIDENCIAL ALTOS DE QUITEÑO</t>
  </si>
  <si>
    <t>ALTOS DE QUITEÑO, S.A.</t>
  </si>
  <si>
    <t>RESIDENCIAL ALTOS DE SAN ANTONIO</t>
  </si>
  <si>
    <t>EDISER DE PANAMA, S.A.</t>
  </si>
  <si>
    <t>RESIDENCIAL ALTOS DEL TERRONAL</t>
  </si>
  <si>
    <t>CENTRAL DE METALES, S.A.</t>
  </si>
  <si>
    <t>RESIDENCIAL BALMORAL</t>
  </si>
  <si>
    <t>RESIDENCIAL BOSQUE DEL LAGO</t>
  </si>
  <si>
    <t>FUNDACION DE LAS CASAS &amp; SUCESORES</t>
  </si>
  <si>
    <t>RESIDENCIAL BRISAS DE BOQUERON</t>
  </si>
  <si>
    <t>RESIDENCIAL CERRO MORADO</t>
  </si>
  <si>
    <t>RESIDENCIAL CIUDAD JARDIN SANTA MARTA</t>
  </si>
  <si>
    <t>SANTA MARTA</t>
  </si>
  <si>
    <t>RESIDENCIAL COLINAS DEL OESTE</t>
  </si>
  <si>
    <t>COASTAL BEACH ENTERPRISE, S.A.</t>
  </si>
  <si>
    <t>RESIDENCIAL DON ESTEBAN</t>
  </si>
  <si>
    <t>RESIDENCIAL DON ESTEBAN, S. A</t>
  </si>
  <si>
    <t>RESIDENCIAL EL VARITAL</t>
  </si>
  <si>
    <t>GRUPO JARAMILLO, S.A.</t>
  </si>
  <si>
    <t>RESIDENCIAL GREEN PARK</t>
  </si>
  <si>
    <t>RESIDENCIAL HACIENDA DEL RIO I Y II</t>
  </si>
  <si>
    <t>INDEPENDENT DEVELOPMENT INC.</t>
  </si>
  <si>
    <t>RESIDENCIAL JURADO</t>
  </si>
  <si>
    <t>KERSTYN JURADO ALEGRIA</t>
  </si>
  <si>
    <t>RESIDENCIAL LAS LAJAS</t>
  </si>
  <si>
    <t>RESIDENCIAL LLANO BONITO</t>
  </si>
  <si>
    <t>RESIDENCIAL LOMA ESMERALDA</t>
  </si>
  <si>
    <t>RESIDENCIAL LOMAS DE SAN FRANCISCO</t>
  </si>
  <si>
    <t>RESIDENCIAL LOS ALAMOS</t>
  </si>
  <si>
    <t>RESIDENCIAL LOS ANASTACIO</t>
  </si>
  <si>
    <t>EDGARDO ALEXIS ARAUZ RIVERA</t>
  </si>
  <si>
    <t>LOS ANASTACIOS</t>
  </si>
  <si>
    <t>RESIDENCIAL LOS VALLES DE ALGARROBOS</t>
  </si>
  <si>
    <t>RESIDENCIAL NATASHA</t>
  </si>
  <si>
    <t>CONSTRUCCIONES 212512, S.A.</t>
  </si>
  <si>
    <t>RESIDENCIAL NUEVO DOLEGA</t>
  </si>
  <si>
    <t>JONAS ACOSTA CASTILLO</t>
  </si>
  <si>
    <t>RESIDENCIAL PACORA HOME</t>
  </si>
  <si>
    <t>RESIDENCIAL PIAMONTE</t>
  </si>
  <si>
    <t>RESIDENCIAL PRIMAVERAL PAMPLONA</t>
  </si>
  <si>
    <t>LEONOR ERASMO MEDINA HERRERA</t>
  </si>
  <si>
    <t>RESIDENCIAL SAN AGUSTIN</t>
  </si>
  <si>
    <t>RESIDENCIAL SAN ANTONIO HILLS</t>
  </si>
  <si>
    <t>CONSTRUCTORA RODRIGUEZ CANO, S.A.</t>
  </si>
  <si>
    <t>RESIDENCIAL SAN PABLO</t>
  </si>
  <si>
    <t>RESIDENCIAL SIBONEY</t>
  </si>
  <si>
    <t>RESIDENCIAL SUEÑO DORADO</t>
  </si>
  <si>
    <t>RESIDENCIAL VALENTINA</t>
  </si>
  <si>
    <t>RESIDENCIAL VALLE DE SANTA ROSA</t>
  </si>
  <si>
    <t>INVERSIONES NUEVO DAVID, S.A.</t>
  </si>
  <si>
    <t>RESIDENCIAL VALLE DEL SOL CHIRIQUI</t>
  </si>
  <si>
    <t>KAXMA, S.A.</t>
  </si>
  <si>
    <t>RESIDENCIAL VILLA CRISTAL</t>
  </si>
  <si>
    <t>I.C. GROUP INC.</t>
  </si>
  <si>
    <t>RESIDENCIAL VILLA PATRICIA</t>
  </si>
  <si>
    <t>RESIDENCIAL VILLA PATRICIA NO. 2</t>
  </si>
  <si>
    <t>RESIDENCIAL VILLA SERENA</t>
  </si>
  <si>
    <t>SERENE VILLAGE CORP.</t>
  </si>
  <si>
    <t>RESIDENCIAL VILLAS DE ANTIGUA</t>
  </si>
  <si>
    <t>RIVERSIDE RESOURCES, INC.</t>
  </si>
  <si>
    <t>SAREP PANAMA, S.A.</t>
  </si>
  <si>
    <t>URBANIZACION ALTO DE LAS MORAS</t>
  </si>
  <si>
    <t>AVENON INVESTMENT, INC.</t>
  </si>
  <si>
    <t>URBANIZACION CIUDAD JARDIN</t>
  </si>
  <si>
    <t>URBANIZACION CONCEPCION</t>
  </si>
  <si>
    <t>MARIELA HERNANDEZ GONZALEZ</t>
  </si>
  <si>
    <t>URBANIZACION VILLAS DE TANARA</t>
  </si>
  <si>
    <t>VALLE DE LAS CUMBRES</t>
  </si>
  <si>
    <t>DESARROLLO VALLE DE LAS CUMBRES, S.A.</t>
  </si>
  <si>
    <t>Actualizado: 28 de Agosto de 2018</t>
  </si>
  <si>
    <r>
      <rPr>
        <b/>
        <u/>
        <sz val="11"/>
        <color theme="1"/>
        <rFont val="Calibri"/>
        <family val="2"/>
        <scheme val="minor"/>
      </rPr>
      <t>Residencia:</t>
    </r>
    <r>
      <rPr>
        <sz val="11"/>
        <color theme="1"/>
        <rFont val="Calibri"/>
        <family val="2"/>
        <scheme val="minor"/>
      </rPr>
      <t xml:space="preserve"> Local
</t>
    </r>
    <r>
      <rPr>
        <b/>
        <u/>
        <sz val="11"/>
        <color theme="1"/>
        <rFont val="Calibri"/>
        <family val="2"/>
        <scheme val="minor"/>
      </rPr>
      <t xml:space="preserve">Documento: </t>
    </r>
    <r>
      <rPr>
        <sz val="11"/>
        <color theme="1"/>
        <rFont val="Calibri"/>
        <family val="2"/>
        <scheme val="minor"/>
      </rPr>
      <t xml:space="preserve">Cédula
</t>
    </r>
    <r>
      <rPr>
        <b/>
        <u/>
        <sz val="11"/>
        <color theme="1"/>
        <rFont val="Calibri"/>
        <family val="2"/>
        <scheme val="minor"/>
      </rPr>
      <t>Fuente de Ingreso:</t>
    </r>
    <r>
      <rPr>
        <sz val="11"/>
        <color theme="1"/>
        <rFont val="Calibri"/>
        <family val="2"/>
        <scheme val="minor"/>
      </rPr>
      <t xml:space="preserve"> Local</t>
    </r>
  </si>
  <si>
    <t>Proyectos A</t>
  </si>
  <si>
    <t>6.75% + FECI</t>
  </si>
  <si>
    <t>Media</t>
  </si>
  <si>
    <t>6.10% + FECI</t>
  </si>
  <si>
    <t>Proyectos B</t>
  </si>
  <si>
    <t>7.00% + FECI</t>
  </si>
  <si>
    <t>6.60% + FECI</t>
  </si>
  <si>
    <t>Proyectos C</t>
  </si>
  <si>
    <t>$1,500</t>
  </si>
  <si>
    <r>
      <rPr>
        <b/>
        <u/>
        <sz val="11"/>
        <color theme="1"/>
        <rFont val="Calibri"/>
        <family val="2"/>
        <scheme val="minor"/>
      </rPr>
      <t>Residencia:</t>
    </r>
    <r>
      <rPr>
        <sz val="11"/>
        <color theme="1"/>
        <rFont val="Calibri"/>
        <family val="2"/>
        <scheme val="minor"/>
      </rPr>
      <t xml:space="preserve"> Local
</t>
    </r>
    <r>
      <rPr>
        <b/>
        <u/>
        <sz val="11"/>
        <color theme="1"/>
        <rFont val="Calibri"/>
        <family val="2"/>
        <scheme val="minor"/>
      </rPr>
      <t>Documento:</t>
    </r>
    <r>
      <rPr>
        <sz val="11"/>
        <color theme="1"/>
        <rFont val="Calibri"/>
        <family val="2"/>
        <scheme val="minor"/>
      </rPr>
      <t xml:space="preserve"> Pasaporte Carnet de migración y permiso de trabajo
</t>
    </r>
    <r>
      <rPr>
        <b/>
        <u/>
        <sz val="11"/>
        <color theme="1"/>
        <rFont val="Calibri"/>
        <family val="2"/>
        <scheme val="minor"/>
      </rPr>
      <t xml:space="preserve">Fuente de Ingreso: </t>
    </r>
    <r>
      <rPr>
        <sz val="11"/>
        <color theme="1"/>
        <rFont val="Calibri"/>
        <family val="2"/>
        <scheme val="minor"/>
      </rPr>
      <t>Local</t>
    </r>
  </si>
  <si>
    <r>
      <rPr>
        <b/>
        <u/>
        <sz val="11"/>
        <color theme="1"/>
        <rFont val="Calibri"/>
        <family val="2"/>
        <scheme val="minor"/>
      </rPr>
      <t>Residencia:</t>
    </r>
    <r>
      <rPr>
        <sz val="11"/>
        <color theme="1"/>
        <rFont val="Calibri"/>
        <family val="2"/>
        <scheme val="minor"/>
      </rPr>
      <t xml:space="preserve"> Local
</t>
    </r>
    <r>
      <rPr>
        <b/>
        <u/>
        <sz val="11"/>
        <color theme="1"/>
        <rFont val="Calibri"/>
        <family val="2"/>
        <scheme val="minor"/>
      </rPr>
      <t xml:space="preserve">Documento: </t>
    </r>
    <r>
      <rPr>
        <sz val="11"/>
        <color theme="1"/>
        <rFont val="Calibri"/>
        <family val="2"/>
        <scheme val="minor"/>
      </rPr>
      <t xml:space="preserve">Pasaporte Carnet de migración y permiso de trabajo
</t>
    </r>
    <r>
      <rPr>
        <b/>
        <u/>
        <sz val="11"/>
        <color theme="1"/>
        <rFont val="Calibri"/>
        <family val="2"/>
        <scheme val="minor"/>
      </rPr>
      <t xml:space="preserve">Fuente de Ingreso: </t>
    </r>
    <r>
      <rPr>
        <sz val="11"/>
        <color theme="1"/>
        <rFont val="Calibri"/>
        <family val="2"/>
        <scheme val="minor"/>
      </rPr>
      <t>Local</t>
    </r>
  </si>
  <si>
    <t>Política C: Panameño (Asalariado/Independiente)</t>
  </si>
  <si>
    <r>
      <rPr>
        <b/>
        <u/>
        <sz val="11"/>
        <color theme="1"/>
        <rFont val="Calibri"/>
        <family val="2"/>
        <scheme val="minor"/>
      </rPr>
      <t xml:space="preserve">Residencia: </t>
    </r>
    <r>
      <rPr>
        <sz val="11"/>
        <color theme="1"/>
        <rFont val="Calibri"/>
        <family val="2"/>
        <scheme val="minor"/>
      </rPr>
      <t>Extranjera</t>
    </r>
  </si>
  <si>
    <t>Política D2: Extranjeros Independiente</t>
  </si>
  <si>
    <r>
      <rPr>
        <u/>
        <sz val="11"/>
        <color rgb="FFFF0000"/>
        <rFont val="Calibri"/>
        <family val="2"/>
        <scheme val="minor"/>
      </rPr>
      <t xml:space="preserve">Vigencia: </t>
    </r>
    <r>
      <rPr>
        <sz val="11"/>
        <color rgb="FFFF0000"/>
        <rFont val="Calibri"/>
        <family val="2"/>
        <scheme val="minor"/>
      </rPr>
      <t>Aplica para los clientes que se coticen en STELLA   desde el 6 de abril de 2018 hasta el 31 de enero del 2020</t>
    </r>
  </si>
  <si>
    <t>*En STELLA se deberán sumar los valores y colocar el total en el campo "Salario Base"</t>
  </si>
  <si>
    <t>(*) En STELLA se deberá ralizar el ajuste manual de la tasa sin necesidad de solicitar aprobación a Productos</t>
  </si>
  <si>
    <t>Actualizado: octubre 19 del 2018</t>
  </si>
  <si>
    <t xml:space="preserve">Las empresas subsidiarias son las siguientes: Petroleos Delta y IGP Trading Corp. 
 A los colaboradores de estas empresas se les ofrece 4.40% </t>
  </si>
  <si>
    <t>5.75% + FECI</t>
  </si>
  <si>
    <t>7.50% + FECI</t>
  </si>
  <si>
    <t>Desde 5.75%  (***) y 6.00% (**)</t>
  </si>
  <si>
    <t>6.00% (***)</t>
  </si>
  <si>
    <t>6.00% (**) (***)</t>
  </si>
  <si>
    <t xml:space="preserve">Yahaira De La Cruz </t>
  </si>
  <si>
    <t>205-1962</t>
  </si>
  <si>
    <t>Teléfono: 303-7000</t>
  </si>
  <si>
    <t>DSJT Soluciones E.</t>
  </si>
  <si>
    <t>205-1776</t>
  </si>
  <si>
    <t xml:space="preserve">Ana Elena, informa que tiene a la venta la hipoteca actual, con la venta cancela TowerBank y abona a la nueva operación con BG. </t>
  </si>
  <si>
    <t xml:space="preserve">CP 30% y NE 44%, considerando solo esta nueva operación. </t>
  </si>
  <si>
    <t>CP 41% y NE 54% considerando las tres hipotecas actuales. A la liquidación de esta operación ajustar tasa a 5.25 + 1 FECI op. 0791070174230</t>
  </si>
  <si>
    <t xml:space="preserve">Cotización sujeta a comité de crédito </t>
  </si>
  <si>
    <t>X</t>
  </si>
  <si>
    <t>Calculadora de</t>
  </si>
  <si>
    <t>para colaboradores</t>
  </si>
  <si>
    <t xml:space="preserve">Abono incial: </t>
  </si>
  <si>
    <t>Abono en %</t>
  </si>
  <si>
    <t>Monto a prestar:</t>
  </si>
  <si>
    <t>TASA:</t>
  </si>
  <si>
    <t>FECI:</t>
  </si>
  <si>
    <t>Tasa con FECI</t>
  </si>
  <si>
    <t>Mensualidad(sin seguro):</t>
  </si>
  <si>
    <t>Salario mínimo requerido:</t>
  </si>
  <si>
    <t xml:space="preserve">
</t>
  </si>
  <si>
    <t>préstamo de hipotecas</t>
  </si>
  <si>
    <t>Valor de la propiedad:</t>
  </si>
  <si>
    <t>Tipo de hipotecas</t>
  </si>
  <si>
    <r>
      <t>Plazo</t>
    </r>
    <r>
      <rPr>
        <sz val="10"/>
        <rFont val="Tahoma"/>
        <family val="2"/>
      </rPr>
      <t xml:space="preserve"> (en años)</t>
    </r>
    <r>
      <rPr>
        <sz val="12"/>
        <rFont val="Tahoma"/>
        <family val="2"/>
      </rPr>
      <t>:</t>
    </r>
  </si>
  <si>
    <t>nueva</t>
  </si>
  <si>
    <t>vacacional</t>
  </si>
  <si>
    <t>0-120</t>
  </si>
  <si>
    <t>120-250</t>
  </si>
  <si>
    <t>200-400</t>
  </si>
  <si>
    <t>40-200</t>
  </si>
  <si>
    <t>400 en adelante</t>
  </si>
  <si>
    <t>250-450</t>
  </si>
  <si>
    <t>450-600</t>
  </si>
  <si>
    <t>nueva, usada</t>
  </si>
  <si>
    <t>cuando es ley P 8.56</t>
  </si>
  <si>
    <r>
      <rPr>
        <sz val="8"/>
        <rFont val="Tahoma"/>
        <family val="2"/>
      </rPr>
      <t xml:space="preserve">                                                                        </t>
    </r>
    <r>
      <rPr>
        <b/>
        <sz val="8"/>
        <rFont val="Tahoma"/>
        <family val="2"/>
      </rPr>
      <t xml:space="preserve"> Aviso Importante (Actualizar para hipotecas)</t>
    </r>
    <r>
      <rPr>
        <sz val="8"/>
        <rFont val="Tahoma"/>
        <family val="2"/>
      </rPr>
      <t xml:space="preserve">
• La finalidad de la calculadora es proveer datos básicos sobre cálculos
• Los resultados obtenidos mediante el uso de la misma deben ser discutidos con un Ejecutivo de Servicios Bancarios de Capital Humano 
• Capacidad de pago, máximo del 30% y nivel de endeudamiento de 50% sobre el salario, incluyendo otros compromisos de crédito  
• Esta herramienta solamente ilustra posibilidades y no necesariamente presentará datos exactos relacionados a sus circunstancias particulares 
• El Banco General, S.A.  realiza una evaluación de cada crédito, por lo que el cálculo realizado con esta herramienta no garantiza la aprobación de un préstamo en condiciones similares
• Las condiciones de la calculadora son sujetas a cambios, se recomienda el uso de la misma desde el sitio de Mi Red Estrella</t>
    </r>
    <r>
      <rPr>
        <b/>
        <sz val="8"/>
        <rFont val="Tahoma"/>
        <family val="2"/>
      </rPr>
      <t xml:space="preserve">
</t>
    </r>
  </si>
  <si>
    <t>Vivienda Nueva menos de 120 mil</t>
  </si>
  <si>
    <t>Vivienda Nueva mayor de 120 mil</t>
  </si>
  <si>
    <t>Vivienda usada</t>
  </si>
  <si>
    <t>Vivienda vacacional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</si>
</sst>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164" formatCode="&quot;$&quot;#,##0.00_);[Red]\(&quot;$&quot;#,##0.00\)"/>
    <numFmt numFmtId="165" formatCode="_(&quot;$&quot;* #,##0.00_);_(&quot;$&quot;* \(#,##0.00\);_(&quot;$&quot;* &quot;-&quot;??_);_(@_)"/>
    <numFmt numFmtId="166" formatCode="_(* #,##0.00_);_(* \(#,##0.00\);_(* &quot;-&quot;??_);_(@_)"/>
    <numFmt numFmtId="167" formatCode="&quot;$&quot;\ #,##0_);[Red]\(&quot;$&quot;\ #,##0\)"/>
    <numFmt numFmtId="168" formatCode="&quot;$&quot;\ #,##0.00_);[Red]\(&quot;$&quot;\ #,##0.00\)"/>
    <numFmt numFmtId="169" formatCode="0.000000"/>
    <numFmt numFmtId="170" formatCode="0.00000"/>
    <numFmt numFmtId="171" formatCode="mmm\-dd\-yy"/>
    <numFmt numFmtId="172" formatCode="0_);[Red]\(0\)"/>
    <numFmt numFmtId="173" formatCode="0.0%"/>
    <numFmt numFmtId="174" formatCode="&quot;$&quot;#,##0.00"/>
    <numFmt numFmtId="175" formatCode="[$-C0A]d\-mmm\-yyyy;@"/>
    <numFmt numFmtId="176" formatCode="&quot;B/.&quot;\ #,##0.00"/>
    <numFmt numFmtId="177" formatCode="_([$€-2]* #,##0.00_);_([$€-2]* \(#,##0.00\);_([$€-2]* &quot;-&quot;??_)"/>
    <numFmt numFmtId="178" formatCode="0000000000000"/>
    <numFmt numFmtId="179" formatCode="0.00000%"/>
    <numFmt numFmtId="180" formatCode="[$$-540A]#,##0.00"/>
  </numFmts>
  <fonts count="215" x14ac:knownFonts="1">
    <font>
      <sz val="11"/>
      <color theme="1"/>
      <name val="Calibri"/>
      <family val="2"/>
      <scheme val="minor"/>
    </font>
    <font>
      <sz val="11"/>
      <color theme="1"/>
      <name val="Calibri"/>
      <family val="2"/>
      <scheme val="minor"/>
    </font>
    <font>
      <b/>
      <sz val="16"/>
      <color indexed="18"/>
      <name val="Tahoma"/>
      <family val="2"/>
    </font>
    <font>
      <b/>
      <sz val="12"/>
      <color indexed="18"/>
      <name val="Tahoma"/>
      <family val="2"/>
    </font>
    <font>
      <sz val="10"/>
      <name val="Arial"/>
      <family val="2"/>
    </font>
    <font>
      <sz val="8"/>
      <color indexed="9"/>
      <name val="Arial"/>
      <family val="2"/>
    </font>
    <font>
      <b/>
      <sz val="8"/>
      <name val="Arial"/>
      <family val="2"/>
    </font>
    <font>
      <sz val="10"/>
      <color theme="0"/>
      <name val="Arial"/>
      <family val="2"/>
    </font>
    <font>
      <sz val="8"/>
      <color theme="0"/>
      <name val="Arial"/>
      <family val="2"/>
    </font>
    <font>
      <sz val="8"/>
      <color indexed="8"/>
      <name val="Calibri"/>
      <family val="2"/>
    </font>
    <font>
      <sz val="8"/>
      <name val="Arial"/>
      <family val="2"/>
    </font>
    <font>
      <sz val="8"/>
      <color indexed="81"/>
      <name val="Tahoma"/>
      <family val="2"/>
    </font>
    <font>
      <b/>
      <sz val="8"/>
      <color indexed="81"/>
      <name val="Tahoma"/>
      <family val="2"/>
    </font>
    <font>
      <sz val="10"/>
      <color theme="1"/>
      <name val="Arial"/>
      <family val="2"/>
    </font>
    <font>
      <b/>
      <sz val="10"/>
      <color rgb="FF002060"/>
      <name val="Arial"/>
      <family val="2"/>
    </font>
    <font>
      <b/>
      <sz val="10"/>
      <color rgb="FF002060"/>
      <name val="Tahoma"/>
      <family val="2"/>
    </font>
    <font>
      <sz val="10"/>
      <color theme="1"/>
      <name val="Tahoma"/>
      <family val="2"/>
    </font>
    <font>
      <b/>
      <sz val="12"/>
      <color indexed="9"/>
      <name val="Tahoma"/>
      <family val="2"/>
    </font>
    <font>
      <b/>
      <sz val="10"/>
      <color indexed="9"/>
      <name val="Tahoma"/>
      <family val="2"/>
    </font>
    <font>
      <b/>
      <sz val="10"/>
      <color indexed="18"/>
      <name val="Tahoma"/>
      <family val="2"/>
    </font>
    <font>
      <b/>
      <sz val="9"/>
      <color indexed="18"/>
      <name val="Tahoma"/>
      <family val="2"/>
    </font>
    <font>
      <sz val="10"/>
      <color indexed="18"/>
      <name val="Tahoma"/>
      <family val="2"/>
    </font>
    <font>
      <sz val="10"/>
      <color indexed="23"/>
      <name val="Tahoma"/>
      <family val="2"/>
    </font>
    <font>
      <sz val="10"/>
      <color rgb="FFFF0000"/>
      <name val="Tahoma"/>
      <family val="2"/>
    </font>
    <font>
      <b/>
      <sz val="10"/>
      <color rgb="FFFF0000"/>
      <name val="Tahoma"/>
      <family val="2"/>
    </font>
    <font>
      <b/>
      <sz val="8"/>
      <color rgb="FFFF0000"/>
      <name val="Tahoma"/>
      <family val="2"/>
    </font>
    <font>
      <b/>
      <sz val="10"/>
      <color indexed="9"/>
      <name val="Arial"/>
      <family val="2"/>
    </font>
    <font>
      <sz val="9"/>
      <color theme="1"/>
      <name val="Calibri"/>
      <family val="2"/>
      <scheme val="minor"/>
    </font>
    <font>
      <b/>
      <sz val="8"/>
      <color indexed="9"/>
      <name val="Tahoma"/>
      <family val="2"/>
    </font>
    <font>
      <b/>
      <sz val="8"/>
      <color indexed="18"/>
      <name val="Tahoma"/>
      <family val="2"/>
    </font>
    <font>
      <sz val="8"/>
      <color indexed="23"/>
      <name val="Tahoma"/>
      <family val="2"/>
    </font>
    <font>
      <sz val="8"/>
      <color indexed="18"/>
      <name val="Tahoma"/>
      <family val="2"/>
    </font>
    <font>
      <b/>
      <sz val="11"/>
      <color theme="0"/>
      <name val="Calibri"/>
      <family val="2"/>
      <scheme val="minor"/>
    </font>
    <font>
      <sz val="11"/>
      <color theme="0"/>
      <name val="Calibri"/>
      <family val="2"/>
      <scheme val="minor"/>
    </font>
    <font>
      <b/>
      <sz val="10"/>
      <color theme="0"/>
      <name val="Tahoma"/>
      <family val="2"/>
    </font>
    <font>
      <b/>
      <sz val="10"/>
      <name val="Arial"/>
      <family val="2"/>
    </font>
    <font>
      <b/>
      <sz val="10"/>
      <color theme="0"/>
      <name val="Arial"/>
      <family val="2"/>
    </font>
    <font>
      <sz val="10"/>
      <color indexed="48"/>
      <name val="Arial"/>
      <family val="2"/>
    </font>
    <font>
      <sz val="7"/>
      <name val="Arial"/>
      <family val="2"/>
    </font>
    <font>
      <b/>
      <sz val="10"/>
      <color theme="1"/>
      <name val="Arial"/>
      <family val="2"/>
    </font>
    <font>
      <b/>
      <sz val="10"/>
      <color indexed="10"/>
      <name val="Arial"/>
      <family val="2"/>
    </font>
    <font>
      <sz val="10"/>
      <color indexed="8"/>
      <name val="Arial"/>
      <family val="2"/>
    </font>
    <font>
      <b/>
      <sz val="8"/>
      <name val="Tahoma"/>
      <family val="2"/>
    </font>
    <font>
      <b/>
      <sz val="12"/>
      <color rgb="FFFF0000"/>
      <name val="Tahoma"/>
      <family val="2"/>
    </font>
    <font>
      <sz val="12"/>
      <color indexed="23"/>
      <name val="Tahoma"/>
      <family val="2"/>
    </font>
    <font>
      <sz val="10"/>
      <color indexed="19"/>
      <name val="Tahoma"/>
      <family val="2"/>
    </font>
    <font>
      <b/>
      <sz val="12"/>
      <color theme="0"/>
      <name val="Tahoma"/>
      <family val="2"/>
    </font>
    <font>
      <sz val="10"/>
      <color theme="0"/>
      <name val="Tahoma"/>
      <family val="2"/>
    </font>
    <font>
      <b/>
      <sz val="9"/>
      <color theme="0"/>
      <name val="Tahoma"/>
      <family val="2"/>
    </font>
    <font>
      <b/>
      <sz val="9"/>
      <color rgb="FFFF0000"/>
      <name val="Tahoma"/>
      <family val="2"/>
    </font>
    <font>
      <b/>
      <sz val="11"/>
      <color indexed="9"/>
      <name val="Tahoma"/>
      <family val="2"/>
    </font>
    <font>
      <b/>
      <sz val="11"/>
      <name val="Calibri"/>
      <family val="2"/>
      <scheme val="minor"/>
    </font>
    <font>
      <b/>
      <sz val="9"/>
      <color theme="1"/>
      <name val="Calibri"/>
      <family val="2"/>
      <scheme val="minor"/>
    </font>
    <font>
      <sz val="9"/>
      <name val="Calibri"/>
      <family val="2"/>
      <scheme val="minor"/>
    </font>
    <font>
      <b/>
      <sz val="9"/>
      <name val="Calibri"/>
      <family val="2"/>
      <scheme val="minor"/>
    </font>
    <font>
      <b/>
      <sz val="14"/>
      <color theme="1"/>
      <name val="Calibri"/>
      <family val="2"/>
      <scheme val="minor"/>
    </font>
    <font>
      <b/>
      <sz val="10"/>
      <name val="Book Antiqua"/>
      <family val="1"/>
    </font>
    <font>
      <sz val="10"/>
      <name val="Book Antiqua"/>
      <family val="1"/>
    </font>
    <font>
      <sz val="8"/>
      <color theme="1"/>
      <name val="Calibri"/>
      <family val="2"/>
      <scheme val="minor"/>
    </font>
    <font>
      <sz val="6"/>
      <color indexed="81"/>
      <name val="Tahoma"/>
      <family val="2"/>
    </font>
    <font>
      <sz val="7"/>
      <color indexed="81"/>
      <name val="Tahoma"/>
      <family val="2"/>
    </font>
    <font>
      <sz val="9"/>
      <color theme="0"/>
      <name val="Calibri"/>
      <family val="2"/>
      <scheme val="minor"/>
    </font>
    <font>
      <b/>
      <sz val="9"/>
      <color theme="0"/>
      <name val="Calibri"/>
      <family val="2"/>
      <scheme val="minor"/>
    </font>
    <font>
      <b/>
      <sz val="6"/>
      <color indexed="81"/>
      <name val="Tahoma"/>
      <family val="2"/>
    </font>
    <font>
      <b/>
      <sz val="10"/>
      <name val="Cambria"/>
      <family val="1"/>
    </font>
    <font>
      <sz val="10"/>
      <name val="Cambria"/>
      <family val="1"/>
    </font>
    <font>
      <strike/>
      <sz val="10"/>
      <color theme="4" tint="0.39997558519241921"/>
      <name val="Cambria"/>
      <family val="1"/>
    </font>
    <font>
      <strike/>
      <sz val="10"/>
      <color rgb="FFFF0000"/>
      <name val="Cambria"/>
      <family val="1"/>
    </font>
    <font>
      <b/>
      <strike/>
      <sz val="10"/>
      <color theme="4" tint="0.39997558519241921"/>
      <name val="Cambria"/>
      <family val="1"/>
    </font>
    <font>
      <sz val="10"/>
      <color theme="0"/>
      <name val="Cambria"/>
      <family val="1"/>
    </font>
    <font>
      <b/>
      <sz val="9"/>
      <name val="Arial"/>
      <family val="2"/>
    </font>
    <font>
      <sz val="9"/>
      <color theme="0"/>
      <name val="Arial"/>
      <family val="2"/>
    </font>
    <font>
      <b/>
      <sz val="9"/>
      <color theme="0"/>
      <name val="Arial"/>
      <family val="2"/>
    </font>
    <font>
      <sz val="9"/>
      <name val="Arial"/>
      <family val="2"/>
    </font>
    <font>
      <sz val="9"/>
      <name val="Calibri"/>
      <family val="2"/>
    </font>
    <font>
      <sz val="18"/>
      <name val="Arial"/>
      <family val="2"/>
    </font>
    <font>
      <sz val="9"/>
      <name val="Courier"/>
      <family val="3"/>
    </font>
    <font>
      <sz val="11"/>
      <color rgb="FFFF0000"/>
      <name val="Calibri"/>
      <family val="2"/>
      <scheme val="minor"/>
    </font>
    <font>
      <b/>
      <sz val="11"/>
      <color rgb="FFFF0000"/>
      <name val="Calibri"/>
      <family val="2"/>
      <scheme val="minor"/>
    </font>
    <font>
      <sz val="12"/>
      <color theme="0"/>
      <name val="Arial"/>
      <family val="2"/>
    </font>
    <font>
      <b/>
      <sz val="10"/>
      <color theme="0"/>
      <name val="Book Antiqua"/>
      <family val="1"/>
    </font>
    <font>
      <sz val="10"/>
      <color theme="0" tint="-0.14999847407452621"/>
      <name val="Arial"/>
      <family val="2"/>
    </font>
    <font>
      <b/>
      <sz val="6"/>
      <color indexed="10"/>
      <name val="Arial"/>
      <family val="2"/>
    </font>
    <font>
      <b/>
      <sz val="11"/>
      <color theme="0"/>
      <name val="Arial"/>
      <family val="2"/>
    </font>
    <font>
      <b/>
      <sz val="11.5"/>
      <name val="Arial"/>
      <family val="2"/>
    </font>
    <font>
      <b/>
      <sz val="11"/>
      <name val="Arial"/>
      <family val="2"/>
    </font>
    <font>
      <sz val="11.5"/>
      <name val="Arial"/>
      <family val="2"/>
    </font>
    <font>
      <b/>
      <sz val="14"/>
      <name val="Arial"/>
      <family val="2"/>
    </font>
    <font>
      <b/>
      <sz val="11.5"/>
      <color indexed="9"/>
      <name val="Arial"/>
      <family val="2"/>
    </font>
    <font>
      <sz val="11.5"/>
      <color rgb="FFFF0000"/>
      <name val="Arial"/>
      <family val="2"/>
    </font>
    <font>
      <b/>
      <u/>
      <sz val="11.5"/>
      <name val="Arial"/>
      <family val="2"/>
    </font>
    <font>
      <u/>
      <sz val="11.5"/>
      <name val="Arial"/>
      <family val="2"/>
    </font>
    <font>
      <u/>
      <sz val="11.5"/>
      <color rgb="FFFF0000"/>
      <name val="Arial"/>
      <family val="2"/>
    </font>
    <font>
      <b/>
      <sz val="11.5"/>
      <color rgb="FFFF0000"/>
      <name val="Arial"/>
      <family val="2"/>
    </font>
    <font>
      <sz val="11.5"/>
      <color indexed="9"/>
      <name val="Arial"/>
      <family val="2"/>
    </font>
    <font>
      <b/>
      <sz val="11.5"/>
      <color theme="0"/>
      <name val="Arial"/>
      <family val="2"/>
    </font>
    <font>
      <b/>
      <sz val="8.5"/>
      <name val="Arial"/>
      <family val="2"/>
    </font>
    <font>
      <sz val="11.5"/>
      <color theme="0"/>
      <name val="Arial"/>
      <family val="2"/>
    </font>
    <font>
      <sz val="11"/>
      <color rgb="FF002060"/>
      <name val="Calibri"/>
      <family val="2"/>
      <scheme val="minor"/>
    </font>
    <font>
      <b/>
      <sz val="12"/>
      <name val="Arial"/>
      <family val="2"/>
    </font>
    <font>
      <b/>
      <sz val="9"/>
      <color rgb="FF002060"/>
      <name val="Tahoma"/>
      <family val="2"/>
    </font>
    <font>
      <sz val="11"/>
      <name val="Arial"/>
      <family val="2"/>
    </font>
    <font>
      <sz val="11"/>
      <color rgb="FFFF0000"/>
      <name val="Arial"/>
      <family val="2"/>
    </font>
    <font>
      <sz val="10"/>
      <color rgb="FFFF0000"/>
      <name val="Arial"/>
      <family val="2"/>
    </font>
    <font>
      <sz val="12"/>
      <color rgb="FFFF0000"/>
      <name val="Arial"/>
      <family val="2"/>
    </font>
    <font>
      <b/>
      <sz val="11"/>
      <color theme="1"/>
      <name val="Calibri"/>
      <family val="2"/>
      <scheme val="minor"/>
    </font>
    <font>
      <sz val="11"/>
      <color theme="1"/>
      <name val="Arial"/>
      <family val="2"/>
    </font>
    <font>
      <sz val="10"/>
      <color theme="1"/>
      <name val="Calibri"/>
      <family val="2"/>
      <scheme val="minor"/>
    </font>
    <font>
      <sz val="11"/>
      <name val="Calibri"/>
      <family val="2"/>
      <scheme val="minor"/>
    </font>
    <font>
      <b/>
      <sz val="7.5"/>
      <color theme="1"/>
      <name val="Calibri"/>
      <family val="2"/>
    </font>
    <font>
      <sz val="7.5"/>
      <color theme="1"/>
      <name val="Calibri"/>
      <family val="2"/>
    </font>
    <font>
      <b/>
      <sz val="10"/>
      <color theme="1"/>
      <name val="Calibri"/>
      <family val="2"/>
    </font>
    <font>
      <b/>
      <sz val="9"/>
      <color theme="1"/>
      <name val="Calibri"/>
      <family val="2"/>
    </font>
    <font>
      <sz val="9"/>
      <color theme="1"/>
      <name val="Calibri"/>
      <family val="2"/>
    </font>
    <font>
      <b/>
      <sz val="11"/>
      <color theme="1"/>
      <name val="Calibri"/>
      <family val="2"/>
    </font>
    <font>
      <b/>
      <sz val="14"/>
      <color theme="1"/>
      <name val="Calibri"/>
      <family val="2"/>
    </font>
    <font>
      <sz val="9"/>
      <color rgb="FF1F497D"/>
      <name val="Calibri"/>
      <family val="2"/>
    </font>
    <font>
      <sz val="9"/>
      <color theme="1"/>
      <name val="Times New Roman"/>
      <family val="1"/>
    </font>
    <font>
      <b/>
      <sz val="12"/>
      <color rgb="FF002060"/>
      <name val="Arial"/>
      <family val="2"/>
    </font>
    <font>
      <b/>
      <sz val="8"/>
      <color rgb="FF002060"/>
      <name val="Tahoma"/>
      <family val="2"/>
    </font>
    <font>
      <b/>
      <sz val="10"/>
      <color theme="1"/>
      <name val="Calibri"/>
      <family val="2"/>
      <scheme val="minor"/>
    </font>
    <font>
      <b/>
      <sz val="9"/>
      <color rgb="FFFF0000"/>
      <name val="Calibri"/>
      <family val="2"/>
      <scheme val="minor"/>
    </font>
    <font>
      <b/>
      <sz val="10"/>
      <color indexed="8"/>
      <name val="Arial"/>
      <family val="2"/>
    </font>
    <font>
      <b/>
      <sz val="12"/>
      <color theme="1"/>
      <name val="Calibri"/>
      <family val="2"/>
      <scheme val="minor"/>
    </font>
    <font>
      <b/>
      <sz val="10"/>
      <color rgb="FFFF0000"/>
      <name val="Calibri"/>
      <family val="2"/>
      <scheme val="minor"/>
    </font>
    <font>
      <sz val="9"/>
      <color rgb="FFFF0000"/>
      <name val="Calibri"/>
      <family val="2"/>
      <scheme val="minor"/>
    </font>
    <font>
      <sz val="11"/>
      <color theme="0" tint="-0.14999847407452621"/>
      <name val="Calibri"/>
      <family val="2"/>
      <scheme val="minor"/>
    </font>
    <font>
      <sz val="12"/>
      <color rgb="FF002060"/>
      <name val="Arial"/>
      <family val="2"/>
    </font>
    <font>
      <b/>
      <sz val="11"/>
      <color rgb="FF002060"/>
      <name val="Arial"/>
      <family val="2"/>
    </font>
    <font>
      <b/>
      <sz val="11"/>
      <color rgb="FFFF0000"/>
      <name val="Arial"/>
      <family val="2"/>
    </font>
    <font>
      <sz val="11"/>
      <color rgb="FF002060"/>
      <name val="Webdings"/>
      <family val="1"/>
      <charset val="2"/>
    </font>
    <font>
      <sz val="11"/>
      <color rgb="FF002060"/>
      <name val="Arial"/>
      <family val="2"/>
    </font>
    <font>
      <b/>
      <u/>
      <sz val="11"/>
      <color rgb="FF002060"/>
      <name val="Arial"/>
      <family val="2"/>
    </font>
    <font>
      <b/>
      <sz val="11"/>
      <color indexed="9"/>
      <name val="Arial"/>
      <family val="2"/>
    </font>
    <font>
      <b/>
      <sz val="10"/>
      <color rgb="FFFF0000"/>
      <name val="Arial"/>
      <family val="2"/>
    </font>
    <font>
      <b/>
      <sz val="11"/>
      <color rgb="FFFF0000"/>
      <name val="Tahoma"/>
      <family val="2"/>
    </font>
    <font>
      <b/>
      <sz val="12"/>
      <color rgb="FFFF0000"/>
      <name val="Arial"/>
      <family val="2"/>
    </font>
    <font>
      <b/>
      <sz val="9"/>
      <color rgb="FFFF0000"/>
      <name val="Arial"/>
      <family val="2"/>
    </font>
    <font>
      <b/>
      <sz val="16"/>
      <color rgb="FF002060"/>
      <name val="Calibri"/>
      <family val="2"/>
      <scheme val="minor"/>
    </font>
    <font>
      <b/>
      <sz val="14"/>
      <name val="Calibri"/>
      <family val="2"/>
      <scheme val="minor"/>
    </font>
    <font>
      <sz val="9"/>
      <color indexed="81"/>
      <name val="Tahoma"/>
      <family val="2"/>
    </font>
    <font>
      <b/>
      <sz val="11"/>
      <name val="Tahoma"/>
      <family val="2"/>
    </font>
    <font>
      <b/>
      <sz val="10"/>
      <name val="Tahoma"/>
      <family val="2"/>
    </font>
    <font>
      <b/>
      <sz val="10"/>
      <name val="Calibri"/>
      <family val="2"/>
      <scheme val="minor"/>
    </font>
    <font>
      <b/>
      <sz val="11"/>
      <color rgb="FF000080"/>
      <name val="Calibri"/>
      <family val="2"/>
      <scheme val="minor"/>
    </font>
    <font>
      <b/>
      <sz val="10"/>
      <color rgb="FF000080"/>
      <name val="Tahoma"/>
      <family val="2"/>
    </font>
    <font>
      <b/>
      <sz val="11"/>
      <color theme="0"/>
      <name val="Tahoma"/>
      <family val="2"/>
    </font>
    <font>
      <b/>
      <sz val="11"/>
      <color indexed="18"/>
      <name val="Tahoma"/>
      <family val="2"/>
    </font>
    <font>
      <b/>
      <sz val="10"/>
      <color theme="0" tint="-4.9989318521683403E-2"/>
      <name val="Arial"/>
      <family val="2"/>
    </font>
    <font>
      <sz val="11"/>
      <color rgb="FFFFFFFF"/>
      <name val="Calibri"/>
      <family val="2"/>
      <scheme val="minor"/>
    </font>
    <font>
      <b/>
      <sz val="12"/>
      <name val="Tahoma"/>
      <family val="2"/>
    </font>
    <font>
      <b/>
      <sz val="11"/>
      <color rgb="FF002060"/>
      <name val="Tahoma"/>
      <family val="2"/>
    </font>
    <font>
      <b/>
      <sz val="12"/>
      <color rgb="FF002060"/>
      <name val="Tahoma"/>
      <family val="2"/>
    </font>
    <font>
      <sz val="11"/>
      <color rgb="FF000080"/>
      <name val="Calibri"/>
      <family val="2"/>
      <scheme val="minor"/>
    </font>
    <font>
      <b/>
      <sz val="11"/>
      <color rgb="FF000080"/>
      <name val="Tahoma"/>
      <family val="2"/>
    </font>
    <font>
      <b/>
      <sz val="14"/>
      <color rgb="FF000080"/>
      <name val="Calibri"/>
      <family val="2"/>
      <scheme val="minor"/>
    </font>
    <font>
      <b/>
      <sz val="10"/>
      <color rgb="FF000080"/>
      <name val="Calibri"/>
      <family val="2"/>
      <scheme val="minor"/>
    </font>
    <font>
      <sz val="11"/>
      <color rgb="FF000080"/>
      <name val="Arial"/>
      <family val="2"/>
    </font>
    <font>
      <sz val="10"/>
      <color rgb="FF000080"/>
      <name val="Tahoma"/>
      <family val="2"/>
    </font>
    <font>
      <b/>
      <sz val="12"/>
      <color rgb="FF000080"/>
      <name val="Tahoma"/>
      <family val="2"/>
    </font>
    <font>
      <b/>
      <sz val="18"/>
      <color indexed="18"/>
      <name val="Tahoma"/>
      <family val="2"/>
    </font>
    <font>
      <sz val="11"/>
      <color rgb="FFC00000"/>
      <name val="Calibri"/>
      <family val="2"/>
      <scheme val="minor"/>
    </font>
    <font>
      <b/>
      <sz val="14"/>
      <color theme="0"/>
      <name val="Calibri"/>
      <family val="2"/>
      <scheme val="minor"/>
    </font>
    <font>
      <b/>
      <sz val="8"/>
      <color theme="0"/>
      <name val="Calibri"/>
      <family val="2"/>
      <scheme val="minor"/>
    </font>
    <font>
      <b/>
      <sz val="11"/>
      <color theme="0" tint="-0.14999847407452621"/>
      <name val="Calibri"/>
      <family val="2"/>
      <scheme val="minor"/>
    </font>
    <font>
      <b/>
      <sz val="8.5"/>
      <color indexed="18"/>
      <name val="Tahoma"/>
      <family val="2"/>
    </font>
    <font>
      <sz val="11"/>
      <color rgb="FF000000"/>
      <name val="Calibri"/>
      <family val="2"/>
      <scheme val="minor"/>
    </font>
    <font>
      <sz val="8"/>
      <name val="Tahoma"/>
      <family val="2"/>
    </font>
    <font>
      <b/>
      <sz val="11"/>
      <color rgb="FF000000"/>
      <name val="Arial"/>
      <family val="2"/>
    </font>
    <font>
      <sz val="11"/>
      <color rgb="FF000000"/>
      <name val="Arial"/>
      <family val="2"/>
    </font>
    <font>
      <b/>
      <sz val="11"/>
      <color theme="1"/>
      <name val="Arial"/>
      <family val="2"/>
    </font>
    <font>
      <i/>
      <sz val="10"/>
      <name val="Arial"/>
      <family val="2"/>
    </font>
    <font>
      <b/>
      <vertAlign val="superscript"/>
      <sz val="11"/>
      <color indexed="9"/>
      <name val="Tahoma"/>
      <family val="2"/>
    </font>
    <font>
      <b/>
      <vertAlign val="superscript"/>
      <sz val="10"/>
      <color theme="0"/>
      <name val="Tahoma"/>
      <family val="2"/>
    </font>
    <font>
      <sz val="9"/>
      <color rgb="FFFF0000"/>
      <name val="Arial"/>
      <family val="2"/>
    </font>
    <font>
      <sz val="8"/>
      <color rgb="FFFF0000"/>
      <name val="Arial"/>
      <family val="2"/>
    </font>
    <font>
      <b/>
      <sz val="9"/>
      <name val="Tahoma"/>
      <family val="2"/>
    </font>
    <font>
      <b/>
      <sz val="12"/>
      <color theme="0"/>
      <name val="Arial"/>
      <family val="2"/>
    </font>
    <font>
      <b/>
      <u/>
      <sz val="12"/>
      <color rgb="FF002060"/>
      <name val="Arial"/>
      <family val="2"/>
    </font>
    <font>
      <sz val="10"/>
      <color rgb="FF002060"/>
      <name val="Arial"/>
      <family val="2"/>
    </font>
    <font>
      <b/>
      <sz val="10"/>
      <color theme="0"/>
      <name val="Calibri"/>
      <family val="2"/>
      <scheme val="minor"/>
    </font>
    <font>
      <sz val="10"/>
      <color theme="0"/>
      <name val="Calibri"/>
      <family val="2"/>
      <scheme val="minor"/>
    </font>
    <font>
      <sz val="10"/>
      <color rgb="FF0000CC"/>
      <name val="Tahoma"/>
      <family val="2"/>
    </font>
    <font>
      <b/>
      <sz val="12"/>
      <color theme="0"/>
      <name val="Calibri"/>
      <family val="2"/>
      <scheme val="minor"/>
    </font>
    <font>
      <b/>
      <u/>
      <sz val="10"/>
      <color theme="1"/>
      <name val="Calibri"/>
      <family val="2"/>
      <scheme val="minor"/>
    </font>
    <font>
      <b/>
      <sz val="10.5"/>
      <color theme="1"/>
      <name val="Calibri"/>
      <family val="2"/>
      <scheme val="minor"/>
    </font>
    <font>
      <b/>
      <u/>
      <sz val="11"/>
      <color theme="1"/>
      <name val="Calibri"/>
      <family val="2"/>
      <scheme val="minor"/>
    </font>
    <font>
      <b/>
      <sz val="16"/>
      <color theme="1"/>
      <name val="Calibri"/>
      <family val="2"/>
      <scheme val="minor"/>
    </font>
    <font>
      <u/>
      <sz val="11"/>
      <color theme="1"/>
      <name val="Calibri"/>
      <family val="2"/>
      <scheme val="minor"/>
    </font>
    <font>
      <b/>
      <sz val="9"/>
      <color indexed="81"/>
      <name val="Tahoma"/>
      <family val="2"/>
    </font>
    <font>
      <sz val="10"/>
      <color rgb="FFFFFFFF"/>
      <name val="Arial"/>
      <family val="2"/>
    </font>
    <font>
      <sz val="9"/>
      <color theme="1"/>
      <name val="Monotype Corsiva"/>
      <family val="4"/>
    </font>
    <font>
      <i/>
      <sz val="9"/>
      <color theme="1"/>
      <name val="Tahoma"/>
      <family val="2"/>
    </font>
    <font>
      <sz val="8"/>
      <color theme="1"/>
      <name val="Lucida Handwriting"/>
      <family val="4"/>
    </font>
    <font>
      <sz val="12"/>
      <color theme="1"/>
      <name val="Calibri"/>
      <family val="2"/>
      <scheme val="minor"/>
    </font>
    <font>
      <b/>
      <sz val="10.5"/>
      <name val="Calibri"/>
      <family val="2"/>
      <scheme val="minor"/>
    </font>
    <font>
      <b/>
      <sz val="16"/>
      <color theme="0"/>
      <name val="Calibri"/>
      <family val="2"/>
      <scheme val="minor"/>
    </font>
    <font>
      <b/>
      <sz val="16"/>
      <color rgb="FF8D0505"/>
      <name val="Calibri"/>
      <family val="2"/>
      <scheme val="minor"/>
    </font>
    <font>
      <b/>
      <u/>
      <sz val="11"/>
      <name val="Calibri"/>
      <family val="2"/>
      <scheme val="minor"/>
    </font>
    <font>
      <b/>
      <sz val="12"/>
      <color rgb="FFFF0000"/>
      <name val="Calibri"/>
      <family val="2"/>
      <scheme val="minor"/>
    </font>
    <font>
      <sz val="11"/>
      <color rgb="FF1F497D"/>
      <name val="Calibri"/>
      <family val="2"/>
      <scheme val="minor"/>
    </font>
    <font>
      <u/>
      <sz val="11"/>
      <color rgb="FFFF0000"/>
      <name val="Calibri"/>
      <family val="2"/>
      <scheme val="minor"/>
    </font>
    <font>
      <b/>
      <sz val="14"/>
      <color theme="3" tint="-0.499984740745262"/>
      <name val="Calibri"/>
      <family val="2"/>
      <scheme val="minor"/>
    </font>
    <font>
      <b/>
      <sz val="10"/>
      <color theme="1"/>
      <name val="Tahoma"/>
      <family val="2"/>
    </font>
    <font>
      <sz val="16"/>
      <color rgb="FF002060"/>
      <name val="Tahoma"/>
      <family val="2"/>
    </font>
    <font>
      <sz val="16"/>
      <name val="Tahoma"/>
      <family val="2"/>
    </font>
    <font>
      <sz val="11"/>
      <color rgb="FF002060"/>
      <name val="Tahoma"/>
      <family val="2"/>
    </font>
    <font>
      <sz val="12"/>
      <name val="Tahoma"/>
      <family val="2"/>
    </font>
    <font>
      <sz val="10"/>
      <name val="Tahoma"/>
      <family val="2"/>
    </font>
    <font>
      <b/>
      <sz val="8"/>
      <color rgb="FFFF0000"/>
      <name val="Calibri"/>
      <family val="2"/>
      <scheme val="minor"/>
    </font>
    <font>
      <sz val="6"/>
      <name val="Calibri"/>
      <family val="2"/>
      <scheme val="minor"/>
    </font>
    <font>
      <sz val="11"/>
      <name val="Tahoma"/>
      <family val="2"/>
    </font>
    <font>
      <sz val="8"/>
      <name val="Calibri"/>
      <family val="2"/>
      <scheme val="minor"/>
    </font>
    <font>
      <sz val="8"/>
      <color rgb="FF000000"/>
      <name val="Tahoma"/>
      <family val="2"/>
    </font>
    <font>
      <b/>
      <sz val="16"/>
      <color rgb="FF002060"/>
      <name val="Tahoma"/>
      <family val="2"/>
    </font>
  </fonts>
  <fills count="68">
    <fill>
      <patternFill patternType="none"/>
    </fill>
    <fill>
      <patternFill patternType="gray125"/>
    </fill>
    <fill>
      <patternFill patternType="solid">
        <fgColor indexed="9"/>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249977111117893"/>
        <bgColor indexed="64"/>
      </patternFill>
    </fill>
    <fill>
      <patternFill patternType="solid">
        <fgColor rgb="FF002060"/>
        <bgColor indexed="64"/>
      </patternFill>
    </fill>
    <fill>
      <patternFill patternType="solid">
        <fgColor rgb="FF92D050"/>
        <bgColor indexed="64"/>
      </patternFill>
    </fill>
    <fill>
      <patternFill patternType="solid">
        <fgColor theme="3" tint="0.39997558519241921"/>
        <bgColor indexed="64"/>
      </patternFill>
    </fill>
    <fill>
      <patternFill patternType="solid">
        <fgColor indexed="42"/>
        <bgColor indexed="64"/>
      </patternFill>
    </fill>
    <fill>
      <patternFill patternType="solid">
        <fgColor theme="6" tint="-0.499984740745262"/>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5" tint="-0.499984740745262"/>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theme="6"/>
        <bgColor indexed="64"/>
      </patternFill>
    </fill>
    <fill>
      <patternFill patternType="solid">
        <fgColor theme="5" tint="0.79998168889431442"/>
        <bgColor indexed="64"/>
      </patternFill>
    </fill>
    <fill>
      <patternFill patternType="solid">
        <fgColor indexed="22"/>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499984740745262"/>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0000"/>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FFFF"/>
        <bgColor indexed="64"/>
      </patternFill>
    </fill>
    <fill>
      <patternFill patternType="solid">
        <fgColor rgb="FF0000CC"/>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0070C0"/>
        <bgColor indexed="64"/>
      </patternFill>
    </fill>
    <fill>
      <patternFill patternType="solid">
        <fgColor theme="3" tint="-0.249977111117893"/>
        <bgColor indexed="64"/>
      </patternFill>
    </fill>
    <fill>
      <patternFill patternType="solid">
        <fgColor rgb="FF4C147A"/>
        <bgColor indexed="64"/>
      </patternFill>
    </fill>
    <fill>
      <patternFill patternType="solid">
        <fgColor rgb="FF009E47"/>
        <bgColor indexed="64"/>
      </patternFill>
    </fill>
    <fill>
      <patternFill patternType="solid">
        <fgColor rgb="FFCBB50F"/>
        <bgColor indexed="64"/>
      </patternFill>
    </fill>
    <fill>
      <patternFill patternType="solid">
        <fgColor rgb="FFED6511"/>
        <bgColor indexed="64"/>
      </patternFill>
    </fill>
    <fill>
      <patternFill patternType="solid">
        <fgColor rgb="FF8D0505"/>
        <bgColor indexed="64"/>
      </patternFill>
    </fill>
    <fill>
      <patternFill patternType="solid">
        <fgColor rgb="FF96004B"/>
        <bgColor indexed="64"/>
      </patternFill>
    </fill>
    <fill>
      <patternFill patternType="solid">
        <fgColor rgb="FF666699"/>
        <bgColor indexed="64"/>
      </patternFill>
    </fill>
    <fill>
      <patternFill patternType="solid">
        <fgColor rgb="FF777777"/>
        <bgColor indexed="64"/>
      </patternFill>
    </fill>
    <fill>
      <patternFill patternType="solid">
        <fgColor rgb="FF00B0F0"/>
        <bgColor indexed="64"/>
      </patternFill>
    </fill>
    <fill>
      <patternFill patternType="solid">
        <fgColor theme="3" tint="-0.499984740745262"/>
        <bgColor rgb="FF000000"/>
      </patternFill>
    </fill>
    <fill>
      <patternFill patternType="solid">
        <fgColor theme="3"/>
        <bgColor indexed="64"/>
      </patternFill>
    </fill>
    <fill>
      <patternFill patternType="solid">
        <fgColor rgb="FFFFCC00"/>
        <bgColor indexed="64"/>
      </patternFill>
    </fill>
    <fill>
      <patternFill patternType="solid">
        <fgColor rgb="FFFF99CC"/>
        <bgColor indexed="64"/>
      </patternFill>
    </fill>
    <fill>
      <patternFill patternType="solid">
        <fgColor rgb="FFFF9933"/>
        <bgColor indexed="64"/>
      </patternFill>
    </fill>
  </fills>
  <borders count="2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indexed="54"/>
      </bottom>
      <diagonal/>
    </border>
    <border>
      <left/>
      <right style="thin">
        <color indexed="54"/>
      </right>
      <top/>
      <bottom style="thin">
        <color indexed="5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theme="4" tint="-0.499984740745262"/>
      </bottom>
      <diagonal/>
    </border>
    <border>
      <left/>
      <right style="thin">
        <color indexed="64"/>
      </right>
      <top/>
      <bottom style="thin">
        <color indexed="54"/>
      </bottom>
      <diagonal/>
    </border>
    <border>
      <left style="thick">
        <color indexed="51"/>
      </left>
      <right/>
      <top/>
      <bottom/>
      <diagonal/>
    </border>
    <border>
      <left/>
      <right/>
      <top style="thin">
        <color indexed="54"/>
      </top>
      <bottom/>
      <diagonal/>
    </border>
    <border>
      <left/>
      <right style="thin">
        <color indexed="54"/>
      </right>
      <top/>
      <bottom style="thin">
        <color indexed="18"/>
      </bottom>
      <diagonal/>
    </border>
    <border>
      <left style="thin">
        <color auto="1"/>
      </left>
      <right/>
      <top/>
      <bottom style="thin">
        <color auto="1"/>
      </bottom>
      <diagonal/>
    </border>
    <border>
      <left/>
      <right style="thin">
        <color auto="1"/>
      </right>
      <top/>
      <bottom style="thin">
        <color auto="1"/>
      </bottom>
      <diagonal/>
    </border>
    <border>
      <left/>
      <right style="thin">
        <color indexed="64"/>
      </right>
      <top/>
      <bottom style="thin">
        <color indexed="64"/>
      </bottom>
      <diagonal/>
    </border>
    <border>
      <left style="thin">
        <color indexed="54"/>
      </left>
      <right style="thin">
        <color indexed="54"/>
      </right>
      <top/>
      <bottom style="thin">
        <color indexed="54"/>
      </bottom>
      <diagonal/>
    </border>
    <border>
      <left style="thin">
        <color indexed="54"/>
      </left>
      <right style="thin">
        <color indexed="54"/>
      </right>
      <top style="thin">
        <color indexed="54"/>
      </top>
      <bottom/>
      <diagonal/>
    </border>
    <border>
      <left/>
      <right style="thin">
        <color rgb="FF002060"/>
      </right>
      <top/>
      <bottom style="thin">
        <color rgb="FF002060"/>
      </bottom>
      <diagonal/>
    </border>
    <border>
      <left/>
      <right/>
      <top/>
      <bottom style="thin">
        <color rgb="FF002060"/>
      </bottom>
      <diagonal/>
    </border>
    <border>
      <left style="thin">
        <color indexed="64"/>
      </left>
      <right style="thin">
        <color indexed="64"/>
      </right>
      <top style="thin">
        <color indexed="64"/>
      </top>
      <bottom style="thin">
        <color indexed="64"/>
      </bottom>
      <diagonal/>
    </border>
    <border>
      <left/>
      <right/>
      <top/>
      <bottom style="thin">
        <color indexed="54"/>
      </bottom>
      <diagonal/>
    </border>
    <border>
      <left/>
      <right style="thin">
        <color indexed="64"/>
      </right>
      <top/>
      <bottom style="thin">
        <color indexed="54"/>
      </bottom>
      <diagonal/>
    </border>
    <border>
      <left style="thin">
        <color indexed="64"/>
      </left>
      <right/>
      <top/>
      <bottom style="thin">
        <color auto="1"/>
      </bottom>
      <diagonal/>
    </border>
    <border>
      <left/>
      <right/>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auto="1"/>
      </right>
      <top style="thin">
        <color auto="1"/>
      </top>
      <bottom style="thin">
        <color auto="1"/>
      </bottom>
      <diagonal/>
    </border>
    <border>
      <left style="hair">
        <color indexed="54"/>
      </left>
      <right/>
      <top style="hair">
        <color indexed="54"/>
      </top>
      <bottom style="hair">
        <color indexed="54"/>
      </bottom>
      <diagonal/>
    </border>
    <border>
      <left/>
      <right/>
      <top style="hair">
        <color indexed="54"/>
      </top>
      <bottom style="hair">
        <color indexed="54"/>
      </bottom>
      <diagonal/>
    </border>
    <border>
      <left/>
      <right style="thin">
        <color indexed="54"/>
      </right>
      <top/>
      <bottom style="thin">
        <color indexed="54"/>
      </bottom>
      <diagonal/>
    </border>
    <border>
      <left style="hair">
        <color indexed="54"/>
      </left>
      <right/>
      <top/>
      <bottom style="hair">
        <color indexed="54"/>
      </bottom>
      <diagonal/>
    </border>
    <border>
      <left/>
      <right/>
      <top/>
      <bottom style="hair">
        <color indexed="54"/>
      </bottom>
      <diagonal/>
    </border>
    <border>
      <left/>
      <right style="thin">
        <color indexed="54"/>
      </right>
      <top/>
      <bottom style="thin">
        <color indexed="64"/>
      </bottom>
      <diagonal/>
    </border>
    <border>
      <left style="thin">
        <color indexed="64"/>
      </left>
      <right style="thin">
        <color indexed="5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54"/>
      </left>
      <right/>
      <top/>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diagonal/>
    </border>
    <border>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style="thin">
        <color indexed="64"/>
      </bottom>
      <diagonal/>
    </border>
    <border>
      <left/>
      <right/>
      <top style="thin">
        <color indexed="64"/>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top style="thin">
        <color theme="0"/>
      </top>
      <bottom style="thin">
        <color theme="0" tint="-4.9989318521683403E-2"/>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double">
        <color indexed="64"/>
      </bottom>
      <diagonal/>
    </border>
    <border>
      <left style="thin">
        <color theme="0"/>
      </left>
      <right/>
      <top style="thin">
        <color theme="0"/>
      </top>
      <bottom style="thin">
        <color indexed="64"/>
      </bottom>
      <diagonal/>
    </border>
    <border>
      <left/>
      <right/>
      <top style="thin">
        <color theme="0"/>
      </top>
      <bottom style="thin">
        <color indexed="64"/>
      </bottom>
      <diagonal/>
    </border>
    <border>
      <left/>
      <right style="thin">
        <color theme="0"/>
      </right>
      <top style="thin">
        <color theme="0"/>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hair">
        <color indexed="64"/>
      </bottom>
      <diagonal/>
    </border>
    <border>
      <left/>
      <right/>
      <top style="thin">
        <color indexed="54"/>
      </top>
      <bottom/>
      <diagonal/>
    </border>
    <border>
      <left/>
      <right/>
      <top style="hair">
        <color indexed="54"/>
      </top>
      <bottom/>
      <diagonal/>
    </border>
    <border>
      <left/>
      <right style="thin">
        <color indexed="54"/>
      </right>
      <top style="thin">
        <color indexed="54"/>
      </top>
      <bottom/>
      <diagonal/>
    </border>
    <border>
      <left/>
      <right style="thin">
        <color indexed="5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18"/>
      </right>
      <top style="thin">
        <color indexed="18"/>
      </top>
      <bottom style="thin">
        <color indexed="18"/>
      </bottom>
      <diagonal/>
    </border>
    <border>
      <left/>
      <right/>
      <top style="thin">
        <color indexed="54"/>
      </top>
      <bottom style="thin">
        <color indexed="54"/>
      </bottom>
      <diagonal/>
    </border>
    <border>
      <left style="thin">
        <color theme="0"/>
      </left>
      <right style="thin">
        <color theme="0"/>
      </right>
      <top style="thin">
        <color theme="0"/>
      </top>
      <bottom style="thin">
        <color theme="0"/>
      </bottom>
      <diagonal/>
    </border>
    <border>
      <left/>
      <right style="thin">
        <color indexed="64"/>
      </right>
      <top style="hair">
        <color indexed="64"/>
      </top>
      <bottom/>
      <diagonal/>
    </border>
    <border>
      <left/>
      <right/>
      <top style="hair">
        <color indexed="64"/>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54"/>
      </bottom>
      <diagonal/>
    </border>
    <border>
      <left/>
      <right style="thin">
        <color indexed="64"/>
      </right>
      <top/>
      <bottom style="thin">
        <color indexed="54"/>
      </bottom>
      <diagonal/>
    </border>
    <border>
      <left style="hair">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18"/>
      </left>
      <right/>
      <top/>
      <bottom/>
      <diagonal/>
    </border>
    <border>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auto="1"/>
      </bottom>
      <diagonal/>
    </border>
    <border>
      <left/>
      <right/>
      <top/>
      <bottom style="thin">
        <color auto="1"/>
      </bottom>
      <diagonal/>
    </border>
    <border>
      <left/>
      <right style="thin">
        <color indexed="64"/>
      </right>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style="thin">
        <color indexed="64"/>
      </top>
      <bottom style="thin">
        <color indexed="64"/>
      </bottom>
      <diagonal/>
    </border>
    <border>
      <left/>
      <right/>
      <top style="medium">
        <color indexed="64"/>
      </top>
      <bottom style="hair">
        <color indexed="64"/>
      </bottom>
      <diagonal/>
    </border>
    <border>
      <left style="medium">
        <color indexed="64"/>
      </left>
      <right style="thin">
        <color indexed="64"/>
      </right>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54"/>
      </left>
      <right style="thin">
        <color indexed="54"/>
      </right>
      <top/>
      <bottom style="thin">
        <color indexed="54"/>
      </bottom>
      <diagonal/>
    </border>
    <border>
      <left/>
      <right/>
      <top/>
      <bottom style="thin">
        <color indexed="64"/>
      </bottom>
      <diagonal/>
    </border>
    <border>
      <left/>
      <right style="thin">
        <color indexed="64"/>
      </right>
      <top/>
      <bottom style="thin">
        <color indexed="64"/>
      </bottom>
      <diagonal/>
    </border>
    <border>
      <left/>
      <right/>
      <top style="thin">
        <color auto="1"/>
      </top>
      <bottom/>
      <diagonal/>
    </border>
    <border>
      <left/>
      <right style="thin">
        <color auto="1"/>
      </right>
      <top style="thin">
        <color auto="1"/>
      </top>
      <bottom/>
      <diagonal/>
    </border>
    <border>
      <left style="thin">
        <color indexed="54"/>
      </left>
      <right/>
      <top/>
      <bottom style="thin">
        <color indexed="54"/>
      </bottom>
      <diagonal/>
    </border>
    <border>
      <left/>
      <right/>
      <top/>
      <bottom style="thin">
        <color indexed="5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indexed="54"/>
      </left>
      <right style="thin">
        <color indexed="54"/>
      </right>
      <top style="thin">
        <color indexed="54"/>
      </top>
      <bottom/>
      <diagonal/>
    </border>
    <border>
      <left style="thin">
        <color theme="0" tint="-0.34998626667073579"/>
      </left>
      <right style="thin">
        <color theme="0" tint="-0.34998626667073579"/>
      </right>
      <top/>
      <bottom style="thin">
        <color theme="0" tint="-0.34998626667073579"/>
      </bottom>
      <diagonal/>
    </border>
    <border>
      <left style="hair">
        <color theme="0" tint="-0.34998626667073579"/>
      </left>
      <right style="hair">
        <color theme="0" tint="-0.499984740745262"/>
      </right>
      <top style="hair">
        <color theme="0" tint="-0.34998626667073579"/>
      </top>
      <bottom style="hair">
        <color theme="0" tint="-0.499984740745262"/>
      </bottom>
      <diagonal/>
    </border>
    <border>
      <left style="hair">
        <color theme="0" tint="-0.499984740745262"/>
      </left>
      <right style="hair">
        <color theme="0" tint="-0.34998626667073579"/>
      </right>
      <top style="hair">
        <color theme="0" tint="-0.34998626667073579"/>
      </top>
      <bottom style="hair">
        <color theme="0" tint="-0.499984740745262"/>
      </bottom>
      <diagonal/>
    </border>
    <border>
      <left style="hair">
        <color theme="0" tint="-0.34998626667073579"/>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34998626667073579"/>
      </right>
      <top style="hair">
        <color theme="0" tint="-0.499984740745262"/>
      </top>
      <bottom style="hair">
        <color theme="0" tint="-0.499984740745262"/>
      </bottom>
      <diagonal/>
    </border>
    <border>
      <left style="hair">
        <color theme="0" tint="-0.34998626667073579"/>
      </left>
      <right style="hair">
        <color theme="0" tint="-0.499984740745262"/>
      </right>
      <top style="hair">
        <color theme="0" tint="-0.499984740745262"/>
      </top>
      <bottom style="hair">
        <color theme="0" tint="-0.34998626667073579"/>
      </bottom>
      <diagonal/>
    </border>
    <border>
      <left style="hair">
        <color theme="0" tint="-0.499984740745262"/>
      </left>
      <right style="hair">
        <color theme="0" tint="-0.34998626667073579"/>
      </right>
      <top style="hair">
        <color theme="0" tint="-0.499984740745262"/>
      </top>
      <bottom style="hair">
        <color theme="0" tint="-0.34998626667073579"/>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style="hair">
        <color theme="0" tint="-0.499984740745262"/>
      </left>
      <right/>
      <top style="hair">
        <color theme="0" tint="-0.499984740745262"/>
      </top>
      <bottom style="hair">
        <color theme="0" tint="-0.499984740745262"/>
      </bottom>
      <diagonal/>
    </border>
    <border>
      <left style="thin">
        <color theme="0" tint="-0.34998626667073579"/>
      </left>
      <right style="thin">
        <color theme="0" tint="-0.34998626667073579"/>
      </right>
      <top style="hair">
        <color theme="0" tint="-0.34998626667073579"/>
      </top>
      <bottom style="hair">
        <color theme="0" tint="-0.34998626667073579"/>
      </bottom>
      <diagonal/>
    </border>
    <border>
      <left style="hair">
        <color indexed="54"/>
      </left>
      <right/>
      <top style="hair">
        <color theme="0" tint="-0.499984740745262"/>
      </top>
      <bottom style="hair">
        <color theme="0" tint="-0.499984740745262"/>
      </bottom>
      <diagonal/>
    </border>
    <border>
      <left style="hair">
        <color indexed="54"/>
      </left>
      <right/>
      <top/>
      <bottom/>
      <diagonal/>
    </border>
    <border>
      <left style="thin">
        <color auto="1"/>
      </left>
      <right style="thin">
        <color auto="1"/>
      </right>
      <top/>
      <bottom style="thin">
        <color auto="1"/>
      </bottom>
      <diagonal/>
    </border>
    <border>
      <left/>
      <right/>
      <top style="hair">
        <color theme="0" tint="-0.499984740745262"/>
      </top>
      <bottom style="hair">
        <color theme="0" tint="-0.499984740745262"/>
      </bottom>
      <diagonal/>
    </border>
    <border>
      <left style="thin">
        <color auto="1"/>
      </left>
      <right/>
      <top style="hair">
        <color theme="0" tint="-0.499984740745262"/>
      </top>
      <bottom style="hair">
        <color theme="0" tint="-0.499984740745262"/>
      </bottom>
      <diagonal/>
    </border>
    <border>
      <left/>
      <right style="thin">
        <color auto="1"/>
      </right>
      <top style="hair">
        <color theme="0" tint="-0.499984740745262"/>
      </top>
      <bottom style="hair">
        <color theme="0" tint="-0.499984740745262"/>
      </bottom>
      <diagonal/>
    </border>
    <border>
      <left/>
      <right style="thin">
        <color indexed="54"/>
      </right>
      <top style="thin">
        <color indexed="54"/>
      </top>
      <bottom/>
      <diagonal/>
    </border>
    <border>
      <left/>
      <right/>
      <top style="thin">
        <color indexed="54"/>
      </top>
      <bottom/>
      <diagonal/>
    </border>
    <border>
      <left style="thin">
        <color indexed="54"/>
      </left>
      <right style="thin">
        <color indexed="54"/>
      </right>
      <top style="thin">
        <color indexed="54"/>
      </top>
      <bottom/>
      <diagonal/>
    </border>
    <border>
      <left/>
      <right style="thin">
        <color theme="0" tint="-0.24994659260841701"/>
      </right>
      <top style="thin">
        <color theme="0" tint="-0.24994659260841701"/>
      </top>
      <bottom style="thin">
        <color theme="0" tint="-0.24994659260841701"/>
      </bottom>
      <diagonal/>
    </border>
    <border>
      <left/>
      <right style="hair">
        <color indexed="54"/>
      </right>
      <top/>
      <bottom/>
      <diagonal/>
    </border>
    <border>
      <left style="hair">
        <color indexed="54"/>
      </left>
      <right style="hair">
        <color indexed="54"/>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top style="thin">
        <color indexed="18"/>
      </top>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1" tint="0.499984740745262"/>
      </left>
      <right style="thin">
        <color theme="1" tint="0.499984740745262"/>
      </right>
      <top style="thin">
        <color theme="1" tint="0.499984740745262"/>
      </top>
      <bottom style="hair">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style="thin">
        <color rgb="FF666699"/>
      </right>
      <top/>
      <bottom/>
      <diagonal/>
    </border>
    <border>
      <left/>
      <right style="thin">
        <color indexed="54"/>
      </right>
      <top style="thin">
        <color indexed="54"/>
      </top>
      <bottom style="thin">
        <color indexed="54"/>
      </bottom>
      <diagonal/>
    </border>
    <border>
      <left style="thin">
        <color theme="6" tint="-0.24994659260841701"/>
      </left>
      <right style="thin">
        <color theme="6" tint="-0.24994659260841701"/>
      </right>
      <top style="thin">
        <color theme="6" tint="-0.24994659260841701"/>
      </top>
      <bottom/>
      <diagonal/>
    </border>
    <border>
      <left style="thin">
        <color indexed="54"/>
      </left>
      <right style="thin">
        <color indexed="54"/>
      </right>
      <top/>
      <bottom style="thin">
        <color indexed="18"/>
      </bottom>
      <diagonal/>
    </border>
    <border>
      <left/>
      <right style="thin">
        <color rgb="FF000080"/>
      </right>
      <top/>
      <bottom style="thin">
        <color rgb="FF000080"/>
      </bottom>
      <diagonal/>
    </border>
    <border>
      <left/>
      <right/>
      <top/>
      <bottom style="thin">
        <color rgb="FF000080"/>
      </bottom>
      <diagonal/>
    </border>
    <border>
      <left/>
      <right style="thin">
        <color indexed="54"/>
      </right>
      <top/>
      <bottom style="thin">
        <color indexed="18"/>
      </bottom>
      <diagonal/>
    </border>
    <border>
      <left/>
      <right/>
      <top style="thin">
        <color theme="4" tint="-0.499984740745262"/>
      </top>
      <bottom/>
      <diagonal/>
    </border>
    <border>
      <left style="hair">
        <color theme="0" tint="-0.34998626667073579"/>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style="thin">
        <color indexed="64"/>
      </bottom>
      <diagonal/>
    </border>
    <border>
      <left/>
      <right/>
      <top style="thin">
        <color indexed="54"/>
      </top>
      <bottom style="thin">
        <color indexed="5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002060"/>
      </left>
      <right/>
      <top/>
      <bottom/>
      <diagonal/>
    </border>
    <border>
      <left/>
      <right/>
      <top/>
      <bottom style="medium">
        <color theme="1" tint="0.34998626667073579"/>
      </bottom>
      <diagonal/>
    </border>
    <border>
      <left style="medium">
        <color theme="1" tint="0.34998626667073579"/>
      </left>
      <right style="medium">
        <color theme="1" tint="0.34998626667073579"/>
      </right>
      <top style="medium">
        <color theme="1" tint="0.34998626667073579"/>
      </top>
      <bottom style="medium">
        <color theme="1" tint="0.34998626667073579"/>
      </bottom>
      <diagonal/>
    </border>
    <border>
      <left style="medium">
        <color theme="1" tint="0.34998626667073579"/>
      </left>
      <right/>
      <top style="medium">
        <color theme="1" tint="0.34998626667073579"/>
      </top>
      <bottom style="medium">
        <color theme="1" tint="0.34998626667073579"/>
      </bottom>
      <diagonal/>
    </border>
    <border>
      <left/>
      <right/>
      <top style="medium">
        <color theme="1" tint="0.34998626667073579"/>
      </top>
      <bottom style="medium">
        <color theme="1" tint="0.34998626667073579"/>
      </bottom>
      <diagonal/>
    </border>
    <border>
      <left/>
      <right style="medium">
        <color theme="1" tint="0.34998626667073579"/>
      </right>
      <top style="medium">
        <color theme="1" tint="0.34998626667073579"/>
      </top>
      <bottom style="medium">
        <color theme="1" tint="0.34998626667073579"/>
      </bottom>
      <diagonal/>
    </border>
    <border>
      <left style="medium">
        <color indexed="64"/>
      </left>
      <right/>
      <top style="thin">
        <color indexed="64"/>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right style="thin">
        <color auto="1"/>
      </right>
      <top/>
      <bottom/>
      <diagonal/>
    </border>
    <border>
      <left/>
      <right style="thin">
        <color rgb="FF666699"/>
      </right>
      <top/>
      <bottom style="thin">
        <color rgb="FF666699"/>
      </bottom>
      <diagonal/>
    </border>
    <border>
      <left/>
      <right/>
      <top/>
      <bottom style="thin">
        <color rgb="FF666699"/>
      </bottom>
      <diagonal/>
    </border>
    <border>
      <left style="thin">
        <color rgb="FF666699"/>
      </left>
      <right style="thin">
        <color rgb="FF666699"/>
      </right>
      <top/>
      <bottom style="thin">
        <color rgb="FF666699"/>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s>
  <cellStyleXfs count="13">
    <xf numFmtId="0" fontId="0" fillId="0" borderId="0"/>
    <xf numFmtId="9" fontId="1" fillId="0" borderId="0" applyFont="0" applyFill="0" applyBorder="0" applyAlignment="0" applyProtection="0"/>
    <xf numFmtId="0" fontId="4" fillId="0" borderId="0"/>
    <xf numFmtId="165" fontId="4" fillId="0" borderId="0" applyFont="0" applyFill="0" applyBorder="0" applyAlignment="0" applyProtection="0"/>
    <xf numFmtId="166" fontId="4" fillId="0" borderId="0" applyFont="0" applyFill="0" applyBorder="0" applyAlignment="0" applyProtection="0"/>
    <xf numFmtId="0" fontId="33" fillId="37" borderId="0" applyNumberFormat="0" applyBorder="0" applyAlignment="0" applyProtection="0"/>
    <xf numFmtId="9" fontId="4" fillId="0" borderId="0" applyFont="0" applyFill="0" applyBorder="0" applyAlignment="0" applyProtection="0"/>
    <xf numFmtId="177" fontId="1" fillId="0" borderId="0"/>
    <xf numFmtId="165" fontId="4" fillId="0" borderId="0" applyFont="0" applyFill="0" applyBorder="0" applyAlignment="0" applyProtection="0"/>
    <xf numFmtId="166" fontId="4" fillId="0" borderId="0" applyFont="0" applyFill="0" applyBorder="0" applyAlignment="0" applyProtection="0"/>
    <xf numFmtId="0" fontId="4" fillId="0" borderId="0"/>
    <xf numFmtId="0" fontId="1" fillId="0" borderId="0"/>
    <xf numFmtId="165" fontId="1" fillId="0" borderId="0" applyFont="0" applyFill="0" applyBorder="0" applyAlignment="0" applyProtection="0"/>
  </cellStyleXfs>
  <cellXfs count="2168">
    <xf numFmtId="0" fontId="0" fillId="0" borderId="0" xfId="0"/>
    <xf numFmtId="0" fontId="4" fillId="0" borderId="0" xfId="2"/>
    <xf numFmtId="0" fontId="21" fillId="2" borderId="15" xfId="0" applyFont="1" applyFill="1" applyBorder="1" applyProtection="1"/>
    <xf numFmtId="0" fontId="17" fillId="7" borderId="0" xfId="0" applyFont="1" applyFill="1" applyBorder="1" applyAlignment="1" applyProtection="1">
      <alignment horizontal="left"/>
    </xf>
    <xf numFmtId="0" fontId="23" fillId="0" borderId="0" xfId="0" applyFont="1" applyFill="1" applyBorder="1" applyAlignment="1" applyProtection="1"/>
    <xf numFmtId="0" fontId="22" fillId="0" borderId="0" xfId="0" applyFont="1" applyFill="1" applyBorder="1" applyAlignment="1" applyProtection="1"/>
    <xf numFmtId="0" fontId="25" fillId="7" borderId="0" xfId="0" applyFont="1" applyFill="1" applyBorder="1" applyAlignment="1" applyProtection="1">
      <alignment wrapText="1"/>
    </xf>
    <xf numFmtId="10" fontId="3" fillId="7" borderId="0" xfId="3" applyNumberFormat="1" applyFont="1" applyFill="1" applyBorder="1" applyAlignment="1" applyProtection="1">
      <alignment vertical="center" shrinkToFit="1"/>
    </xf>
    <xf numFmtId="0" fontId="23" fillId="7" borderId="0" xfId="0" applyFont="1" applyFill="1" applyBorder="1" applyAlignment="1" applyProtection="1"/>
    <xf numFmtId="0" fontId="18" fillId="7" borderId="0" xfId="0" applyFont="1" applyFill="1" applyBorder="1" applyAlignment="1" applyProtection="1">
      <alignment horizontal="left"/>
    </xf>
    <xf numFmtId="165" fontId="19" fillId="0" borderId="0" xfId="3" applyNumberFormat="1" applyFont="1" applyFill="1" applyBorder="1" applyAlignment="1" applyProtection="1">
      <alignment vertical="center" shrinkToFit="1"/>
    </xf>
    <xf numFmtId="0" fontId="18" fillId="0" borderId="0" xfId="0" applyFont="1" applyFill="1" applyBorder="1" applyAlignment="1" applyProtection="1">
      <alignment horizontal="left" wrapText="1"/>
    </xf>
    <xf numFmtId="0" fontId="18" fillId="7" borderId="0" xfId="0" applyFont="1" applyFill="1" applyBorder="1" applyAlignment="1" applyProtection="1">
      <alignment horizontal="left" wrapText="1"/>
    </xf>
    <xf numFmtId="10" fontId="19" fillId="7" borderId="0" xfId="3" applyNumberFormat="1" applyFont="1" applyFill="1" applyBorder="1" applyAlignment="1" applyProtection="1">
      <alignment vertical="center" shrinkToFit="1"/>
    </xf>
    <xf numFmtId="0" fontId="28" fillId="13" borderId="22" xfId="0" applyFont="1" applyFill="1" applyBorder="1" applyAlignment="1" applyProtection="1">
      <alignment horizontal="center" vertical="center"/>
    </xf>
    <xf numFmtId="0" fontId="18" fillId="13" borderId="0" xfId="0" applyFont="1" applyFill="1" applyBorder="1" applyAlignment="1" applyProtection="1">
      <alignment horizontal="left" wrapText="1"/>
    </xf>
    <xf numFmtId="0" fontId="18" fillId="13" borderId="16" xfId="0" applyFont="1" applyFill="1" applyBorder="1" applyAlignment="1" applyProtection="1">
      <alignment horizontal="left" wrapText="1"/>
    </xf>
    <xf numFmtId="4" fontId="4" fillId="2" borderId="25" xfId="0" applyNumberFormat="1" applyFont="1" applyFill="1" applyBorder="1" applyProtection="1">
      <protection hidden="1"/>
    </xf>
    <xf numFmtId="2" fontId="4" fillId="2" borderId="25" xfId="0" applyNumberFormat="1" applyFont="1" applyFill="1" applyBorder="1" applyProtection="1">
      <protection hidden="1"/>
    </xf>
    <xf numFmtId="2" fontId="4" fillId="2" borderId="25" xfId="0" applyNumberFormat="1" applyFont="1" applyFill="1" applyBorder="1" applyAlignment="1" applyProtection="1">
      <alignment horizontal="right"/>
      <protection hidden="1"/>
    </xf>
    <xf numFmtId="4" fontId="35" fillId="2" borderId="25" xfId="0" applyNumberFormat="1" applyFont="1" applyFill="1" applyBorder="1" applyProtection="1">
      <protection hidden="1"/>
    </xf>
    <xf numFmtId="0" fontId="29" fillId="2" borderId="0" xfId="0" applyFont="1" applyFill="1" applyBorder="1" applyAlignment="1" applyProtection="1">
      <alignment horizontal="left"/>
    </xf>
    <xf numFmtId="0" fontId="31" fillId="2" borderId="0" xfId="0" applyFont="1" applyFill="1" applyBorder="1" applyAlignment="1" applyProtection="1">
      <alignment vertical="top" wrapText="1"/>
    </xf>
    <xf numFmtId="0" fontId="31" fillId="2" borderId="0" xfId="0" applyFont="1" applyFill="1" applyBorder="1" applyAlignment="1" applyProtection="1">
      <alignment horizontal="left" vertical="top" wrapText="1"/>
    </xf>
    <xf numFmtId="0" fontId="21" fillId="2" borderId="0" xfId="0" applyFont="1" applyFill="1" applyBorder="1" applyProtection="1"/>
    <xf numFmtId="0" fontId="19" fillId="2" borderId="0" xfId="0" applyFont="1" applyFill="1" applyBorder="1" applyAlignment="1" applyProtection="1">
      <alignment horizontal="right" vertical="top"/>
    </xf>
    <xf numFmtId="0" fontId="44" fillId="2" borderId="0" xfId="0" applyFont="1" applyFill="1" applyBorder="1" applyProtection="1"/>
    <xf numFmtId="0" fontId="45" fillId="0" borderId="0" xfId="0" applyFont="1" applyFill="1" applyBorder="1" applyProtection="1"/>
    <xf numFmtId="0" fontId="21" fillId="2" borderId="0" xfId="0" applyFont="1" applyFill="1" applyBorder="1" applyAlignment="1" applyProtection="1">
      <alignment horizontal="left" vertical="top"/>
    </xf>
    <xf numFmtId="0" fontId="23" fillId="0" borderId="0" xfId="0" applyFont="1" applyFill="1" applyBorder="1" applyProtection="1"/>
    <xf numFmtId="0" fontId="46" fillId="2" borderId="0" xfId="0" applyFont="1" applyFill="1" applyBorder="1" applyAlignment="1" applyProtection="1">
      <alignment horizontal="left" vertical="center"/>
    </xf>
    <xf numFmtId="0" fontId="47" fillId="2" borderId="0" xfId="0" applyFont="1" applyFill="1" applyBorder="1" applyProtection="1"/>
    <xf numFmtId="165" fontId="46" fillId="7" borderId="0" xfId="3" applyFont="1" applyFill="1" applyBorder="1" applyAlignment="1" applyProtection="1">
      <alignment vertical="center" shrinkToFit="1"/>
    </xf>
    <xf numFmtId="0" fontId="31" fillId="0" borderId="0" xfId="0" applyFont="1" applyFill="1" applyBorder="1" applyAlignment="1" applyProtection="1"/>
    <xf numFmtId="0" fontId="30" fillId="0" borderId="0" xfId="0" applyFont="1" applyFill="1" applyBorder="1" applyProtection="1"/>
    <xf numFmtId="0" fontId="29" fillId="0" borderId="0" xfId="0" applyFont="1" applyFill="1" applyBorder="1" applyAlignment="1" applyProtection="1">
      <alignment horizontal="center" vertical="top"/>
    </xf>
    <xf numFmtId="0" fontId="46" fillId="2" borderId="0" xfId="0" applyFont="1" applyFill="1" applyBorder="1" applyAlignment="1" applyProtection="1"/>
    <xf numFmtId="165" fontId="48" fillId="2" borderId="0" xfId="0" applyNumberFormat="1" applyFont="1" applyFill="1" applyBorder="1" applyAlignment="1" applyProtection="1">
      <alignment horizontal="left" vertical="top"/>
    </xf>
    <xf numFmtId="165" fontId="29" fillId="0" borderId="0" xfId="3" applyFont="1" applyFill="1" applyBorder="1" applyAlignment="1" applyProtection="1"/>
    <xf numFmtId="165" fontId="48" fillId="2" borderId="0" xfId="0" applyNumberFormat="1" applyFont="1" applyFill="1" applyBorder="1" applyAlignment="1" applyProtection="1">
      <alignment horizontal="center" vertical="center"/>
    </xf>
    <xf numFmtId="0" fontId="22" fillId="2" borderId="0" xfId="0" applyFont="1" applyFill="1" applyBorder="1" applyProtection="1"/>
    <xf numFmtId="0" fontId="22" fillId="2" borderId="0" xfId="0" applyFont="1" applyFill="1" applyBorder="1" applyAlignment="1" applyProtection="1"/>
    <xf numFmtId="0" fontId="44" fillId="2" borderId="0" xfId="0" applyFont="1" applyFill="1" applyBorder="1" applyAlignment="1" applyProtection="1"/>
    <xf numFmtId="49" fontId="3" fillId="2" borderId="0" xfId="0" applyNumberFormat="1" applyFont="1" applyFill="1" applyBorder="1" applyAlignment="1" applyProtection="1">
      <alignment horizontal="center"/>
    </xf>
    <xf numFmtId="14" fontId="3" fillId="2" borderId="0" xfId="0" applyNumberFormat="1" applyFont="1" applyFill="1" applyBorder="1" applyAlignment="1" applyProtection="1">
      <alignment horizontal="center"/>
    </xf>
    <xf numFmtId="0" fontId="19" fillId="2" borderId="35" xfId="0" applyFont="1" applyFill="1" applyBorder="1" applyAlignment="1" applyProtection="1">
      <alignment horizontal="left"/>
      <protection locked="0"/>
    </xf>
    <xf numFmtId="0" fontId="17" fillId="13" borderId="0" xfId="0" applyFont="1" applyFill="1" applyBorder="1" applyAlignment="1" applyProtection="1">
      <alignment horizontal="left"/>
    </xf>
    <xf numFmtId="0" fontId="24" fillId="7" borderId="0" xfId="0" applyFont="1" applyFill="1" applyBorder="1" applyProtection="1"/>
    <xf numFmtId="0" fontId="0" fillId="7" borderId="0" xfId="0" applyFill="1"/>
    <xf numFmtId="0" fontId="86" fillId="0" borderId="0" xfId="2" applyFont="1" applyFill="1"/>
    <xf numFmtId="0" fontId="84" fillId="2" borderId="9" xfId="2" applyFont="1" applyFill="1" applyBorder="1" applyAlignment="1">
      <alignment horizontal="left"/>
    </xf>
    <xf numFmtId="0" fontId="84" fillId="2" borderId="9" xfId="2" applyFont="1" applyFill="1" applyBorder="1" applyAlignment="1">
      <alignment horizontal="center"/>
    </xf>
    <xf numFmtId="0" fontId="84" fillId="2" borderId="45" xfId="2" applyFont="1" applyFill="1" applyBorder="1" applyAlignment="1">
      <alignment horizontal="center"/>
    </xf>
    <xf numFmtId="0" fontId="35" fillId="2" borderId="31" xfId="2" applyFont="1" applyFill="1" applyBorder="1" applyAlignment="1">
      <alignment horizontal="center" vertical="center" wrapText="1"/>
    </xf>
    <xf numFmtId="0" fontId="35" fillId="2" borderId="46" xfId="2" applyFont="1" applyFill="1" applyBorder="1" applyAlignment="1">
      <alignment horizontal="center" vertical="center" wrapText="1"/>
    </xf>
    <xf numFmtId="0" fontId="86" fillId="2" borderId="47" xfId="2" applyFont="1" applyFill="1" applyBorder="1" applyAlignment="1">
      <alignment horizontal="center"/>
    </xf>
    <xf numFmtId="0" fontId="86" fillId="2" borderId="0" xfId="2" applyFont="1" applyFill="1" applyBorder="1" applyAlignment="1">
      <alignment horizontal="left"/>
    </xf>
    <xf numFmtId="0" fontId="86" fillId="2" borderId="6" xfId="2" applyFont="1" applyFill="1" applyBorder="1" applyAlignment="1">
      <alignment horizontal="center"/>
    </xf>
    <xf numFmtId="0" fontId="86" fillId="2" borderId="0" xfId="2" applyFont="1" applyFill="1" applyBorder="1" applyAlignment="1">
      <alignment horizontal="center"/>
    </xf>
    <xf numFmtId="0" fontId="86" fillId="2" borderId="41" xfId="2" applyFont="1" applyFill="1" applyBorder="1"/>
    <xf numFmtId="0" fontId="86" fillId="2" borderId="6" xfId="2" applyFont="1" applyFill="1" applyBorder="1"/>
    <xf numFmtId="0" fontId="86" fillId="2" borderId="0" xfId="2" applyFont="1" applyFill="1" applyBorder="1"/>
    <xf numFmtId="4" fontId="86" fillId="2" borderId="0" xfId="2" applyNumberFormat="1" applyFont="1" applyFill="1" applyBorder="1"/>
    <xf numFmtId="0" fontId="86" fillId="2" borderId="7" xfId="2" applyFont="1" applyFill="1" applyBorder="1"/>
    <xf numFmtId="0" fontId="86" fillId="2" borderId="6" xfId="2" applyFont="1" applyFill="1" applyBorder="1" applyAlignment="1">
      <alignment horizontal="right"/>
    </xf>
    <xf numFmtId="0" fontId="86" fillId="2" borderId="8" xfId="2" applyFont="1" applyFill="1" applyBorder="1"/>
    <xf numFmtId="0" fontId="86" fillId="2" borderId="0" xfId="2" applyFont="1" applyFill="1" applyBorder="1" applyAlignment="1">
      <alignment horizontal="right"/>
    </xf>
    <xf numFmtId="0" fontId="86" fillId="0" borderId="0" xfId="2" applyFont="1" applyFill="1" applyBorder="1" applyAlignment="1" applyProtection="1">
      <alignment horizontal="left"/>
    </xf>
    <xf numFmtId="0" fontId="89" fillId="2" borderId="6" xfId="2" applyFont="1" applyFill="1" applyBorder="1"/>
    <xf numFmtId="0" fontId="89" fillId="2" borderId="0" xfId="2" applyFont="1" applyFill="1" applyBorder="1"/>
    <xf numFmtId="10" fontId="91" fillId="2" borderId="0" xfId="2" applyNumberFormat="1" applyFont="1" applyFill="1" applyBorder="1" applyAlignment="1">
      <alignment horizontal="right"/>
    </xf>
    <xf numFmtId="0" fontId="86" fillId="0" borderId="0" xfId="2" applyFont="1" applyFill="1" applyBorder="1" applyAlignment="1">
      <alignment horizontal="right"/>
    </xf>
    <xf numFmtId="4" fontId="91" fillId="0" borderId="0" xfId="2" applyNumberFormat="1" applyFont="1" applyFill="1" applyBorder="1" applyAlignment="1">
      <alignment horizontal="right"/>
    </xf>
    <xf numFmtId="10" fontId="86" fillId="2" borderId="7" xfId="2" applyNumberFormat="1" applyFont="1" applyFill="1" applyBorder="1"/>
    <xf numFmtId="10" fontId="91" fillId="2" borderId="0" xfId="2" applyNumberFormat="1" applyFont="1" applyFill="1" applyBorder="1" applyAlignment="1">
      <alignment horizontal="center"/>
    </xf>
    <xf numFmtId="173" fontId="86" fillId="2" borderId="7" xfId="6" applyNumberFormat="1" applyFont="1" applyFill="1" applyBorder="1"/>
    <xf numFmtId="0" fontId="89" fillId="2" borderId="7" xfId="2" applyFont="1" applyFill="1" applyBorder="1"/>
    <xf numFmtId="0" fontId="84" fillId="0" borderId="0" xfId="2" applyFont="1" applyBorder="1" applyAlignment="1"/>
    <xf numFmtId="0" fontId="91" fillId="2" borderId="0" xfId="2" applyFont="1" applyFill="1" applyBorder="1" applyAlignment="1">
      <alignment horizontal="right"/>
    </xf>
    <xf numFmtId="0" fontId="92" fillId="2" borderId="0" xfId="2" applyFont="1" applyFill="1" applyBorder="1" applyAlignment="1">
      <alignment horizontal="center"/>
    </xf>
    <xf numFmtId="4" fontId="92" fillId="2" borderId="0" xfId="2" applyNumberFormat="1" applyFont="1" applyFill="1" applyBorder="1" applyAlignment="1">
      <alignment horizontal="right"/>
    </xf>
    <xf numFmtId="10" fontId="92" fillId="2" borderId="7" xfId="2" applyNumberFormat="1" applyFont="1" applyFill="1" applyBorder="1" applyAlignment="1">
      <alignment horizontal="center"/>
    </xf>
    <xf numFmtId="173" fontId="91" fillId="2" borderId="0" xfId="6" applyNumberFormat="1" applyFont="1" applyFill="1" applyBorder="1" applyAlignment="1">
      <alignment horizontal="center"/>
    </xf>
    <xf numFmtId="4" fontId="86" fillId="2" borderId="0" xfId="2" applyNumberFormat="1" applyFont="1" applyFill="1" applyBorder="1" applyAlignment="1">
      <alignment horizontal="right"/>
    </xf>
    <xf numFmtId="0" fontId="89" fillId="0" borderId="0" xfId="2" applyFont="1" applyBorder="1"/>
    <xf numFmtId="4" fontId="93" fillId="2" borderId="0" xfId="2" applyNumberFormat="1" applyFont="1" applyFill="1" applyBorder="1" applyAlignment="1">
      <alignment horizontal="right"/>
    </xf>
    <xf numFmtId="0" fontId="92" fillId="2" borderId="7" xfId="2" applyFont="1" applyFill="1" applyBorder="1" applyAlignment="1">
      <alignment horizontal="center"/>
    </xf>
    <xf numFmtId="2" fontId="86" fillId="2" borderId="0" xfId="2" applyNumberFormat="1" applyFont="1" applyFill="1" applyBorder="1" applyAlignment="1">
      <alignment horizontal="right"/>
    </xf>
    <xf numFmtId="2" fontId="86" fillId="2" borderId="0" xfId="2" applyNumberFormat="1" applyFont="1" applyFill="1" applyBorder="1"/>
    <xf numFmtId="0" fontId="86" fillId="0" borderId="0" xfId="2" applyFont="1" applyFill="1" applyBorder="1"/>
    <xf numFmtId="0" fontId="84" fillId="2" borderId="0" xfId="2" applyFont="1" applyFill="1" applyBorder="1" applyAlignment="1">
      <alignment horizontal="left"/>
    </xf>
    <xf numFmtId="2" fontId="91" fillId="2" borderId="0" xfId="2" applyNumberFormat="1" applyFont="1" applyFill="1" applyBorder="1" applyAlignment="1">
      <alignment horizontal="right"/>
    </xf>
    <xf numFmtId="10" fontId="86" fillId="2" borderId="7" xfId="2" applyNumberFormat="1" applyFont="1" applyFill="1" applyBorder="1" applyAlignment="1">
      <alignment horizontal="left"/>
    </xf>
    <xf numFmtId="0" fontId="94" fillId="0" borderId="0" xfId="2" applyFont="1" applyFill="1" applyBorder="1" applyAlignment="1">
      <alignment horizontal="left"/>
    </xf>
    <xf numFmtId="2" fontId="94" fillId="0" borderId="0" xfId="2" applyNumberFormat="1" applyFont="1" applyFill="1" applyBorder="1"/>
    <xf numFmtId="2" fontId="94" fillId="0" borderId="0" xfId="2" applyNumberFormat="1" applyFont="1" applyFill="1" applyBorder="1" applyAlignment="1">
      <alignment horizontal="right"/>
    </xf>
    <xf numFmtId="4" fontId="84" fillId="2" borderId="0" xfId="2" applyNumberFormat="1" applyFont="1" applyFill="1" applyBorder="1" applyAlignment="1">
      <alignment horizontal="right"/>
    </xf>
    <xf numFmtId="2" fontId="86" fillId="7" borderId="0" xfId="2" applyNumberFormat="1" applyFont="1" applyFill="1" applyBorder="1"/>
    <xf numFmtId="0" fontId="86" fillId="7" borderId="0" xfId="2" applyFont="1" applyFill="1" applyBorder="1"/>
    <xf numFmtId="3" fontId="86" fillId="2" borderId="0" xfId="2" applyNumberFormat="1" applyFont="1" applyFill="1" applyBorder="1"/>
    <xf numFmtId="174" fontId="84" fillId="2" borderId="0" xfId="2" applyNumberFormat="1" applyFont="1" applyFill="1" applyBorder="1" applyAlignment="1">
      <alignment horizontal="right"/>
    </xf>
    <xf numFmtId="10" fontId="86" fillId="2" borderId="0" xfId="2" applyNumberFormat="1" applyFont="1" applyFill="1" applyBorder="1"/>
    <xf numFmtId="10" fontId="89" fillId="7" borderId="0" xfId="2" applyNumberFormat="1" applyFont="1" applyFill="1" applyBorder="1" applyAlignment="1">
      <alignment horizontal="right"/>
    </xf>
    <xf numFmtId="10" fontId="86" fillId="2" borderId="0" xfId="2" applyNumberFormat="1" applyFont="1" applyFill="1" applyBorder="1" applyAlignment="1">
      <alignment horizontal="right"/>
    </xf>
    <xf numFmtId="0" fontId="84" fillId="7" borderId="54" xfId="2" applyFont="1" applyFill="1" applyBorder="1" applyAlignment="1"/>
    <xf numFmtId="0" fontId="84" fillId="7" borderId="7" xfId="2" applyFont="1" applyFill="1" applyBorder="1" applyAlignment="1"/>
    <xf numFmtId="4" fontId="86" fillId="0" borderId="0" xfId="2" applyNumberFormat="1" applyFont="1" applyFill="1" applyBorder="1" applyProtection="1">
      <protection hidden="1"/>
    </xf>
    <xf numFmtId="4" fontId="86" fillId="7" borderId="0" xfId="2" applyNumberFormat="1" applyFont="1" applyFill="1" applyBorder="1" applyProtection="1">
      <protection hidden="1"/>
    </xf>
    <xf numFmtId="0" fontId="89" fillId="7" borderId="7" xfId="2" applyFont="1" applyFill="1" applyBorder="1"/>
    <xf numFmtId="4" fontId="86" fillId="2" borderId="0" xfId="2" applyNumberFormat="1" applyFont="1" applyFill="1" applyBorder="1" applyProtection="1">
      <protection hidden="1"/>
    </xf>
    <xf numFmtId="2" fontId="86" fillId="7" borderId="0" xfId="2" applyNumberFormat="1" applyFont="1" applyFill="1" applyBorder="1" applyProtection="1">
      <protection hidden="1"/>
    </xf>
    <xf numFmtId="4" fontId="84" fillId="7" borderId="52" xfId="2" applyNumberFormat="1" applyFont="1" applyFill="1" applyBorder="1" applyProtection="1">
      <protection hidden="1"/>
    </xf>
    <xf numFmtId="4" fontId="84" fillId="2" borderId="52" xfId="2" applyNumberFormat="1" applyFont="1" applyFill="1" applyBorder="1" applyProtection="1">
      <protection hidden="1"/>
    </xf>
    <xf numFmtId="4" fontId="84" fillId="2" borderId="0" xfId="2" applyNumberFormat="1" applyFont="1" applyFill="1" applyBorder="1" applyProtection="1">
      <protection hidden="1"/>
    </xf>
    <xf numFmtId="4" fontId="86" fillId="0" borderId="0" xfId="2" applyNumberFormat="1" applyFont="1" applyFill="1"/>
    <xf numFmtId="0" fontId="86" fillId="0" borderId="0" xfId="2" applyFont="1" applyFill="1" applyBorder="1" applyProtection="1">
      <protection hidden="1"/>
    </xf>
    <xf numFmtId="4" fontId="84" fillId="6" borderId="60" xfId="2" applyNumberFormat="1" applyFont="1" applyFill="1" applyBorder="1" applyProtection="1">
      <protection hidden="1"/>
    </xf>
    <xf numFmtId="174" fontId="84" fillId="2" borderId="0" xfId="2" applyNumberFormat="1" applyFont="1" applyFill="1" applyBorder="1"/>
    <xf numFmtId="174" fontId="86" fillId="2" borderId="9" xfId="2" applyNumberFormat="1" applyFont="1" applyFill="1" applyBorder="1"/>
    <xf numFmtId="0" fontId="84" fillId="7" borderId="58" xfId="2" applyFont="1" applyFill="1" applyBorder="1" applyAlignment="1" applyProtection="1">
      <alignment horizontal="right"/>
      <protection locked="0"/>
    </xf>
    <xf numFmtId="0" fontId="89" fillId="2" borderId="45" xfId="2" applyFont="1" applyFill="1" applyBorder="1"/>
    <xf numFmtId="0" fontId="86" fillId="2" borderId="2" xfId="2" applyFont="1" applyFill="1" applyBorder="1" applyAlignment="1" applyProtection="1">
      <alignment horizontal="center"/>
      <protection locked="0"/>
    </xf>
    <xf numFmtId="0" fontId="86" fillId="0" borderId="0" xfId="2" applyFont="1"/>
    <xf numFmtId="2" fontId="98" fillId="0" borderId="25" xfId="0" applyNumberFormat="1" applyFont="1" applyBorder="1" applyProtection="1">
      <protection hidden="1"/>
    </xf>
    <xf numFmtId="39" fontId="19" fillId="0" borderId="5" xfId="3" applyNumberFormat="1" applyFont="1" applyFill="1" applyBorder="1" applyAlignment="1" applyProtection="1">
      <alignment horizontal="right" vertical="center" shrinkToFit="1"/>
      <protection locked="0"/>
    </xf>
    <xf numFmtId="10" fontId="19" fillId="0" borderId="17" xfId="3" applyNumberFormat="1" applyFont="1" applyFill="1" applyBorder="1" applyAlignment="1" applyProtection="1">
      <alignment vertical="center" shrinkToFit="1"/>
      <protection locked="0"/>
    </xf>
    <xf numFmtId="173" fontId="73" fillId="2" borderId="7" xfId="6" applyNumberFormat="1" applyFont="1" applyFill="1" applyBorder="1" applyAlignment="1">
      <alignment horizontal="right"/>
    </xf>
    <xf numFmtId="0" fontId="35" fillId="2" borderId="66" xfId="2" applyFont="1" applyFill="1" applyBorder="1" applyAlignment="1">
      <alignment horizontal="center" vertical="center" wrapText="1"/>
    </xf>
    <xf numFmtId="0" fontId="91" fillId="7" borderId="0" xfId="2" applyFont="1" applyFill="1" applyBorder="1" applyAlignment="1">
      <alignment horizontal="right"/>
    </xf>
    <xf numFmtId="0" fontId="42" fillId="7" borderId="0" xfId="0" applyFont="1" applyFill="1" applyBorder="1" applyAlignment="1" applyProtection="1"/>
    <xf numFmtId="2" fontId="19" fillId="9" borderId="17" xfId="3" applyNumberFormat="1" applyFont="1" applyFill="1" applyBorder="1" applyAlignment="1" applyProtection="1">
      <alignment vertical="center" shrinkToFit="1"/>
      <protection hidden="1"/>
    </xf>
    <xf numFmtId="4" fontId="19" fillId="0" borderId="17" xfId="3" applyNumberFormat="1" applyFont="1" applyFill="1" applyBorder="1" applyAlignment="1" applyProtection="1">
      <alignment vertical="center" shrinkToFit="1"/>
      <protection hidden="1"/>
    </xf>
    <xf numFmtId="4" fontId="29" fillId="9" borderId="21" xfId="3" applyNumberFormat="1" applyFont="1" applyFill="1" applyBorder="1" applyAlignment="1" applyProtection="1">
      <alignment horizontal="right" vertical="center" shrinkToFit="1"/>
      <protection hidden="1"/>
    </xf>
    <xf numFmtId="10" fontId="29" fillId="9" borderId="21" xfId="1" applyNumberFormat="1" applyFont="1" applyFill="1" applyBorder="1" applyAlignment="1" applyProtection="1">
      <alignment horizontal="center" vertical="center"/>
      <protection hidden="1"/>
    </xf>
    <xf numFmtId="0" fontId="86" fillId="2" borderId="49" xfId="2" applyNumberFormat="1" applyFont="1" applyFill="1" applyBorder="1" applyAlignment="1" applyProtection="1">
      <alignment horizontal="center"/>
      <protection hidden="1"/>
    </xf>
    <xf numFmtId="0" fontId="86" fillId="2" borderId="48" xfId="2" applyNumberFormat="1" applyFont="1" applyFill="1" applyBorder="1" applyAlignment="1" applyProtection="1">
      <alignment horizontal="center"/>
      <protection hidden="1"/>
    </xf>
    <xf numFmtId="0" fontId="86" fillId="2" borderId="49" xfId="2" applyFont="1" applyFill="1" applyBorder="1" applyAlignment="1" applyProtection="1">
      <alignment horizontal="center"/>
      <protection hidden="1"/>
    </xf>
    <xf numFmtId="0" fontId="86" fillId="2" borderId="50" xfId="2" applyNumberFormat="1" applyFont="1" applyFill="1" applyBorder="1" applyAlignment="1" applyProtection="1">
      <alignment horizontal="center"/>
      <protection hidden="1"/>
    </xf>
    <xf numFmtId="4" fontId="91" fillId="0" borderId="0" xfId="2" applyNumberFormat="1" applyFont="1" applyFill="1" applyBorder="1" applyAlignment="1" applyProtection="1">
      <alignment horizontal="right"/>
      <protection hidden="1"/>
    </xf>
    <xf numFmtId="4" fontId="84" fillId="0" borderId="0" xfId="2" applyNumberFormat="1" applyFont="1" applyFill="1" applyBorder="1" applyAlignment="1" applyProtection="1">
      <alignment horizontal="right"/>
      <protection hidden="1"/>
    </xf>
    <xf numFmtId="4" fontId="85" fillId="0" borderId="0" xfId="2" applyNumberFormat="1" applyFont="1" applyFill="1" applyBorder="1" applyAlignment="1" applyProtection="1">
      <alignment horizontal="right"/>
      <protection hidden="1"/>
    </xf>
    <xf numFmtId="10" fontId="73" fillId="0" borderId="0" xfId="2" applyNumberFormat="1" applyFont="1" applyFill="1" applyBorder="1" applyAlignment="1" applyProtection="1">
      <alignment horizontal="center"/>
      <protection hidden="1"/>
    </xf>
    <xf numFmtId="10" fontId="73" fillId="7" borderId="0" xfId="2" applyNumberFormat="1" applyFont="1" applyFill="1" applyBorder="1" applyAlignment="1" applyProtection="1">
      <alignment horizontal="center"/>
      <protection hidden="1"/>
    </xf>
    <xf numFmtId="4" fontId="84" fillId="2" borderId="52" xfId="2" applyNumberFormat="1" applyFont="1" applyFill="1" applyBorder="1" applyAlignment="1" applyProtection="1">
      <alignment horizontal="right"/>
      <protection hidden="1"/>
    </xf>
    <xf numFmtId="2" fontId="86" fillId="2" borderId="0" xfId="2" applyNumberFormat="1" applyFont="1" applyFill="1" applyBorder="1" applyAlignment="1" applyProtection="1">
      <alignment horizontal="right"/>
      <protection hidden="1"/>
    </xf>
    <xf numFmtId="4" fontId="86" fillId="2" borderId="0" xfId="2" applyNumberFormat="1" applyFont="1" applyFill="1" applyBorder="1" applyAlignment="1" applyProtection="1">
      <alignment horizontal="right"/>
      <protection hidden="1"/>
    </xf>
    <xf numFmtId="0" fontId="86" fillId="2" borderId="0" xfId="2" applyFont="1" applyFill="1" applyBorder="1" applyAlignment="1" applyProtection="1">
      <alignment horizontal="left"/>
      <protection hidden="1"/>
    </xf>
    <xf numFmtId="4" fontId="86" fillId="0" borderId="0" xfId="2" applyNumberFormat="1" applyFont="1" applyFill="1" applyProtection="1">
      <protection hidden="1"/>
    </xf>
    <xf numFmtId="1" fontId="19" fillId="7" borderId="17" xfId="3" applyNumberFormat="1" applyFont="1" applyFill="1" applyBorder="1" applyAlignment="1" applyProtection="1">
      <alignment vertical="center" shrinkToFit="1"/>
      <protection locked="0"/>
    </xf>
    <xf numFmtId="0" fontId="0" fillId="0" borderId="0" xfId="0" applyBorder="1"/>
    <xf numFmtId="0" fontId="39" fillId="7" borderId="0" xfId="0" applyFont="1" applyFill="1" applyBorder="1" applyAlignment="1">
      <alignment horizontal="center"/>
    </xf>
    <xf numFmtId="10" fontId="15" fillId="9" borderId="5" xfId="1" applyNumberFormat="1" applyFont="1" applyFill="1" applyBorder="1" applyAlignment="1" applyProtection="1">
      <alignment horizontal="right" vertical="center" shrinkToFit="1"/>
      <protection hidden="1"/>
    </xf>
    <xf numFmtId="10" fontId="15" fillId="7" borderId="5" xfId="1" applyNumberFormat="1" applyFont="1" applyFill="1" applyBorder="1" applyAlignment="1" applyProtection="1">
      <alignment horizontal="right" vertical="center" shrinkToFit="1"/>
      <protection locked="0"/>
    </xf>
    <xf numFmtId="0" fontId="0" fillId="0" borderId="0" xfId="0" applyFill="1" applyBorder="1"/>
    <xf numFmtId="0" fontId="18" fillId="13" borderId="0" xfId="0" applyFont="1" applyFill="1" applyBorder="1" applyAlignment="1" applyProtection="1">
      <alignment horizontal="left"/>
    </xf>
    <xf numFmtId="15" fontId="19" fillId="2" borderId="34" xfId="0" applyNumberFormat="1" applyFont="1" applyFill="1" applyBorder="1" applyAlignment="1" applyProtection="1">
      <alignment horizontal="left"/>
      <protection locked="0"/>
    </xf>
    <xf numFmtId="10" fontId="15" fillId="0" borderId="40" xfId="1" applyNumberFormat="1" applyFont="1" applyFill="1" applyBorder="1" applyAlignment="1" applyProtection="1">
      <alignment horizontal="right" vertical="center" shrinkToFit="1"/>
      <protection hidden="1"/>
    </xf>
    <xf numFmtId="0" fontId="18" fillId="13" borderId="74" xfId="0" applyFont="1" applyFill="1" applyBorder="1" applyAlignment="1" applyProtection="1">
      <alignment horizontal="left" wrapText="1"/>
    </xf>
    <xf numFmtId="0" fontId="15" fillId="34" borderId="74" xfId="0" applyFont="1" applyFill="1" applyBorder="1" applyAlignment="1" applyProtection="1">
      <alignment vertical="center" wrapText="1"/>
    </xf>
    <xf numFmtId="10" fontId="100" fillId="0" borderId="44" xfId="1" applyNumberFormat="1" applyFont="1" applyFill="1" applyBorder="1" applyAlignment="1" applyProtection="1">
      <alignment horizontal="left"/>
      <protection hidden="1"/>
    </xf>
    <xf numFmtId="0" fontId="18" fillId="13" borderId="67" xfId="0" applyFont="1" applyFill="1" applyBorder="1" applyAlignment="1" applyProtection="1">
      <alignment horizontal="left" vertical="center" wrapText="1"/>
    </xf>
    <xf numFmtId="2" fontId="19" fillId="10" borderId="73" xfId="3" applyNumberFormat="1" applyFont="1" applyFill="1" applyBorder="1" applyAlignment="1" applyProtection="1">
      <alignment vertical="center" shrinkToFit="1"/>
      <protection locked="0"/>
    </xf>
    <xf numFmtId="176" fontId="3" fillId="2" borderId="25" xfId="0" applyNumberFormat="1" applyFont="1" applyFill="1" applyBorder="1" applyAlignment="1" applyProtection="1">
      <alignment horizontal="right"/>
      <protection hidden="1"/>
    </xf>
    <xf numFmtId="176" fontId="19" fillId="0" borderId="25" xfId="3" applyNumberFormat="1" applyFont="1" applyFill="1" applyBorder="1" applyAlignment="1" applyProtection="1">
      <alignment horizontal="right" vertical="center" shrinkToFit="1"/>
      <protection hidden="1"/>
    </xf>
    <xf numFmtId="0" fontId="102" fillId="7" borderId="75" xfId="0" applyFont="1" applyFill="1" applyBorder="1" applyProtection="1">
      <protection hidden="1"/>
    </xf>
    <xf numFmtId="0" fontId="103" fillId="0" borderId="75" xfId="0" applyNumberFormat="1" applyFont="1" applyBorder="1" applyProtection="1">
      <protection hidden="1"/>
    </xf>
    <xf numFmtId="0" fontId="77" fillId="0" borderId="75" xfId="0" applyFont="1" applyBorder="1" applyProtection="1">
      <protection hidden="1"/>
    </xf>
    <xf numFmtId="0" fontId="102" fillId="7" borderId="0" xfId="0" applyFont="1" applyFill="1" applyBorder="1" applyProtection="1">
      <protection hidden="1"/>
    </xf>
    <xf numFmtId="0" fontId="77" fillId="0" borderId="0" xfId="0" applyFont="1" applyProtection="1">
      <protection hidden="1"/>
    </xf>
    <xf numFmtId="2" fontId="77" fillId="7" borderId="0" xfId="0" applyNumberFormat="1" applyFont="1" applyFill="1" applyBorder="1" applyProtection="1">
      <protection hidden="1"/>
    </xf>
    <xf numFmtId="169" fontId="15" fillId="0" borderId="40" xfId="1" applyNumberFormat="1" applyFont="1" applyFill="1" applyBorder="1" applyAlignment="1" applyProtection="1">
      <alignment horizontal="right" vertical="center" shrinkToFit="1"/>
      <protection hidden="1"/>
    </xf>
    <xf numFmtId="0" fontId="86" fillId="2" borderId="77" xfId="2" applyFont="1" applyFill="1" applyBorder="1" applyAlignment="1" applyProtection="1">
      <alignment horizontal="left"/>
      <protection hidden="1"/>
    </xf>
    <xf numFmtId="1" fontId="86" fillId="2" borderId="77" xfId="2" applyNumberFormat="1" applyFont="1" applyFill="1" applyBorder="1" applyAlignment="1" applyProtection="1">
      <alignment horizontal="center"/>
      <protection hidden="1"/>
    </xf>
    <xf numFmtId="4" fontId="86" fillId="2" borderId="77" xfId="2" applyNumberFormat="1" applyFont="1" applyFill="1" applyBorder="1" applyAlignment="1" applyProtection="1">
      <alignment horizontal="center"/>
      <protection hidden="1"/>
    </xf>
    <xf numFmtId="4" fontId="86" fillId="2" borderId="76" xfId="2" applyNumberFormat="1" applyFont="1" applyFill="1" applyBorder="1" applyAlignment="1" applyProtection="1">
      <alignment horizontal="center"/>
      <protection hidden="1"/>
    </xf>
    <xf numFmtId="1" fontId="86" fillId="2" borderId="0" xfId="2" applyNumberFormat="1" applyFont="1" applyFill="1" applyBorder="1" applyAlignment="1" applyProtection="1">
      <alignment horizontal="center"/>
      <protection hidden="1"/>
    </xf>
    <xf numFmtId="0" fontId="86" fillId="2" borderId="0" xfId="2" applyFont="1" applyFill="1" applyBorder="1" applyAlignment="1" applyProtection="1">
      <alignment horizontal="center" wrapText="1"/>
      <protection hidden="1"/>
    </xf>
    <xf numFmtId="4" fontId="86" fillId="2" borderId="0" xfId="2" applyNumberFormat="1" applyFont="1" applyFill="1" applyBorder="1" applyAlignment="1" applyProtection="1">
      <alignment horizontal="center"/>
      <protection hidden="1"/>
    </xf>
    <xf numFmtId="4" fontId="86" fillId="2" borderId="7" xfId="2" applyNumberFormat="1" applyFont="1" applyFill="1" applyBorder="1" applyAlignment="1" applyProtection="1">
      <alignment horizontal="center"/>
      <protection hidden="1"/>
    </xf>
    <xf numFmtId="0" fontId="18" fillId="13" borderId="16" xfId="0" applyFont="1" applyFill="1" applyBorder="1" applyAlignment="1" applyProtection="1">
      <alignment horizontal="left" wrapText="1"/>
      <protection hidden="1"/>
    </xf>
    <xf numFmtId="1" fontId="19" fillId="7" borderId="17" xfId="3" applyNumberFormat="1" applyFont="1" applyFill="1" applyBorder="1" applyAlignment="1" applyProtection="1">
      <alignment vertical="center" shrinkToFit="1"/>
      <protection hidden="1"/>
    </xf>
    <xf numFmtId="10" fontId="19" fillId="0" borderId="17" xfId="1" applyNumberFormat="1" applyFont="1" applyFill="1" applyBorder="1" applyAlignment="1" applyProtection="1">
      <alignment vertical="center" shrinkToFit="1"/>
      <protection hidden="1"/>
    </xf>
    <xf numFmtId="15" fontId="86" fillId="2" borderId="0" xfId="2" applyNumberFormat="1" applyFont="1" applyFill="1" applyBorder="1" applyAlignment="1" applyProtection="1">
      <alignment horizontal="center"/>
      <protection hidden="1"/>
    </xf>
    <xf numFmtId="0" fontId="84" fillId="0" borderId="0" xfId="2" applyFont="1" applyFill="1"/>
    <xf numFmtId="0" fontId="86" fillId="2" borderId="87" xfId="2" applyFont="1" applyFill="1" applyBorder="1"/>
    <xf numFmtId="4" fontId="84" fillId="0" borderId="0" xfId="2" applyNumberFormat="1" applyFont="1" applyFill="1"/>
    <xf numFmtId="49" fontId="19" fillId="2" borderId="0" xfId="0" applyNumberFormat="1" applyFont="1" applyFill="1" applyBorder="1" applyAlignment="1" applyProtection="1">
      <protection hidden="1"/>
    </xf>
    <xf numFmtId="0" fontId="109" fillId="0" borderId="0" xfId="0" applyFont="1" applyAlignment="1">
      <alignment horizontal="center"/>
    </xf>
    <xf numFmtId="0" fontId="110" fillId="0" borderId="0" xfId="0" applyFont="1" applyBorder="1" applyAlignment="1">
      <alignment vertical="top" wrapText="1"/>
    </xf>
    <xf numFmtId="0" fontId="111" fillId="0" borderId="0" xfId="0" applyFont="1" applyBorder="1" applyAlignment="1">
      <alignment horizontal="left"/>
    </xf>
    <xf numFmtId="0" fontId="0" fillId="0" borderId="6" xfId="0" applyBorder="1"/>
    <xf numFmtId="0" fontId="0" fillId="0" borderId="0" xfId="0" applyBorder="1" applyProtection="1">
      <protection locked="0"/>
    </xf>
    <xf numFmtId="0" fontId="0" fillId="0" borderId="32" xfId="0" applyBorder="1"/>
    <xf numFmtId="0" fontId="0" fillId="0" borderId="45" xfId="0" applyBorder="1"/>
    <xf numFmtId="0" fontId="84" fillId="2" borderId="9" xfId="2" applyNumberFormat="1" applyFont="1" applyFill="1" applyBorder="1" applyAlignment="1" applyProtection="1">
      <alignment horizontal="left"/>
      <protection hidden="1"/>
    </xf>
    <xf numFmtId="0" fontId="33" fillId="0" borderId="0" xfId="0" applyFont="1" applyProtection="1">
      <protection hidden="1"/>
    </xf>
    <xf numFmtId="0" fontId="18" fillId="13" borderId="16" xfId="0" applyFont="1" applyFill="1" applyBorder="1" applyAlignment="1" applyProtection="1">
      <alignment horizontal="left" vertical="center" wrapText="1"/>
    </xf>
    <xf numFmtId="0" fontId="78" fillId="0" borderId="0" xfId="0" applyFont="1" applyAlignment="1" applyProtection="1">
      <alignment horizontal="center"/>
      <protection hidden="1"/>
    </xf>
    <xf numFmtId="0" fontId="0" fillId="0" borderId="101" xfId="0" applyBorder="1"/>
    <xf numFmtId="0" fontId="120" fillId="0" borderId="101" xfId="0" applyFont="1" applyBorder="1" applyAlignment="1">
      <alignment horizontal="left"/>
    </xf>
    <xf numFmtId="0" fontId="86" fillId="2" borderId="101" xfId="2" applyFont="1" applyFill="1" applyBorder="1"/>
    <xf numFmtId="0" fontId="86" fillId="2" borderId="107" xfId="2" applyFont="1" applyFill="1" applyBorder="1"/>
    <xf numFmtId="0" fontId="86" fillId="2" borderId="108" xfId="2" applyFont="1" applyFill="1" applyBorder="1"/>
    <xf numFmtId="0" fontId="86" fillId="2" borderId="109" xfId="2" applyFont="1" applyFill="1" applyBorder="1"/>
    <xf numFmtId="0" fontId="127" fillId="0" borderId="0" xfId="2" applyFont="1" applyAlignment="1">
      <alignment vertical="center"/>
    </xf>
    <xf numFmtId="0" fontId="128" fillId="0" borderId="0" xfId="2" applyFont="1" applyBorder="1" applyAlignment="1" applyProtection="1">
      <alignment horizontal="center" wrapText="1"/>
    </xf>
    <xf numFmtId="0" fontId="128" fillId="0" borderId="0" xfId="2" applyFont="1" applyBorder="1" applyAlignment="1" applyProtection="1">
      <alignment wrapText="1"/>
    </xf>
    <xf numFmtId="0" fontId="128" fillId="0" borderId="0" xfId="2" applyFont="1" applyBorder="1" applyAlignment="1" applyProtection="1">
      <alignment horizontal="left" wrapText="1"/>
    </xf>
    <xf numFmtId="0" fontId="128" fillId="25" borderId="125" xfId="2" applyFont="1" applyFill="1" applyBorder="1" applyAlignment="1" applyProtection="1">
      <alignment horizontal="center" vertical="center" wrapText="1"/>
    </xf>
    <xf numFmtId="0" fontId="127" fillId="0" borderId="0" xfId="2" applyFont="1" applyBorder="1" applyAlignment="1" applyProtection="1">
      <alignment vertical="center"/>
    </xf>
    <xf numFmtId="0" fontId="128" fillId="0" borderId="0" xfId="2" applyFont="1" applyFill="1" applyBorder="1" applyAlignment="1" applyProtection="1">
      <alignment horizontal="center" vertical="center" wrapText="1"/>
    </xf>
    <xf numFmtId="0" fontId="128" fillId="25" borderId="112" xfId="2" applyFont="1" applyFill="1" applyBorder="1" applyAlignment="1" applyProtection="1">
      <alignment horizontal="center" vertical="center" wrapText="1"/>
    </xf>
    <xf numFmtId="0" fontId="102" fillId="0" borderId="113" xfId="2" applyFont="1" applyBorder="1" applyAlignment="1">
      <alignment vertical="center"/>
    </xf>
    <xf numFmtId="0" fontId="102" fillId="0" borderId="0" xfId="2" applyFont="1" applyFill="1" applyBorder="1" applyAlignment="1">
      <alignment vertical="center"/>
    </xf>
    <xf numFmtId="0" fontId="102" fillId="0" borderId="114" xfId="2" applyFont="1" applyBorder="1" applyAlignment="1">
      <alignment vertical="center"/>
    </xf>
    <xf numFmtId="0" fontId="131" fillId="0" borderId="0" xfId="2" applyFont="1" applyFill="1" applyBorder="1" applyAlignment="1">
      <alignment vertical="center"/>
    </xf>
    <xf numFmtId="0" fontId="132" fillId="0" borderId="90" xfId="2" applyFont="1" applyBorder="1" applyAlignment="1">
      <alignment horizontal="left" vertical="center"/>
    </xf>
    <xf numFmtId="0" fontId="128" fillId="0" borderId="125" xfId="2" applyFont="1" applyFill="1" applyBorder="1" applyAlignment="1" applyProtection="1">
      <alignment horizontal="center" vertical="center" wrapText="1"/>
    </xf>
    <xf numFmtId="0" fontId="131" fillId="0" borderId="93" xfId="2" applyFont="1" applyBorder="1" applyAlignment="1">
      <alignment vertical="center"/>
    </xf>
    <xf numFmtId="0" fontId="131" fillId="0" borderId="0" xfId="2" applyFont="1" applyAlignment="1"/>
    <xf numFmtId="0" fontId="131" fillId="0" borderId="0" xfId="2" applyFont="1" applyAlignment="1">
      <alignment vertical="center"/>
    </xf>
    <xf numFmtId="0" fontId="128" fillId="42" borderId="0" xfId="2" applyFont="1" applyFill="1" applyBorder="1" applyAlignment="1" applyProtection="1">
      <alignment wrapText="1"/>
    </xf>
    <xf numFmtId="0" fontId="128" fillId="0" borderId="0" xfId="2" applyFont="1" applyFill="1" applyBorder="1" applyAlignment="1" applyProtection="1">
      <alignment wrapText="1"/>
    </xf>
    <xf numFmtId="0" fontId="85" fillId="0" borderId="130" xfId="2" applyNumberFormat="1" applyFont="1" applyFill="1" applyBorder="1" applyAlignment="1">
      <alignment vertical="top" wrapText="1"/>
    </xf>
    <xf numFmtId="0" fontId="108" fillId="0" borderId="0" xfId="0" applyFont="1" applyFill="1" applyBorder="1" applyAlignment="1">
      <alignment vertical="top" wrapText="1"/>
    </xf>
    <xf numFmtId="0" fontId="108" fillId="0" borderId="92" xfId="0" applyFont="1" applyFill="1" applyBorder="1" applyAlignment="1">
      <alignment vertical="top" wrapText="1"/>
    </xf>
    <xf numFmtId="0" fontId="18" fillId="13" borderId="0" xfId="0" applyFont="1" applyFill="1" applyBorder="1" applyAlignment="1" applyProtection="1">
      <alignment horizontal="center" wrapText="1"/>
    </xf>
    <xf numFmtId="49" fontId="19" fillId="2" borderId="0" xfId="0" applyNumberFormat="1" applyFont="1" applyFill="1" applyBorder="1" applyAlignment="1" applyProtection="1">
      <alignment horizontal="center"/>
      <protection hidden="1"/>
    </xf>
    <xf numFmtId="0" fontId="18" fillId="13" borderId="0" xfId="0" applyFont="1" applyFill="1" applyBorder="1" applyAlignment="1" applyProtection="1">
      <alignment horizontal="center" vertical="center" wrapText="1"/>
    </xf>
    <xf numFmtId="14" fontId="19" fillId="0" borderId="133" xfId="3" applyNumberFormat="1" applyFont="1" applyFill="1" applyBorder="1" applyAlignment="1" applyProtection="1">
      <alignment horizontal="center" vertical="center" shrinkToFit="1"/>
      <protection locked="0"/>
    </xf>
    <xf numFmtId="0" fontId="127" fillId="0" borderId="127" xfId="2" applyFont="1" applyBorder="1" applyAlignment="1">
      <alignment vertical="center"/>
    </xf>
    <xf numFmtId="0" fontId="127" fillId="0" borderId="0" xfId="2" applyFont="1" applyBorder="1" applyAlignment="1">
      <alignment vertical="center"/>
    </xf>
    <xf numFmtId="0" fontId="73" fillId="2" borderId="0" xfId="2" applyFont="1" applyFill="1" applyBorder="1" applyAlignment="1" applyProtection="1">
      <alignment vertical="top" wrapText="1"/>
      <protection hidden="1"/>
    </xf>
    <xf numFmtId="0" fontId="18" fillId="0" borderId="0" xfId="0" applyFont="1" applyFill="1" applyBorder="1" applyAlignment="1" applyProtection="1">
      <alignment horizontal="left" wrapText="1"/>
      <protection hidden="1"/>
    </xf>
    <xf numFmtId="0" fontId="0" fillId="0" borderId="88" xfId="0" applyBorder="1"/>
    <xf numFmtId="0" fontId="0" fillId="0" borderId="89" xfId="0" applyBorder="1"/>
    <xf numFmtId="0" fontId="0" fillId="0" borderId="90" xfId="0" applyBorder="1"/>
    <xf numFmtId="0" fontId="0" fillId="0" borderId="115" xfId="0" applyBorder="1"/>
    <xf numFmtId="0" fontId="98" fillId="0" borderId="127" xfId="0" applyFont="1" applyBorder="1"/>
    <xf numFmtId="0" fontId="138" fillId="0" borderId="0" xfId="0" applyFont="1" applyBorder="1"/>
    <xf numFmtId="0" fontId="0" fillId="0" borderId="127" xfId="0" applyBorder="1"/>
    <xf numFmtId="0" fontId="105" fillId="0" borderId="0" xfId="0" applyFont="1" applyBorder="1"/>
    <xf numFmtId="0" fontId="105" fillId="0" borderId="115" xfId="0" applyFont="1" applyBorder="1"/>
    <xf numFmtId="0" fontId="123" fillId="0" borderId="0" xfId="0" applyFont="1" applyBorder="1" applyAlignment="1">
      <alignment horizontal="right"/>
    </xf>
    <xf numFmtId="0" fontId="51" fillId="0" borderId="0" xfId="0" applyFont="1" applyBorder="1"/>
    <xf numFmtId="0" fontId="108" fillId="0" borderId="0" xfId="0" applyFont="1" applyBorder="1"/>
    <xf numFmtId="0" fontId="105" fillId="7" borderId="0" xfId="0" applyFont="1" applyFill="1" applyBorder="1"/>
    <xf numFmtId="0" fontId="0" fillId="7" borderId="127" xfId="0" applyFill="1" applyBorder="1"/>
    <xf numFmtId="0" fontId="139" fillId="0" borderId="0" xfId="0" applyFont="1" applyBorder="1"/>
    <xf numFmtId="0" fontId="51" fillId="0" borderId="0" xfId="0" applyFont="1" applyBorder="1" applyAlignment="1">
      <alignment horizontal="right"/>
    </xf>
    <xf numFmtId="0" fontId="0" fillId="0" borderId="122" xfId="0" applyBorder="1"/>
    <xf numFmtId="0" fontId="0" fillId="0" borderId="128" xfId="0" applyBorder="1"/>
    <xf numFmtId="0" fontId="0" fillId="0" borderId="122" xfId="0" applyFill="1" applyBorder="1"/>
    <xf numFmtId="0" fontId="0" fillId="0" borderId="128" xfId="0" applyFill="1" applyBorder="1"/>
    <xf numFmtId="0" fontId="105" fillId="0" borderId="0" xfId="0" applyFont="1" applyFill="1" applyBorder="1"/>
    <xf numFmtId="0" fontId="0" fillId="0" borderId="91" xfId="0" applyBorder="1"/>
    <xf numFmtId="0" fontId="0" fillId="0" borderId="92" xfId="0" applyBorder="1"/>
    <xf numFmtId="0" fontId="0" fillId="0" borderId="93" xfId="0" applyBorder="1"/>
    <xf numFmtId="0" fontId="13" fillId="0" borderId="1" xfId="0" applyFont="1" applyBorder="1" applyAlignment="1" applyProtection="1">
      <alignment horizontal="left"/>
      <protection hidden="1"/>
    </xf>
    <xf numFmtId="0" fontId="26" fillId="9" borderId="1" xfId="0" applyFont="1" applyFill="1" applyBorder="1" applyAlignment="1" applyProtection="1">
      <alignment horizontal="left"/>
      <protection hidden="1"/>
    </xf>
    <xf numFmtId="0" fontId="13" fillId="0" borderId="0" xfId="0" applyFont="1" applyProtection="1">
      <protection hidden="1"/>
    </xf>
    <xf numFmtId="0" fontId="36" fillId="9" borderId="25" xfId="0" applyFont="1" applyFill="1" applyBorder="1" applyAlignment="1" applyProtection="1">
      <alignment horizontal="left" wrapText="1"/>
      <protection hidden="1"/>
    </xf>
    <xf numFmtId="0" fontId="13" fillId="0" borderId="1" xfId="0" applyFont="1" applyBorder="1" applyProtection="1">
      <protection hidden="1"/>
    </xf>
    <xf numFmtId="2" fontId="13" fillId="0" borderId="1" xfId="0" applyNumberFormat="1" applyFont="1" applyBorder="1" applyProtection="1">
      <protection hidden="1"/>
    </xf>
    <xf numFmtId="0" fontId="4" fillId="10" borderId="1" xfId="0" applyFont="1" applyFill="1" applyBorder="1" applyAlignment="1" applyProtection="1">
      <alignment horizontal="left"/>
      <protection hidden="1"/>
    </xf>
    <xf numFmtId="14" fontId="4" fillId="7" borderId="1" xfId="0" applyNumberFormat="1" applyFont="1" applyFill="1" applyBorder="1" applyAlignment="1" applyProtection="1">
      <alignment horizontal="left"/>
      <protection hidden="1"/>
    </xf>
    <xf numFmtId="0" fontId="26" fillId="9" borderId="25" xfId="0" applyFont="1" applyFill="1" applyBorder="1" applyAlignment="1" applyProtection="1">
      <alignment horizontal="left" wrapText="1"/>
      <protection hidden="1"/>
    </xf>
    <xf numFmtId="4" fontId="13" fillId="0" borderId="1" xfId="0" applyNumberFormat="1" applyFont="1" applyBorder="1" applyAlignment="1" applyProtection="1">
      <alignment horizontal="left"/>
      <protection hidden="1"/>
    </xf>
    <xf numFmtId="15" fontId="13" fillId="0" borderId="1" xfId="0" applyNumberFormat="1" applyFont="1" applyBorder="1" applyAlignment="1" applyProtection="1">
      <alignment horizontal="left"/>
      <protection hidden="1"/>
    </xf>
    <xf numFmtId="0" fontId="13" fillId="44" borderId="0" xfId="0" applyFont="1" applyFill="1" applyProtection="1">
      <protection hidden="1"/>
    </xf>
    <xf numFmtId="10" fontId="13" fillId="0" borderId="25" xfId="0" applyNumberFormat="1" applyFont="1" applyBorder="1" applyProtection="1">
      <protection hidden="1"/>
    </xf>
    <xf numFmtId="1" fontId="13" fillId="0" borderId="1" xfId="0" applyNumberFormat="1" applyFont="1" applyBorder="1" applyAlignment="1" applyProtection="1">
      <alignment horizontal="left"/>
      <protection hidden="1"/>
    </xf>
    <xf numFmtId="0" fontId="13" fillId="0" borderId="25" xfId="0" applyFont="1" applyBorder="1" applyProtection="1">
      <protection hidden="1"/>
    </xf>
    <xf numFmtId="0" fontId="13" fillId="0" borderId="0" xfId="0" applyFont="1" applyBorder="1" applyAlignment="1" applyProtection="1">
      <alignment horizontal="left"/>
      <protection hidden="1"/>
    </xf>
    <xf numFmtId="1" fontId="13" fillId="0" borderId="0" xfId="0" applyNumberFormat="1" applyFont="1" applyBorder="1" applyAlignment="1" applyProtection="1">
      <alignment horizontal="left"/>
      <protection hidden="1"/>
    </xf>
    <xf numFmtId="0" fontId="26" fillId="0" borderId="0" xfId="0" applyFont="1" applyFill="1" applyBorder="1" applyAlignment="1" applyProtection="1">
      <alignment horizontal="left" wrapText="1"/>
      <protection hidden="1"/>
    </xf>
    <xf numFmtId="0" fontId="13" fillId="0" borderId="0" xfId="0" applyFont="1" applyBorder="1" applyProtection="1">
      <protection hidden="1"/>
    </xf>
    <xf numFmtId="10" fontId="13" fillId="0" borderId="0" xfId="0" applyNumberFormat="1" applyFont="1" applyBorder="1" applyProtection="1">
      <protection hidden="1"/>
    </xf>
    <xf numFmtId="0" fontId="7" fillId="13" borderId="25" xfId="0" applyFont="1" applyFill="1" applyBorder="1" applyAlignment="1" applyProtection="1">
      <alignment horizontal="center"/>
      <protection hidden="1"/>
    </xf>
    <xf numFmtId="0" fontId="4" fillId="2" borderId="25" xfId="0" applyFont="1" applyFill="1" applyBorder="1" applyProtection="1">
      <protection hidden="1"/>
    </xf>
    <xf numFmtId="4" fontId="13" fillId="0" borderId="25" xfId="0" applyNumberFormat="1" applyFont="1" applyBorder="1" applyProtection="1">
      <protection hidden="1"/>
    </xf>
    <xf numFmtId="0" fontId="58" fillId="9" borderId="25" xfId="0" applyFont="1" applyFill="1" applyBorder="1" applyAlignment="1" applyProtection="1">
      <alignment wrapText="1"/>
      <protection hidden="1"/>
    </xf>
    <xf numFmtId="2" fontId="4" fillId="7" borderId="25" xfId="0" applyNumberFormat="1" applyFont="1" applyFill="1" applyBorder="1" applyAlignment="1" applyProtection="1">
      <alignment horizontal="right"/>
      <protection hidden="1"/>
    </xf>
    <xf numFmtId="0" fontId="4" fillId="0" borderId="25" xfId="0" applyFont="1" applyBorder="1" applyProtection="1">
      <protection hidden="1"/>
    </xf>
    <xf numFmtId="4" fontId="13" fillId="21" borderId="25" xfId="0" applyNumberFormat="1" applyFont="1" applyFill="1" applyBorder="1" applyProtection="1">
      <protection hidden="1"/>
    </xf>
    <xf numFmtId="2" fontId="106" fillId="21" borderId="25" xfId="0" applyNumberFormat="1" applyFont="1" applyFill="1" applyBorder="1" applyProtection="1">
      <protection hidden="1"/>
    </xf>
    <xf numFmtId="0" fontId="4" fillId="0" borderId="25" xfId="0" applyFont="1" applyFill="1" applyBorder="1" applyProtection="1">
      <protection hidden="1"/>
    </xf>
    <xf numFmtId="4" fontId="13" fillId="0" borderId="25" xfId="0" applyNumberFormat="1" applyFont="1" applyFill="1" applyBorder="1" applyProtection="1">
      <protection hidden="1"/>
    </xf>
    <xf numFmtId="4" fontId="4" fillId="0" borderId="25" xfId="0" applyNumberFormat="1" applyFont="1" applyFill="1" applyBorder="1" applyProtection="1">
      <protection hidden="1"/>
    </xf>
    <xf numFmtId="0" fontId="40" fillId="2" borderId="25" xfId="0" applyFont="1" applyFill="1" applyBorder="1" applyAlignment="1" applyProtection="1">
      <alignment horizontal="left"/>
      <protection hidden="1"/>
    </xf>
    <xf numFmtId="2" fontId="13" fillId="0" borderId="25" xfId="0" applyNumberFormat="1" applyFont="1" applyFill="1" applyBorder="1" applyProtection="1">
      <protection hidden="1"/>
    </xf>
    <xf numFmtId="0" fontId="82" fillId="0" borderId="0" xfId="0" applyFont="1" applyFill="1" applyBorder="1" applyAlignment="1" applyProtection="1">
      <alignment wrapText="1"/>
      <protection hidden="1"/>
    </xf>
    <xf numFmtId="4" fontId="35" fillId="0" borderId="25" xfId="0" applyNumberFormat="1" applyFont="1" applyFill="1" applyBorder="1" applyProtection="1">
      <protection hidden="1"/>
    </xf>
    <xf numFmtId="0" fontId="35" fillId="0" borderId="25" xfId="0" applyFont="1" applyBorder="1" applyProtection="1">
      <protection hidden="1"/>
    </xf>
    <xf numFmtId="4" fontId="106" fillId="7" borderId="0" xfId="0" applyNumberFormat="1" applyFont="1" applyFill="1" applyProtection="1">
      <protection hidden="1"/>
    </xf>
    <xf numFmtId="0" fontId="35" fillId="0" borderId="25" xfId="0" applyFont="1" applyFill="1" applyBorder="1" applyProtection="1">
      <protection hidden="1"/>
    </xf>
    <xf numFmtId="0" fontId="122" fillId="0" borderId="25" xfId="0" applyFont="1" applyBorder="1" applyProtection="1">
      <protection hidden="1"/>
    </xf>
    <xf numFmtId="0" fontId="106" fillId="7" borderId="0" xfId="0" applyFont="1" applyFill="1" applyProtection="1">
      <protection hidden="1"/>
    </xf>
    <xf numFmtId="10" fontId="40" fillId="0" borderId="84" xfId="0" applyNumberFormat="1" applyFont="1" applyBorder="1" applyAlignment="1" applyProtection="1">
      <alignment horizontal="center"/>
      <protection hidden="1"/>
    </xf>
    <xf numFmtId="0" fontId="13" fillId="0" borderId="6" xfId="0" applyFont="1" applyBorder="1" applyAlignment="1" applyProtection="1">
      <alignment horizontal="center"/>
      <protection hidden="1"/>
    </xf>
    <xf numFmtId="0" fontId="13" fillId="7" borderId="0" xfId="0" applyFont="1" applyFill="1" applyProtection="1">
      <protection hidden="1"/>
    </xf>
    <xf numFmtId="0" fontId="35" fillId="40" borderId="25" xfId="0" applyFont="1" applyFill="1" applyBorder="1" applyProtection="1">
      <protection hidden="1"/>
    </xf>
    <xf numFmtId="4" fontId="35" fillId="40" borderId="25" xfId="0" applyNumberFormat="1" applyFont="1" applyFill="1" applyBorder="1" applyProtection="1">
      <protection hidden="1"/>
    </xf>
    <xf numFmtId="0" fontId="122" fillId="0" borderId="25" xfId="0" applyFont="1" applyFill="1" applyBorder="1" applyProtection="1">
      <protection hidden="1"/>
    </xf>
    <xf numFmtId="0" fontId="4" fillId="23" borderId="2" xfId="0" applyFont="1" applyFill="1" applyBorder="1" applyAlignment="1" applyProtection="1">
      <protection hidden="1"/>
    </xf>
    <xf numFmtId="0" fontId="13" fillId="7" borderId="0" xfId="0" applyFont="1" applyFill="1" applyBorder="1" applyProtection="1">
      <protection hidden="1"/>
    </xf>
    <xf numFmtId="0" fontId="35" fillId="7" borderId="12" xfId="0" applyFont="1" applyFill="1" applyBorder="1" applyProtection="1">
      <protection hidden="1"/>
    </xf>
    <xf numFmtId="4" fontId="106" fillId="7" borderId="12" xfId="0" applyNumberFormat="1" applyFont="1" applyFill="1" applyBorder="1" applyProtection="1">
      <protection hidden="1"/>
    </xf>
    <xf numFmtId="0" fontId="37" fillId="0" borderId="25" xfId="0" applyFont="1" applyFill="1" applyBorder="1" applyProtection="1">
      <protection hidden="1"/>
    </xf>
    <xf numFmtId="0" fontId="4" fillId="0" borderId="25" xfId="0" applyFont="1" applyFill="1" applyBorder="1" applyAlignment="1" applyProtection="1">
      <alignment horizontal="left"/>
      <protection hidden="1"/>
    </xf>
    <xf numFmtId="169" fontId="13" fillId="0" borderId="25" xfId="0" applyNumberFormat="1" applyFont="1" applyFill="1" applyBorder="1" applyProtection="1">
      <protection hidden="1"/>
    </xf>
    <xf numFmtId="2" fontId="106" fillId="7" borderId="0" xfId="0" applyNumberFormat="1" applyFont="1" applyFill="1" applyBorder="1" applyProtection="1">
      <protection hidden="1"/>
    </xf>
    <xf numFmtId="2" fontId="106" fillId="0" borderId="7" xfId="0" applyNumberFormat="1" applyFont="1" applyFill="1" applyBorder="1" applyProtection="1">
      <protection hidden="1"/>
    </xf>
    <xf numFmtId="0" fontId="13" fillId="0" borderId="0" xfId="0" applyFont="1" applyFill="1" applyBorder="1" applyProtection="1">
      <protection hidden="1"/>
    </xf>
    <xf numFmtId="0" fontId="13" fillId="0" borderId="25" xfId="0" applyFont="1" applyFill="1" applyBorder="1" applyProtection="1">
      <protection hidden="1"/>
    </xf>
    <xf numFmtId="3" fontId="13" fillId="7" borderId="0" xfId="0" applyNumberFormat="1" applyFont="1" applyFill="1" applyBorder="1" applyProtection="1">
      <protection hidden="1"/>
    </xf>
    <xf numFmtId="170" fontId="13" fillId="0" borderId="25" xfId="0" applyNumberFormat="1" applyFont="1" applyFill="1" applyBorder="1" applyProtection="1">
      <protection hidden="1"/>
    </xf>
    <xf numFmtId="0" fontId="56" fillId="7" borderId="0" xfId="0" applyFont="1" applyFill="1" applyBorder="1" applyProtection="1">
      <protection hidden="1"/>
    </xf>
    <xf numFmtId="4" fontId="35" fillId="7" borderId="0" xfId="0" applyNumberFormat="1" applyFont="1" applyFill="1" applyBorder="1" applyProtection="1">
      <protection hidden="1"/>
    </xf>
    <xf numFmtId="0" fontId="0" fillId="0" borderId="0" xfId="0" applyProtection="1">
      <protection hidden="1"/>
    </xf>
    <xf numFmtId="4" fontId="35" fillId="7" borderId="12" xfId="0" applyNumberFormat="1" applyFont="1" applyFill="1" applyBorder="1" applyProtection="1">
      <protection hidden="1"/>
    </xf>
    <xf numFmtId="0" fontId="13" fillId="2" borderId="25" xfId="0" applyFont="1" applyFill="1" applyBorder="1" applyProtection="1">
      <protection hidden="1"/>
    </xf>
    <xf numFmtId="3" fontId="13" fillId="2" borderId="25" xfId="0" applyNumberFormat="1" applyFont="1" applyFill="1" applyBorder="1" applyProtection="1">
      <protection hidden="1"/>
    </xf>
    <xf numFmtId="169" fontId="13" fillId="2" borderId="25" xfId="0" applyNumberFormat="1" applyFont="1" applyFill="1" applyBorder="1" applyProtection="1">
      <protection hidden="1"/>
    </xf>
    <xf numFmtId="0" fontId="13" fillId="7" borderId="25" xfId="0" applyFont="1" applyFill="1" applyBorder="1" applyProtection="1">
      <protection hidden="1"/>
    </xf>
    <xf numFmtId="0" fontId="0" fillId="7" borderId="0" xfId="0" applyFill="1" applyProtection="1">
      <protection hidden="1"/>
    </xf>
    <xf numFmtId="2" fontId="13" fillId="0" borderId="25" xfId="0" applyNumberFormat="1" applyFont="1" applyBorder="1" applyProtection="1">
      <protection hidden="1"/>
    </xf>
    <xf numFmtId="0" fontId="4" fillId="7" borderId="25" xfId="0" applyFont="1" applyFill="1" applyBorder="1" applyProtection="1">
      <protection hidden="1"/>
    </xf>
    <xf numFmtId="4" fontId="0" fillId="7" borderId="25" xfId="0" applyNumberFormat="1" applyFill="1" applyBorder="1" applyProtection="1">
      <protection hidden="1"/>
    </xf>
    <xf numFmtId="4" fontId="0" fillId="7" borderId="0" xfId="0" applyNumberFormat="1" applyFill="1" applyProtection="1">
      <protection hidden="1"/>
    </xf>
    <xf numFmtId="0" fontId="4" fillId="7" borderId="25" xfId="0" applyFont="1" applyFill="1" applyBorder="1" applyAlignment="1" applyProtection="1">
      <alignment wrapText="1"/>
      <protection hidden="1"/>
    </xf>
    <xf numFmtId="0" fontId="4" fillId="18" borderId="25" xfId="0" applyFont="1" applyFill="1" applyBorder="1" applyAlignment="1" applyProtection="1">
      <protection hidden="1"/>
    </xf>
    <xf numFmtId="0" fontId="4" fillId="7" borderId="0" xfId="0" applyFont="1" applyFill="1" applyProtection="1">
      <protection hidden="1"/>
    </xf>
    <xf numFmtId="0" fontId="36" fillId="18" borderId="25" xfId="0" applyFont="1" applyFill="1" applyBorder="1" applyAlignment="1" applyProtection="1">
      <alignment horizontal="center" vertical="center"/>
      <protection hidden="1"/>
    </xf>
    <xf numFmtId="0" fontId="0" fillId="7" borderId="25" xfId="0" applyFill="1" applyBorder="1" applyProtection="1">
      <protection hidden="1"/>
    </xf>
    <xf numFmtId="0" fontId="4" fillId="0" borderId="25" xfId="0" applyFont="1" applyFill="1" applyBorder="1" applyAlignment="1" applyProtection="1">
      <alignment horizontal="right"/>
      <protection hidden="1"/>
    </xf>
    <xf numFmtId="169" fontId="4" fillId="19" borderId="25" xfId="0" applyNumberFormat="1" applyFont="1" applyFill="1" applyBorder="1" applyProtection="1">
      <protection hidden="1"/>
    </xf>
    <xf numFmtId="169" fontId="4" fillId="14" borderId="25" xfId="0" applyNumberFormat="1" applyFont="1" applyFill="1" applyBorder="1" applyProtection="1">
      <protection hidden="1"/>
    </xf>
    <xf numFmtId="0" fontId="35" fillId="7" borderId="25" xfId="0" applyFont="1" applyFill="1" applyBorder="1" applyProtection="1">
      <protection hidden="1"/>
    </xf>
    <xf numFmtId="3" fontId="13" fillId="0" borderId="25" xfId="0" applyNumberFormat="1" applyFont="1" applyFill="1" applyBorder="1" applyProtection="1">
      <protection hidden="1"/>
    </xf>
    <xf numFmtId="10" fontId="0" fillId="44" borderId="25" xfId="0" applyNumberFormat="1" applyFill="1" applyBorder="1" applyProtection="1">
      <protection hidden="1"/>
    </xf>
    <xf numFmtId="0" fontId="4" fillId="0" borderId="0" xfId="0" applyFont="1" applyProtection="1">
      <protection hidden="1"/>
    </xf>
    <xf numFmtId="0" fontId="4" fillId="0" borderId="2" xfId="0" applyFont="1" applyFill="1" applyBorder="1" applyAlignment="1" applyProtection="1">
      <protection hidden="1"/>
    </xf>
    <xf numFmtId="0" fontId="4" fillId="0" borderId="0" xfId="0" applyFont="1" applyFill="1" applyProtection="1">
      <protection hidden="1"/>
    </xf>
    <xf numFmtId="2" fontId="0" fillId="7" borderId="25" xfId="0" applyNumberFormat="1" applyFill="1" applyBorder="1" applyProtection="1">
      <protection hidden="1"/>
    </xf>
    <xf numFmtId="2" fontId="0" fillId="40" borderId="0" xfId="0" applyNumberFormat="1" applyFill="1" applyProtection="1">
      <protection hidden="1"/>
    </xf>
    <xf numFmtId="3" fontId="4" fillId="0" borderId="25" xfId="0" applyNumberFormat="1" applyFont="1" applyFill="1" applyBorder="1" applyAlignment="1" applyProtection="1">
      <alignment horizontal="right"/>
      <protection hidden="1"/>
    </xf>
    <xf numFmtId="10" fontId="35" fillId="40" borderId="25" xfId="0" applyNumberFormat="1" applyFont="1" applyFill="1" applyBorder="1" applyProtection="1">
      <protection hidden="1"/>
    </xf>
    <xf numFmtId="4" fontId="4" fillId="0" borderId="25" xfId="0" applyNumberFormat="1" applyFont="1" applyFill="1" applyBorder="1" applyAlignment="1" applyProtection="1">
      <alignment horizontal="right"/>
      <protection hidden="1"/>
    </xf>
    <xf numFmtId="0" fontId="13" fillId="17" borderId="0" xfId="0" applyFont="1" applyFill="1" applyProtection="1">
      <protection hidden="1"/>
    </xf>
    <xf numFmtId="0" fontId="35" fillId="21" borderId="25" xfId="0" applyFont="1" applyFill="1" applyBorder="1" applyProtection="1">
      <protection hidden="1"/>
    </xf>
    <xf numFmtId="3" fontId="41" fillId="0" borderId="25" xfId="0" applyNumberFormat="1" applyFont="1" applyFill="1" applyBorder="1" applyProtection="1">
      <protection hidden="1"/>
    </xf>
    <xf numFmtId="0" fontId="4" fillId="16" borderId="25" xfId="0" applyFont="1" applyFill="1" applyBorder="1" applyProtection="1">
      <protection hidden="1"/>
    </xf>
    <xf numFmtId="3" fontId="13" fillId="7" borderId="0" xfId="0" applyNumberFormat="1" applyFont="1" applyFill="1" applyProtection="1">
      <protection hidden="1"/>
    </xf>
    <xf numFmtId="0" fontId="39" fillId="7" borderId="0" xfId="0" applyFont="1" applyFill="1" applyAlignment="1" applyProtection="1">
      <protection hidden="1"/>
    </xf>
    <xf numFmtId="0" fontId="13" fillId="0" borderId="25" xfId="1" applyNumberFormat="1" applyFont="1" applyBorder="1" applyProtection="1">
      <protection hidden="1"/>
    </xf>
    <xf numFmtId="9" fontId="13" fillId="0" borderId="25" xfId="1" applyFont="1" applyBorder="1" applyProtection="1">
      <protection hidden="1"/>
    </xf>
    <xf numFmtId="0" fontId="13" fillId="44" borderId="25" xfId="0" applyFont="1" applyFill="1" applyBorder="1" applyProtection="1">
      <protection hidden="1"/>
    </xf>
    <xf numFmtId="0" fontId="56" fillId="22" borderId="25" xfId="0" applyFont="1" applyFill="1" applyBorder="1" applyProtection="1">
      <protection hidden="1"/>
    </xf>
    <xf numFmtId="4" fontId="57" fillId="0" borderId="25" xfId="0" applyNumberFormat="1" applyFont="1" applyBorder="1" applyProtection="1">
      <protection hidden="1"/>
    </xf>
    <xf numFmtId="4" fontId="57" fillId="27" borderId="25" xfId="0" applyNumberFormat="1" applyFont="1" applyFill="1" applyBorder="1" applyProtection="1">
      <protection hidden="1"/>
    </xf>
    <xf numFmtId="4" fontId="57" fillId="24" borderId="25" xfId="0" applyNumberFormat="1" applyFont="1" applyFill="1" applyBorder="1" applyProtection="1">
      <protection hidden="1"/>
    </xf>
    <xf numFmtId="2" fontId="0" fillId="28" borderId="25" xfId="0" applyNumberFormat="1" applyFill="1" applyBorder="1" applyProtection="1">
      <protection hidden="1"/>
    </xf>
    <xf numFmtId="4" fontId="57" fillId="0" borderId="25" xfId="0" applyNumberFormat="1" applyFont="1" applyFill="1" applyBorder="1" applyProtection="1">
      <protection hidden="1"/>
    </xf>
    <xf numFmtId="0" fontId="0" fillId="0" borderId="25" xfId="0" applyBorder="1" applyProtection="1">
      <protection hidden="1"/>
    </xf>
    <xf numFmtId="0" fontId="57" fillId="7" borderId="25" xfId="0" applyFont="1" applyFill="1" applyBorder="1" applyProtection="1">
      <protection hidden="1"/>
    </xf>
    <xf numFmtId="4" fontId="57" fillId="7" borderId="25" xfId="0" applyNumberFormat="1" applyFont="1" applyFill="1" applyBorder="1" applyProtection="1">
      <protection hidden="1"/>
    </xf>
    <xf numFmtId="4" fontId="64" fillId="34" borderId="25" xfId="0" applyNumberFormat="1" applyFont="1" applyFill="1" applyBorder="1" applyProtection="1">
      <protection hidden="1"/>
    </xf>
    <xf numFmtId="0" fontId="65" fillId="34" borderId="25" xfId="0" applyNumberFormat="1" applyFont="1" applyFill="1" applyBorder="1" applyProtection="1">
      <protection hidden="1"/>
    </xf>
    <xf numFmtId="0" fontId="66" fillId="7" borderId="0" xfId="0" applyFont="1" applyFill="1" applyBorder="1" applyProtection="1">
      <protection hidden="1"/>
    </xf>
    <xf numFmtId="0" fontId="65" fillId="7" borderId="25" xfId="0" applyNumberFormat="1" applyFont="1" applyFill="1" applyBorder="1" applyProtection="1">
      <protection hidden="1"/>
    </xf>
    <xf numFmtId="0" fontId="64" fillId="7" borderId="25" xfId="0" applyNumberFormat="1" applyFont="1" applyFill="1" applyBorder="1" applyProtection="1">
      <protection hidden="1"/>
    </xf>
    <xf numFmtId="0" fontId="67" fillId="7" borderId="25" xfId="0" applyFont="1" applyFill="1" applyBorder="1" applyProtection="1">
      <protection hidden="1"/>
    </xf>
    <xf numFmtId="4" fontId="66" fillId="7" borderId="0" xfId="0" applyNumberFormat="1" applyFont="1" applyFill="1" applyBorder="1" applyProtection="1">
      <protection hidden="1"/>
    </xf>
    <xf numFmtId="4" fontId="68" fillId="7" borderId="0" xfId="0" applyNumberFormat="1" applyFont="1" applyFill="1" applyBorder="1" applyProtection="1">
      <protection hidden="1"/>
    </xf>
    <xf numFmtId="0" fontId="69" fillId="8" borderId="25" xfId="0" applyFont="1" applyFill="1" applyBorder="1" applyAlignment="1" applyProtection="1">
      <alignment wrapText="1"/>
      <protection hidden="1"/>
    </xf>
    <xf numFmtId="0" fontId="79" fillId="7" borderId="0" xfId="0" applyFont="1" applyFill="1" applyAlignment="1" applyProtection="1">
      <protection hidden="1"/>
    </xf>
    <xf numFmtId="0" fontId="0" fillId="0" borderId="25" xfId="0" applyFill="1" applyBorder="1" applyProtection="1">
      <protection hidden="1"/>
    </xf>
    <xf numFmtId="0" fontId="0" fillId="39" borderId="25" xfId="0" applyFill="1" applyBorder="1" applyProtection="1">
      <protection hidden="1"/>
    </xf>
    <xf numFmtId="0" fontId="57" fillId="0" borderId="25" xfId="0" applyFont="1" applyFill="1" applyBorder="1" applyProtection="1">
      <protection hidden="1"/>
    </xf>
    <xf numFmtId="2" fontId="57" fillId="25" borderId="25" xfId="0" applyNumberFormat="1" applyFont="1" applyFill="1" applyBorder="1" applyProtection="1">
      <protection hidden="1"/>
    </xf>
    <xf numFmtId="4" fontId="57" fillId="7" borderId="0" xfId="0" applyNumberFormat="1" applyFont="1" applyFill="1" applyProtection="1">
      <protection hidden="1"/>
    </xf>
    <xf numFmtId="0" fontId="56" fillId="29" borderId="25" xfId="0" applyFont="1" applyFill="1" applyBorder="1" applyAlignment="1" applyProtection="1">
      <alignment horizontal="center"/>
      <protection hidden="1"/>
    </xf>
    <xf numFmtId="2" fontId="57" fillId="32" borderId="25" xfId="0" applyNumberFormat="1" applyFont="1" applyFill="1" applyBorder="1" applyProtection="1">
      <protection hidden="1"/>
    </xf>
    <xf numFmtId="4" fontId="57" fillId="34" borderId="25" xfId="0" applyNumberFormat="1" applyFont="1" applyFill="1" applyBorder="1" applyProtection="1">
      <protection hidden="1"/>
    </xf>
    <xf numFmtId="0" fontId="13" fillId="43" borderId="25" xfId="0" applyFont="1" applyFill="1" applyBorder="1" applyProtection="1">
      <protection hidden="1"/>
    </xf>
    <xf numFmtId="4" fontId="57" fillId="11" borderId="25" xfId="0" applyNumberFormat="1" applyFont="1" applyFill="1" applyBorder="1" applyProtection="1">
      <protection hidden="1"/>
    </xf>
    <xf numFmtId="0" fontId="13" fillId="0" borderId="25" xfId="0" applyNumberFormat="1" applyFont="1" applyBorder="1" applyProtection="1">
      <protection hidden="1"/>
    </xf>
    <xf numFmtId="39" fontId="13" fillId="0" borderId="0" xfId="0" applyNumberFormat="1" applyFont="1" applyProtection="1">
      <protection hidden="1"/>
    </xf>
    <xf numFmtId="0" fontId="13" fillId="43" borderId="0" xfId="0" applyFont="1" applyFill="1" applyProtection="1">
      <protection hidden="1"/>
    </xf>
    <xf numFmtId="1" fontId="13" fillId="0" borderId="25" xfId="0" applyNumberFormat="1" applyFont="1" applyBorder="1" applyProtection="1">
      <protection hidden="1"/>
    </xf>
    <xf numFmtId="10" fontId="13" fillId="0" borderId="25" xfId="1" applyNumberFormat="1" applyFont="1" applyBorder="1" applyProtection="1">
      <protection hidden="1"/>
    </xf>
    <xf numFmtId="2" fontId="0" fillId="0" borderId="25" xfId="0" applyNumberFormat="1" applyBorder="1" applyProtection="1">
      <protection hidden="1"/>
    </xf>
    <xf numFmtId="0" fontId="0" fillId="0" borderId="102" xfId="0" applyBorder="1" applyProtection="1">
      <protection hidden="1"/>
    </xf>
    <xf numFmtId="0" fontId="0" fillId="44" borderId="102" xfId="0" applyFill="1" applyBorder="1" applyProtection="1">
      <protection hidden="1"/>
    </xf>
    <xf numFmtId="2" fontId="0" fillId="0" borderId="102" xfId="0" applyNumberFormat="1" applyBorder="1" applyProtection="1">
      <protection hidden="1"/>
    </xf>
    <xf numFmtId="0" fontId="0" fillId="9" borderId="25" xfId="0" applyFill="1" applyBorder="1" applyProtection="1">
      <protection hidden="1"/>
    </xf>
    <xf numFmtId="0" fontId="108" fillId="0" borderId="25" xfId="0" applyFont="1" applyBorder="1" applyProtection="1">
      <protection hidden="1"/>
    </xf>
    <xf numFmtId="0" fontId="39" fillId="0" borderId="25" xfId="0" applyFont="1" applyBorder="1" applyAlignment="1" applyProtection="1">
      <alignment horizontal="center"/>
      <protection hidden="1"/>
    </xf>
    <xf numFmtId="0" fontId="13" fillId="0" borderId="25" xfId="0" applyFont="1" applyBorder="1" applyAlignment="1" applyProtection="1">
      <alignment horizontal="center"/>
      <protection hidden="1"/>
    </xf>
    <xf numFmtId="0" fontId="39" fillId="5" borderId="25" xfId="0" applyFont="1" applyFill="1" applyBorder="1" applyProtection="1">
      <protection hidden="1"/>
    </xf>
    <xf numFmtId="0" fontId="13" fillId="32" borderId="0" xfId="0" applyFont="1" applyFill="1" applyProtection="1">
      <protection hidden="1"/>
    </xf>
    <xf numFmtId="0" fontId="13" fillId="32" borderId="0" xfId="0" applyFont="1" applyFill="1" applyAlignment="1" applyProtection="1">
      <alignment wrapText="1"/>
      <protection hidden="1"/>
    </xf>
    <xf numFmtId="0" fontId="7" fillId="30" borderId="0" xfId="0" applyFont="1" applyFill="1" applyAlignment="1" applyProtection="1">
      <alignment wrapText="1"/>
      <protection hidden="1"/>
    </xf>
    <xf numFmtId="49" fontId="13" fillId="0" borderId="25" xfId="0" applyNumberFormat="1" applyFont="1" applyBorder="1" applyProtection="1">
      <protection hidden="1"/>
    </xf>
    <xf numFmtId="4" fontId="39" fillId="39" borderId="25" xfId="0" applyNumberFormat="1" applyFont="1" applyFill="1" applyBorder="1" applyProtection="1">
      <protection hidden="1"/>
    </xf>
    <xf numFmtId="4" fontId="13" fillId="0" borderId="0" xfId="0" applyNumberFormat="1" applyFont="1" applyProtection="1">
      <protection hidden="1"/>
    </xf>
    <xf numFmtId="0" fontId="39" fillId="43" borderId="25" xfId="0" applyFont="1" applyFill="1" applyBorder="1" applyAlignment="1" applyProtection="1">
      <alignment horizontal="center"/>
      <protection hidden="1"/>
    </xf>
    <xf numFmtId="0" fontId="39" fillId="43" borderId="25" xfId="0" applyFont="1" applyFill="1" applyBorder="1" applyAlignment="1" applyProtection="1">
      <alignment horizontal="center" wrapText="1"/>
      <protection hidden="1"/>
    </xf>
    <xf numFmtId="4" fontId="39" fillId="46" borderId="25" xfId="0" applyNumberFormat="1" applyFont="1" applyFill="1" applyBorder="1" applyProtection="1">
      <protection hidden="1"/>
    </xf>
    <xf numFmtId="4" fontId="39" fillId="0" borderId="0" xfId="0" applyNumberFormat="1" applyFont="1" applyProtection="1">
      <protection hidden="1"/>
    </xf>
    <xf numFmtId="0" fontId="75" fillId="27" borderId="25" xfId="0" applyFont="1" applyFill="1" applyBorder="1" applyAlignment="1" applyProtection="1">
      <alignment wrapText="1"/>
      <protection hidden="1"/>
    </xf>
    <xf numFmtId="0" fontId="52" fillId="0" borderId="83" xfId="0" applyFont="1" applyFill="1" applyBorder="1" applyProtection="1">
      <protection hidden="1"/>
    </xf>
    <xf numFmtId="0" fontId="27" fillId="0" borderId="25" xfId="0" applyFont="1" applyFill="1" applyBorder="1" applyProtection="1">
      <protection hidden="1"/>
    </xf>
    <xf numFmtId="0" fontId="76" fillId="24" borderId="25" xfId="0" applyFont="1" applyFill="1" applyBorder="1" applyProtection="1">
      <protection hidden="1"/>
    </xf>
    <xf numFmtId="0" fontId="52" fillId="0" borderId="25" xfId="0" applyFont="1" applyFill="1" applyBorder="1" applyProtection="1">
      <protection hidden="1"/>
    </xf>
    <xf numFmtId="0" fontId="0" fillId="0" borderId="0" xfId="0" applyFill="1" applyProtection="1">
      <protection hidden="1"/>
    </xf>
    <xf numFmtId="0" fontId="27" fillId="26" borderId="25" xfId="0" applyFont="1" applyFill="1" applyBorder="1" applyProtection="1">
      <protection hidden="1"/>
    </xf>
    <xf numFmtId="2" fontId="27" fillId="26" borderId="25" xfId="0" applyNumberFormat="1" applyFont="1" applyFill="1" applyBorder="1" applyProtection="1">
      <protection hidden="1"/>
    </xf>
    <xf numFmtId="0" fontId="52" fillId="24" borderId="25" xfId="0" applyFont="1" applyFill="1" applyBorder="1" applyProtection="1">
      <protection hidden="1"/>
    </xf>
    <xf numFmtId="0" fontId="27" fillId="24" borderId="25" xfId="0" applyFont="1" applyFill="1" applyBorder="1" applyProtection="1">
      <protection hidden="1"/>
    </xf>
    <xf numFmtId="0" fontId="27" fillId="0" borderId="102" xfId="0" applyFont="1" applyFill="1" applyBorder="1" applyProtection="1">
      <protection hidden="1"/>
    </xf>
    <xf numFmtId="0" fontId="27" fillId="0" borderId="0" xfId="0" applyFont="1" applyProtection="1">
      <protection hidden="1"/>
    </xf>
    <xf numFmtId="0" fontId="54" fillId="27" borderId="25" xfId="0" applyFont="1" applyFill="1" applyBorder="1" applyAlignment="1" applyProtection="1">
      <protection hidden="1"/>
    </xf>
    <xf numFmtId="0" fontId="62" fillId="22" borderId="25" xfId="0" applyFont="1" applyFill="1" applyBorder="1" applyAlignment="1" applyProtection="1">
      <alignment wrapText="1"/>
      <protection hidden="1"/>
    </xf>
    <xf numFmtId="0" fontId="62" fillId="22" borderId="25" xfId="0" applyFont="1" applyFill="1" applyBorder="1" applyAlignment="1" applyProtection="1">
      <protection hidden="1"/>
    </xf>
    <xf numFmtId="0" fontId="61" fillId="19" borderId="25" xfId="0" applyFont="1" applyFill="1" applyBorder="1" applyProtection="1">
      <protection hidden="1"/>
    </xf>
    <xf numFmtId="0" fontId="71" fillId="19" borderId="25" xfId="0" applyFont="1" applyFill="1" applyBorder="1" applyAlignment="1" applyProtection="1">
      <alignment wrapText="1"/>
      <protection hidden="1"/>
    </xf>
    <xf numFmtId="0" fontId="71" fillId="19" borderId="25" xfId="0" applyFont="1" applyFill="1" applyBorder="1" applyAlignment="1" applyProtection="1">
      <alignment vertical="center" wrapText="1"/>
      <protection hidden="1"/>
    </xf>
    <xf numFmtId="0" fontId="61" fillId="8" borderId="25" xfId="0" applyFont="1" applyFill="1" applyBorder="1" applyProtection="1">
      <protection hidden="1"/>
    </xf>
    <xf numFmtId="0" fontId="71" fillId="8" borderId="25" xfId="0" applyFont="1" applyFill="1" applyBorder="1" applyAlignment="1" applyProtection="1">
      <alignment wrapText="1"/>
      <protection hidden="1"/>
    </xf>
    <xf numFmtId="0" fontId="71" fillId="8" borderId="25" xfId="0" applyFont="1" applyFill="1" applyBorder="1" applyProtection="1">
      <protection hidden="1"/>
    </xf>
    <xf numFmtId="0" fontId="61" fillId="3" borderId="25" xfId="0" applyFont="1" applyFill="1" applyBorder="1" applyProtection="1">
      <protection hidden="1"/>
    </xf>
    <xf numFmtId="0" fontId="61" fillId="7" borderId="0" xfId="0" applyFont="1" applyFill="1" applyBorder="1" applyProtection="1">
      <protection hidden="1"/>
    </xf>
    <xf numFmtId="0" fontId="73" fillId="33" borderId="25" xfId="0" applyFont="1" applyFill="1" applyBorder="1" applyProtection="1">
      <protection hidden="1"/>
    </xf>
    <xf numFmtId="0" fontId="70" fillId="4" borderId="25" xfId="0" applyFont="1" applyFill="1" applyBorder="1" applyAlignment="1" applyProtection="1">
      <alignment horizontal="center" vertical="center" wrapText="1"/>
      <protection hidden="1"/>
    </xf>
    <xf numFmtId="0" fontId="73" fillId="5" borderId="0" xfId="0" applyFont="1" applyFill="1" applyAlignment="1" applyProtection="1">
      <alignment horizontal="center" vertical="center" wrapText="1"/>
      <protection hidden="1"/>
    </xf>
    <xf numFmtId="0" fontId="52" fillId="28" borderId="25" xfId="0" applyFont="1" applyFill="1" applyBorder="1" applyProtection="1">
      <protection hidden="1"/>
    </xf>
    <xf numFmtId="0" fontId="27" fillId="28" borderId="25" xfId="0" applyFont="1" applyFill="1" applyBorder="1" applyProtection="1">
      <protection hidden="1"/>
    </xf>
    <xf numFmtId="0" fontId="27" fillId="18" borderId="25" xfId="0" applyFont="1" applyFill="1" applyBorder="1" applyProtection="1">
      <protection hidden="1"/>
    </xf>
    <xf numFmtId="2" fontId="27" fillId="31" borderId="25" xfId="0" applyNumberFormat="1" applyFont="1" applyFill="1" applyBorder="1" applyProtection="1">
      <protection hidden="1"/>
    </xf>
    <xf numFmtId="0" fontId="27" fillId="31" borderId="25" xfId="0" applyFont="1" applyFill="1" applyBorder="1" applyProtection="1">
      <protection hidden="1"/>
    </xf>
    <xf numFmtId="0" fontId="27" fillId="10" borderId="25" xfId="0" applyFont="1" applyFill="1" applyBorder="1" applyProtection="1">
      <protection hidden="1"/>
    </xf>
    <xf numFmtId="0" fontId="27" fillId="34" borderId="25" xfId="0" applyNumberFormat="1" applyFont="1" applyFill="1" applyBorder="1" applyProtection="1">
      <protection hidden="1"/>
    </xf>
    <xf numFmtId="2" fontId="27" fillId="34" borderId="25" xfId="0" applyNumberFormat="1" applyFont="1" applyFill="1" applyBorder="1" applyProtection="1">
      <protection hidden="1"/>
    </xf>
    <xf numFmtId="2" fontId="27" fillId="7" borderId="0" xfId="0" applyNumberFormat="1" applyFont="1" applyFill="1" applyBorder="1" applyProtection="1">
      <protection hidden="1"/>
    </xf>
    <xf numFmtId="0" fontId="73" fillId="7" borderId="25" xfId="0" applyFont="1" applyFill="1" applyBorder="1" applyProtection="1">
      <protection hidden="1"/>
    </xf>
    <xf numFmtId="0" fontId="27" fillId="4" borderId="25" xfId="0" applyFont="1" applyFill="1" applyBorder="1" applyProtection="1">
      <protection hidden="1"/>
    </xf>
    <xf numFmtId="39" fontId="70" fillId="4" borderId="25" xfId="0" applyNumberFormat="1" applyFont="1" applyFill="1" applyBorder="1" applyProtection="1">
      <protection hidden="1"/>
    </xf>
    <xf numFmtId="0" fontId="70" fillId="7" borderId="10" xfId="0" applyFont="1" applyFill="1" applyBorder="1" applyAlignment="1" applyProtection="1">
      <alignment horizontal="center" vertical="center" wrapText="1"/>
      <protection hidden="1"/>
    </xf>
    <xf numFmtId="4" fontId="74" fillId="7" borderId="0" xfId="0" applyNumberFormat="1" applyFont="1" applyFill="1" applyBorder="1" applyProtection="1">
      <protection hidden="1"/>
    </xf>
    <xf numFmtId="0" fontId="71" fillId="8" borderId="42" xfId="0" applyFont="1" applyFill="1" applyBorder="1" applyAlignment="1" applyProtection="1">
      <alignment horizontal="center" wrapText="1"/>
      <protection hidden="1"/>
    </xf>
    <xf numFmtId="0" fontId="73" fillId="38" borderId="25" xfId="0" applyFont="1" applyFill="1" applyBorder="1" applyProtection="1">
      <protection hidden="1"/>
    </xf>
    <xf numFmtId="4" fontId="70" fillId="38" borderId="25" xfId="0" applyNumberFormat="1" applyFont="1" applyFill="1" applyBorder="1" applyProtection="1">
      <protection hidden="1"/>
    </xf>
    <xf numFmtId="0" fontId="73" fillId="7" borderId="25" xfId="0" applyFont="1" applyFill="1" applyBorder="1" applyAlignment="1" applyProtection="1">
      <alignment horizontal="right"/>
      <protection hidden="1"/>
    </xf>
    <xf numFmtId="0" fontId="73" fillId="0" borderId="25" xfId="0" applyFont="1" applyFill="1" applyBorder="1" applyProtection="1">
      <protection hidden="1"/>
    </xf>
    <xf numFmtId="0" fontId="71" fillId="0" borderId="25" xfId="0" applyFont="1" applyFill="1" applyBorder="1" applyAlignment="1" applyProtection="1">
      <alignment horizontal="center" wrapText="1"/>
      <protection hidden="1"/>
    </xf>
    <xf numFmtId="0" fontId="73" fillId="0" borderId="0" xfId="0" applyFont="1" applyFill="1" applyProtection="1">
      <protection hidden="1"/>
    </xf>
    <xf numFmtId="0" fontId="73" fillId="32" borderId="25" xfId="0" applyFont="1" applyFill="1" applyBorder="1" applyProtection="1">
      <protection hidden="1"/>
    </xf>
    <xf numFmtId="4" fontId="70" fillId="32" borderId="25" xfId="0" applyNumberFormat="1" applyFont="1" applyFill="1" applyBorder="1" applyProtection="1">
      <protection hidden="1"/>
    </xf>
    <xf numFmtId="0" fontId="27" fillId="14" borderId="25" xfId="0" applyFont="1" applyFill="1" applyBorder="1" applyProtection="1">
      <protection hidden="1"/>
    </xf>
    <xf numFmtId="2" fontId="27" fillId="14" borderId="25" xfId="0" applyNumberFormat="1" applyFont="1" applyFill="1" applyBorder="1" applyProtection="1">
      <protection hidden="1"/>
    </xf>
    <xf numFmtId="1" fontId="27" fillId="34" borderId="25" xfId="0" applyNumberFormat="1" applyFont="1" applyFill="1" applyBorder="1" applyProtection="1">
      <protection hidden="1"/>
    </xf>
    <xf numFmtId="0" fontId="70" fillId="0" borderId="0" xfId="0" applyFont="1" applyProtection="1">
      <protection hidden="1"/>
    </xf>
    <xf numFmtId="0" fontId="70" fillId="10" borderId="25" xfId="0" applyFont="1" applyFill="1" applyBorder="1" applyProtection="1">
      <protection hidden="1"/>
    </xf>
    <xf numFmtId="0" fontId="73" fillId="7" borderId="43" xfId="0" applyFont="1" applyFill="1" applyBorder="1" applyAlignment="1" applyProtection="1">
      <alignment wrapText="1"/>
      <protection hidden="1"/>
    </xf>
    <xf numFmtId="0" fontId="73" fillId="0" borderId="43" xfId="0" applyFont="1" applyFill="1" applyBorder="1" applyAlignment="1" applyProtection="1">
      <alignment wrapText="1"/>
      <protection hidden="1"/>
    </xf>
    <xf numFmtId="0" fontId="27" fillId="34" borderId="25" xfId="0" applyFont="1" applyFill="1" applyBorder="1" applyProtection="1">
      <protection hidden="1"/>
    </xf>
    <xf numFmtId="0" fontId="52" fillId="24" borderId="42" xfId="0" applyFont="1" applyFill="1" applyBorder="1" applyProtection="1">
      <protection hidden="1"/>
    </xf>
    <xf numFmtId="0" fontId="27" fillId="24" borderId="42" xfId="0" applyFont="1" applyFill="1" applyBorder="1" applyProtection="1">
      <protection hidden="1"/>
    </xf>
    <xf numFmtId="0" fontId="27" fillId="33" borderId="25" xfId="0" applyFont="1" applyFill="1" applyBorder="1" applyProtection="1">
      <protection hidden="1"/>
    </xf>
    <xf numFmtId="2" fontId="27" fillId="33" borderId="42" xfId="0" applyNumberFormat="1" applyFont="1" applyFill="1" applyBorder="1" applyProtection="1">
      <protection hidden="1"/>
    </xf>
    <xf numFmtId="0" fontId="27" fillId="33" borderId="42" xfId="0" applyFont="1" applyFill="1" applyBorder="1" applyProtection="1">
      <protection hidden="1"/>
    </xf>
    <xf numFmtId="0" fontId="27" fillId="10" borderId="42" xfId="0" applyFont="1" applyFill="1" applyBorder="1" applyProtection="1">
      <protection hidden="1"/>
    </xf>
    <xf numFmtId="2" fontId="27" fillId="10" borderId="42" xfId="0" applyNumberFormat="1" applyFont="1" applyFill="1" applyBorder="1" applyProtection="1">
      <protection hidden="1"/>
    </xf>
    <xf numFmtId="2" fontId="27" fillId="36" borderId="42" xfId="0" applyNumberFormat="1" applyFont="1" applyFill="1" applyBorder="1" applyProtection="1">
      <protection hidden="1"/>
    </xf>
    <xf numFmtId="2" fontId="27" fillId="33" borderId="25" xfId="0" applyNumberFormat="1" applyFont="1" applyFill="1" applyBorder="1" applyProtection="1">
      <protection hidden="1"/>
    </xf>
    <xf numFmtId="2" fontId="27" fillId="10" borderId="25" xfId="0" applyNumberFormat="1" applyFont="1" applyFill="1" applyBorder="1" applyProtection="1">
      <protection hidden="1"/>
    </xf>
    <xf numFmtId="2" fontId="27" fillId="36" borderId="25" xfId="0" applyNumberFormat="1" applyFont="1" applyFill="1" applyBorder="1" applyProtection="1">
      <protection hidden="1"/>
    </xf>
    <xf numFmtId="0" fontId="27" fillId="33" borderId="31" xfId="0" applyFont="1" applyFill="1" applyBorder="1" applyProtection="1">
      <protection hidden="1"/>
    </xf>
    <xf numFmtId="2" fontId="27" fillId="33" borderId="31" xfId="0" applyNumberFormat="1" applyFont="1" applyFill="1" applyBorder="1" applyProtection="1">
      <protection hidden="1"/>
    </xf>
    <xf numFmtId="0" fontId="52" fillId="29" borderId="25" xfId="0" applyFont="1" applyFill="1" applyBorder="1" applyProtection="1">
      <protection hidden="1"/>
    </xf>
    <xf numFmtId="0" fontId="27" fillId="29" borderId="25" xfId="0" applyFont="1" applyFill="1" applyBorder="1" applyProtection="1">
      <protection hidden="1"/>
    </xf>
    <xf numFmtId="2" fontId="27" fillId="29" borderId="25" xfId="0" applyNumberFormat="1" applyFont="1" applyFill="1" applyBorder="1" applyProtection="1">
      <protection hidden="1"/>
    </xf>
    <xf numFmtId="2" fontId="27" fillId="7" borderId="6" xfId="0" applyNumberFormat="1" applyFont="1" applyFill="1" applyBorder="1" applyProtection="1">
      <protection hidden="1"/>
    </xf>
    <xf numFmtId="2" fontId="27" fillId="7" borderId="25" xfId="0" applyNumberFormat="1" applyFont="1" applyFill="1" applyBorder="1" applyProtection="1">
      <protection hidden="1"/>
    </xf>
    <xf numFmtId="0" fontId="27" fillId="0" borderId="25" xfId="0" applyFont="1" applyBorder="1" applyProtection="1">
      <protection hidden="1"/>
    </xf>
    <xf numFmtId="0" fontId="52" fillId="4" borderId="25" xfId="0" applyFont="1" applyFill="1" applyBorder="1" applyProtection="1">
      <protection hidden="1"/>
    </xf>
    <xf numFmtId="0" fontId="27" fillId="4" borderId="102" xfId="0" applyFont="1" applyFill="1" applyBorder="1" applyProtection="1">
      <protection hidden="1"/>
    </xf>
    <xf numFmtId="0" fontId="27" fillId="34" borderId="102" xfId="0" applyFont="1" applyFill="1" applyBorder="1" applyProtection="1">
      <protection hidden="1"/>
    </xf>
    <xf numFmtId="0" fontId="27" fillId="26" borderId="102" xfId="0" applyFont="1" applyFill="1" applyBorder="1" applyProtection="1">
      <protection hidden="1"/>
    </xf>
    <xf numFmtId="0" fontId="27" fillId="7" borderId="0" xfId="0" applyFont="1" applyFill="1" applyProtection="1">
      <protection hidden="1"/>
    </xf>
    <xf numFmtId="0" fontId="27" fillId="43" borderId="103" xfId="0" applyFont="1" applyFill="1" applyBorder="1" applyProtection="1">
      <protection hidden="1"/>
    </xf>
    <xf numFmtId="0" fontId="27" fillId="0" borderId="102" xfId="0" applyFont="1" applyBorder="1" applyProtection="1">
      <protection hidden="1"/>
    </xf>
    <xf numFmtId="0" fontId="27" fillId="43" borderId="41" xfId="0" applyFont="1" applyFill="1" applyBorder="1" applyProtection="1">
      <protection hidden="1"/>
    </xf>
    <xf numFmtId="0" fontId="52" fillId="26" borderId="25" xfId="0" applyFont="1" applyFill="1" applyBorder="1" applyProtection="1">
      <protection hidden="1"/>
    </xf>
    <xf numFmtId="0" fontId="27" fillId="18" borderId="102" xfId="0" applyFont="1" applyFill="1" applyBorder="1" applyProtection="1">
      <protection hidden="1"/>
    </xf>
    <xf numFmtId="2" fontId="27" fillId="18" borderId="25" xfId="0" applyNumberFormat="1" applyFont="1" applyFill="1" applyBorder="1" applyProtection="1">
      <protection hidden="1"/>
    </xf>
    <xf numFmtId="0" fontId="27" fillId="43" borderId="42" xfId="0" applyFont="1" applyFill="1" applyBorder="1" applyProtection="1">
      <protection hidden="1"/>
    </xf>
    <xf numFmtId="0" fontId="27" fillId="29" borderId="102" xfId="0" applyFont="1" applyFill="1" applyBorder="1" applyProtection="1">
      <protection hidden="1"/>
    </xf>
    <xf numFmtId="2" fontId="27" fillId="26" borderId="102" xfId="0" applyNumberFormat="1" applyFont="1" applyFill="1" applyBorder="1" applyProtection="1">
      <protection hidden="1"/>
    </xf>
    <xf numFmtId="2" fontId="27" fillId="29" borderId="102" xfId="0" applyNumberFormat="1" applyFont="1" applyFill="1" applyBorder="1" applyProtection="1">
      <protection hidden="1"/>
    </xf>
    <xf numFmtId="2" fontId="27" fillId="0" borderId="102" xfId="0" applyNumberFormat="1" applyFont="1" applyBorder="1" applyProtection="1">
      <protection hidden="1"/>
    </xf>
    <xf numFmtId="0" fontId="4" fillId="0" borderId="0" xfId="2" applyProtection="1">
      <protection hidden="1"/>
    </xf>
    <xf numFmtId="172" fontId="4" fillId="7" borderId="25" xfId="4" applyNumberFormat="1" applyFont="1" applyFill="1" applyBorder="1" applyAlignment="1" applyProtection="1">
      <alignment horizontal="left"/>
      <protection hidden="1"/>
    </xf>
    <xf numFmtId="172" fontId="4" fillId="21" borderId="25" xfId="4" applyNumberFormat="1" applyFont="1" applyFill="1" applyBorder="1" applyAlignment="1" applyProtection="1">
      <alignment horizontal="left"/>
      <protection hidden="1"/>
    </xf>
    <xf numFmtId="0" fontId="4" fillId="7" borderId="0" xfId="2" applyFill="1" applyProtection="1">
      <protection hidden="1"/>
    </xf>
    <xf numFmtId="0" fontId="4" fillId="7" borderId="0" xfId="2" applyFill="1" applyBorder="1" applyProtection="1">
      <protection hidden="1"/>
    </xf>
    <xf numFmtId="172" fontId="4" fillId="10" borderId="25" xfId="4" applyNumberFormat="1" applyFont="1" applyFill="1" applyBorder="1" applyAlignment="1" applyProtection="1">
      <alignment horizontal="left"/>
      <protection hidden="1"/>
    </xf>
    <xf numFmtId="172" fontId="4" fillId="7" borderId="0" xfId="4" applyNumberFormat="1" applyFont="1" applyFill="1" applyBorder="1" applyAlignment="1" applyProtection="1">
      <alignment horizontal="left"/>
      <protection hidden="1"/>
    </xf>
    <xf numFmtId="172" fontId="4" fillId="0" borderId="25" xfId="4" applyNumberFormat="1" applyFont="1" applyBorder="1" applyAlignment="1" applyProtection="1">
      <alignment horizontal="left"/>
      <protection hidden="1"/>
    </xf>
    <xf numFmtId="0" fontId="35" fillId="34" borderId="25" xfId="2" quotePrefix="1" applyFont="1" applyFill="1" applyBorder="1" applyAlignment="1" applyProtection="1">
      <alignment horizontal="center" vertical="center" wrapText="1"/>
      <protection hidden="1"/>
    </xf>
    <xf numFmtId="0" fontId="35" fillId="7" borderId="0" xfId="2" applyFont="1" applyFill="1" applyBorder="1" applyAlignment="1" applyProtection="1">
      <alignment wrapText="1"/>
      <protection hidden="1"/>
    </xf>
    <xf numFmtId="0" fontId="35" fillId="9" borderId="25" xfId="2" quotePrefix="1" applyFont="1" applyFill="1" applyBorder="1" applyAlignment="1" applyProtection="1">
      <alignment horizontal="center" vertical="center" wrapText="1"/>
      <protection hidden="1"/>
    </xf>
    <xf numFmtId="172" fontId="36" fillId="8" borderId="25" xfId="4" applyNumberFormat="1" applyFont="1" applyFill="1" applyBorder="1" applyAlignment="1" applyProtection="1">
      <alignment horizontal="center"/>
      <protection hidden="1"/>
    </xf>
    <xf numFmtId="172" fontId="4" fillId="7" borderId="6" xfId="4" applyNumberFormat="1" applyFont="1" applyFill="1" applyBorder="1" applyAlignment="1" applyProtection="1">
      <alignment horizontal="left"/>
      <protection hidden="1"/>
    </xf>
    <xf numFmtId="172" fontId="4" fillId="0" borderId="25" xfId="4" applyNumberFormat="1" applyFont="1" applyFill="1" applyBorder="1" applyAlignment="1" applyProtection="1">
      <alignment horizontal="left"/>
      <protection hidden="1"/>
    </xf>
    <xf numFmtId="38" fontId="4" fillId="7" borderId="25" xfId="4" applyNumberFormat="1" applyFont="1" applyFill="1" applyBorder="1" applyAlignment="1" applyProtection="1">
      <alignment horizontal="left"/>
      <protection hidden="1"/>
    </xf>
    <xf numFmtId="172" fontId="4" fillId="7" borderId="12" xfId="4" applyNumberFormat="1" applyFont="1" applyFill="1" applyBorder="1" applyAlignment="1" applyProtection="1">
      <alignment horizontal="left"/>
      <protection hidden="1"/>
    </xf>
    <xf numFmtId="0" fontId="70" fillId="7" borderId="0" xfId="2" applyFont="1" applyFill="1" applyBorder="1" applyAlignment="1" applyProtection="1">
      <alignment horizontal="center" wrapText="1"/>
      <protection hidden="1"/>
    </xf>
    <xf numFmtId="0" fontId="35" fillId="7" borderId="0" xfId="2" applyFont="1" applyFill="1" applyBorder="1" applyAlignment="1" applyProtection="1">
      <alignment horizontal="center"/>
      <protection hidden="1"/>
    </xf>
    <xf numFmtId="0" fontId="56" fillId="7" borderId="0" xfId="2" applyFont="1" applyFill="1" applyBorder="1" applyAlignment="1" applyProtection="1">
      <alignment horizontal="center" wrapText="1"/>
      <protection hidden="1"/>
    </xf>
    <xf numFmtId="0" fontId="56" fillId="28" borderId="3" xfId="2" quotePrefix="1" applyFont="1" applyFill="1" applyBorder="1" applyAlignment="1" applyProtection="1">
      <alignment horizontal="center" vertical="center" wrapText="1"/>
      <protection hidden="1"/>
    </xf>
    <xf numFmtId="172" fontId="4" fillId="24" borderId="25" xfId="4" applyNumberFormat="1" applyFont="1" applyFill="1" applyBorder="1" applyAlignment="1" applyProtection="1">
      <alignment horizontal="left"/>
      <protection hidden="1"/>
    </xf>
    <xf numFmtId="172" fontId="36" fillId="22" borderId="25" xfId="4" applyNumberFormat="1" applyFont="1" applyFill="1" applyBorder="1" applyAlignment="1" applyProtection="1">
      <alignment horizontal="center"/>
      <protection hidden="1"/>
    </xf>
    <xf numFmtId="0" fontId="56" fillId="28" borderId="25" xfId="2" quotePrefix="1" applyFont="1" applyFill="1" applyBorder="1" applyAlignment="1" applyProtection="1">
      <alignment horizontal="center" vertical="center" wrapText="1"/>
      <protection hidden="1"/>
    </xf>
    <xf numFmtId="0" fontId="4" fillId="7" borderId="12" xfId="2" applyFill="1" applyBorder="1" applyProtection="1">
      <protection hidden="1"/>
    </xf>
    <xf numFmtId="0" fontId="5" fillId="3" borderId="1" xfId="2" applyFont="1" applyFill="1" applyBorder="1" applyProtection="1">
      <protection hidden="1"/>
    </xf>
    <xf numFmtId="0" fontId="8" fillId="3" borderId="1" xfId="2" applyFont="1" applyFill="1" applyBorder="1" applyProtection="1">
      <protection hidden="1"/>
    </xf>
    <xf numFmtId="0" fontId="5" fillId="3" borderId="6" xfId="2" applyFont="1" applyFill="1" applyBorder="1" applyProtection="1">
      <protection hidden="1"/>
    </xf>
    <xf numFmtId="0" fontId="7" fillId="3" borderId="0" xfId="2" applyFont="1" applyFill="1" applyBorder="1" applyAlignment="1" applyProtection="1">
      <alignment horizontal="center"/>
      <protection hidden="1"/>
    </xf>
    <xf numFmtId="0" fontId="5" fillId="5" borderId="2" xfId="2" applyFont="1" applyFill="1" applyBorder="1" applyAlignment="1" applyProtection="1">
      <alignment horizontal="center"/>
      <protection hidden="1"/>
    </xf>
    <xf numFmtId="0" fontId="5" fillId="12" borderId="25" xfId="0" applyFont="1" applyFill="1" applyBorder="1" applyProtection="1">
      <protection hidden="1"/>
    </xf>
    <xf numFmtId="0" fontId="9" fillId="0" borderId="82" xfId="2" applyFont="1" applyBorder="1" applyAlignment="1" applyProtection="1">
      <alignment horizontal="left"/>
      <protection hidden="1"/>
    </xf>
    <xf numFmtId="0" fontId="10" fillId="0" borderId="1" xfId="2" applyFont="1" applyFill="1" applyBorder="1" applyAlignment="1" applyProtection="1">
      <alignment horizontal="left" vertical="center" wrapText="1"/>
      <protection hidden="1"/>
    </xf>
    <xf numFmtId="0" fontId="4" fillId="0" borderId="1" xfId="2" applyFont="1" applyBorder="1" applyProtection="1">
      <protection hidden="1"/>
    </xf>
    <xf numFmtId="0" fontId="10" fillId="0" borderId="1" xfId="2" applyFont="1" applyFill="1" applyBorder="1" applyAlignment="1" applyProtection="1">
      <alignment vertical="center" wrapText="1"/>
      <protection hidden="1"/>
    </xf>
    <xf numFmtId="0" fontId="10" fillId="4" borderId="1" xfId="2" applyFont="1" applyFill="1" applyBorder="1" applyProtection="1">
      <protection hidden="1"/>
    </xf>
    <xf numFmtId="0" fontId="10" fillId="4" borderId="79" xfId="2" applyFont="1" applyFill="1" applyBorder="1" applyProtection="1">
      <protection hidden="1"/>
    </xf>
    <xf numFmtId="0" fontId="10" fillId="4" borderId="25" xfId="2" applyFont="1" applyFill="1" applyBorder="1" applyProtection="1">
      <protection hidden="1"/>
    </xf>
    <xf numFmtId="0" fontId="10" fillId="0" borderId="25" xfId="0" applyFont="1" applyFill="1" applyBorder="1" applyAlignment="1" applyProtection="1">
      <alignment horizontal="left" vertical="center" wrapText="1"/>
      <protection hidden="1"/>
    </xf>
    <xf numFmtId="0" fontId="10" fillId="4" borderId="6" xfId="2" applyFont="1" applyFill="1" applyBorder="1" applyProtection="1">
      <protection hidden="1"/>
    </xf>
    <xf numFmtId="0" fontId="10" fillId="0" borderId="79" xfId="2" applyFont="1" applyFill="1" applyBorder="1" applyAlignment="1" applyProtection="1">
      <alignment vertical="center" wrapText="1"/>
      <protection hidden="1"/>
    </xf>
    <xf numFmtId="0" fontId="10" fillId="0" borderId="102" xfId="2" applyFont="1" applyFill="1" applyBorder="1" applyAlignment="1" applyProtection="1">
      <alignment vertical="center" wrapText="1"/>
      <protection hidden="1"/>
    </xf>
    <xf numFmtId="0" fontId="10" fillId="2" borderId="102" xfId="2" applyFont="1" applyFill="1" applyBorder="1" applyProtection="1">
      <protection hidden="1"/>
    </xf>
    <xf numFmtId="0" fontId="10" fillId="0" borderId="78" xfId="2" applyFont="1" applyFill="1" applyBorder="1" applyAlignment="1" applyProtection="1">
      <alignment vertical="center" wrapText="1"/>
      <protection hidden="1"/>
    </xf>
    <xf numFmtId="0" fontId="10" fillId="2" borderId="1" xfId="2" applyFont="1" applyFill="1" applyBorder="1" applyProtection="1">
      <protection hidden="1"/>
    </xf>
    <xf numFmtId="0" fontId="10" fillId="0" borderId="2" xfId="2" applyFont="1" applyFill="1" applyBorder="1" applyAlignment="1" applyProtection="1">
      <alignment horizontal="left" vertical="center" wrapText="1"/>
      <protection hidden="1"/>
    </xf>
    <xf numFmtId="0" fontId="10" fillId="2" borderId="10" xfId="2" applyFont="1" applyFill="1" applyBorder="1" applyAlignment="1" applyProtection="1">
      <alignment vertical="center" wrapText="1"/>
      <protection hidden="1"/>
    </xf>
    <xf numFmtId="0" fontId="10" fillId="2" borderId="11" xfId="2" applyFont="1" applyFill="1" applyBorder="1" applyAlignment="1" applyProtection="1">
      <alignment vertical="center" wrapText="1"/>
      <protection hidden="1"/>
    </xf>
    <xf numFmtId="0" fontId="10" fillId="2" borderId="96" xfId="2" applyFont="1" applyFill="1" applyBorder="1" applyAlignment="1" applyProtection="1">
      <alignment vertical="center" wrapText="1"/>
      <protection hidden="1"/>
    </xf>
    <xf numFmtId="0" fontId="10" fillId="2" borderId="0" xfId="2" applyFont="1" applyFill="1" applyProtection="1">
      <protection hidden="1"/>
    </xf>
    <xf numFmtId="0" fontId="10" fillId="2" borderId="0" xfId="2" applyFont="1" applyFill="1" applyBorder="1" applyAlignment="1" applyProtection="1">
      <alignment vertical="center" wrapText="1"/>
      <protection hidden="1"/>
    </xf>
    <xf numFmtId="0" fontId="10" fillId="2" borderId="7" xfId="2" applyFont="1" applyFill="1" applyBorder="1" applyAlignment="1" applyProtection="1">
      <alignment vertical="center" wrapText="1"/>
      <protection hidden="1"/>
    </xf>
    <xf numFmtId="0" fontId="10" fillId="2" borderId="101" xfId="2" applyFont="1" applyFill="1" applyBorder="1" applyAlignment="1" applyProtection="1">
      <alignment vertical="center" wrapText="1"/>
      <protection hidden="1"/>
    </xf>
    <xf numFmtId="0" fontId="10" fillId="2" borderId="0" xfId="2" applyFont="1" applyFill="1" applyAlignment="1" applyProtection="1">
      <protection hidden="1"/>
    </xf>
    <xf numFmtId="0" fontId="10" fillId="2" borderId="0" xfId="2" applyFont="1" applyFill="1" applyBorder="1" applyProtection="1">
      <protection hidden="1"/>
    </xf>
    <xf numFmtId="0" fontId="10" fillId="0" borderId="0" xfId="2" applyFont="1" applyFill="1" applyBorder="1" applyAlignment="1" applyProtection="1">
      <alignment vertical="center" wrapText="1"/>
      <protection hidden="1"/>
    </xf>
    <xf numFmtId="0" fontId="10" fillId="0" borderId="1" xfId="2" applyFont="1" applyFill="1" applyBorder="1" applyProtection="1">
      <protection hidden="1"/>
    </xf>
    <xf numFmtId="0" fontId="10" fillId="0" borderId="0" xfId="2" applyFont="1" applyFill="1" applyBorder="1" applyProtection="1">
      <protection hidden="1"/>
    </xf>
    <xf numFmtId="0" fontId="10" fillId="0" borderId="0" xfId="2" applyFont="1" applyFill="1" applyBorder="1" applyAlignment="1" applyProtection="1">
      <alignment horizontal="left" vertical="center" wrapText="1"/>
      <protection hidden="1"/>
    </xf>
    <xf numFmtId="0" fontId="10" fillId="0" borderId="0" xfId="2" applyFont="1" applyFill="1" applyProtection="1">
      <protection hidden="1"/>
    </xf>
    <xf numFmtId="0" fontId="10" fillId="7" borderId="25" xfId="0" applyFont="1" applyFill="1" applyBorder="1" applyProtection="1">
      <protection hidden="1"/>
    </xf>
    <xf numFmtId="0" fontId="4" fillId="0" borderId="25" xfId="2" applyBorder="1" applyProtection="1">
      <protection hidden="1"/>
    </xf>
    <xf numFmtId="0" fontId="6" fillId="5" borderId="25" xfId="2" applyFont="1" applyFill="1" applyBorder="1" applyAlignment="1" applyProtection="1">
      <alignment horizontal="center" vertical="center" wrapText="1"/>
      <protection hidden="1"/>
    </xf>
    <xf numFmtId="1" fontId="10" fillId="7" borderId="25" xfId="0" applyNumberFormat="1" applyFont="1" applyFill="1" applyBorder="1" applyProtection="1">
      <protection hidden="1"/>
    </xf>
    <xf numFmtId="0" fontId="5" fillId="5" borderId="1" xfId="2" applyFont="1" applyFill="1" applyBorder="1" applyProtection="1">
      <protection hidden="1"/>
    </xf>
    <xf numFmtId="0" fontId="10" fillId="2" borderId="25" xfId="2" applyFont="1" applyFill="1" applyBorder="1" applyProtection="1">
      <protection hidden="1"/>
    </xf>
    <xf numFmtId="0" fontId="5" fillId="5" borderId="0" xfId="0" applyFont="1" applyFill="1" applyProtection="1">
      <protection hidden="1"/>
    </xf>
    <xf numFmtId="0" fontId="10" fillId="2" borderId="0" xfId="0" applyFont="1" applyFill="1" applyProtection="1">
      <protection hidden="1"/>
    </xf>
    <xf numFmtId="0" fontId="10" fillId="0" borderId="25" xfId="0" applyFont="1" applyFill="1" applyBorder="1" applyAlignment="1" applyProtection="1">
      <alignment vertical="center" wrapText="1"/>
      <protection hidden="1"/>
    </xf>
    <xf numFmtId="0" fontId="10" fillId="2" borderId="25" xfId="0" applyFont="1" applyFill="1" applyBorder="1" applyProtection="1">
      <protection hidden="1"/>
    </xf>
    <xf numFmtId="0" fontId="5" fillId="5" borderId="31" xfId="0" applyFont="1" applyFill="1" applyBorder="1" applyProtection="1">
      <protection hidden="1"/>
    </xf>
    <xf numFmtId="0" fontId="4" fillId="0" borderId="78" xfId="2" applyBorder="1" applyProtection="1">
      <protection hidden="1"/>
    </xf>
    <xf numFmtId="0" fontId="4" fillId="5" borderId="0" xfId="2" applyFill="1" applyProtection="1">
      <protection hidden="1"/>
    </xf>
    <xf numFmtId="0" fontId="10" fillId="0" borderId="71" xfId="0" applyFont="1" applyFill="1" applyBorder="1" applyAlignment="1" applyProtection="1">
      <alignment horizontal="left" vertical="center" wrapText="1"/>
      <protection hidden="1"/>
    </xf>
    <xf numFmtId="0" fontId="4" fillId="0" borderId="25" xfId="2" applyNumberFormat="1" applyBorder="1" applyProtection="1">
      <protection hidden="1"/>
    </xf>
    <xf numFmtId="0" fontId="4" fillId="0" borderId="25" xfId="2" applyNumberFormat="1" applyBorder="1" applyAlignment="1" applyProtection="1">
      <alignment horizontal="left"/>
      <protection hidden="1"/>
    </xf>
    <xf numFmtId="0" fontId="4" fillId="0" borderId="102" xfId="2" applyBorder="1" applyProtection="1">
      <protection hidden="1"/>
    </xf>
    <xf numFmtId="0" fontId="73" fillId="0" borderId="25" xfId="2" applyFont="1" applyBorder="1" applyAlignment="1" applyProtection="1">
      <alignment horizontal="left"/>
      <protection hidden="1"/>
    </xf>
    <xf numFmtId="0" fontId="10" fillId="0" borderId="80" xfId="0" applyFont="1" applyFill="1" applyBorder="1" applyAlignment="1" applyProtection="1">
      <alignment horizontal="left" vertical="center" wrapText="1"/>
      <protection hidden="1"/>
    </xf>
    <xf numFmtId="0" fontId="10" fillId="0" borderId="25" xfId="0" applyFont="1" applyFill="1" applyBorder="1" applyAlignment="1" applyProtection="1">
      <alignment horizontal="left" vertical="center"/>
      <protection hidden="1"/>
    </xf>
    <xf numFmtId="0" fontId="10" fillId="26" borderId="71" xfId="2" applyFont="1" applyFill="1" applyBorder="1" applyAlignment="1" applyProtection="1">
      <alignment vertical="center" wrapText="1"/>
      <protection hidden="1"/>
    </xf>
    <xf numFmtId="0" fontId="10" fillId="26" borderId="78" xfId="2" applyFont="1" applyFill="1" applyBorder="1" applyAlignment="1" applyProtection="1">
      <alignment vertical="center" wrapText="1"/>
      <protection hidden="1"/>
    </xf>
    <xf numFmtId="0" fontId="9" fillId="0" borderId="82" xfId="2" applyFont="1" applyFill="1" applyBorder="1" applyAlignment="1" applyProtection="1">
      <alignment horizontal="left"/>
      <protection hidden="1"/>
    </xf>
    <xf numFmtId="0" fontId="70" fillId="2" borderId="104" xfId="2" applyFont="1" applyFill="1" applyBorder="1" applyAlignment="1"/>
    <xf numFmtId="0" fontId="105" fillId="21" borderId="0" xfId="0" applyFont="1" applyFill="1" applyAlignment="1" applyProtection="1">
      <alignment horizontal="center" vertical="center"/>
      <protection hidden="1"/>
    </xf>
    <xf numFmtId="0" fontId="13" fillId="0" borderId="121" xfId="0" applyFont="1" applyBorder="1" applyProtection="1">
      <protection hidden="1"/>
    </xf>
    <xf numFmtId="10" fontId="13" fillId="0" borderId="121" xfId="1" applyNumberFormat="1" applyFont="1" applyBorder="1" applyProtection="1">
      <protection hidden="1"/>
    </xf>
    <xf numFmtId="0" fontId="13" fillId="0" borderId="102" xfId="0" applyFont="1" applyBorder="1" applyProtection="1">
      <protection hidden="1"/>
    </xf>
    <xf numFmtId="9" fontId="13" fillId="0" borderId="102" xfId="0" applyNumberFormat="1" applyFont="1" applyBorder="1" applyProtection="1">
      <protection hidden="1"/>
    </xf>
    <xf numFmtId="0" fontId="13" fillId="24" borderId="102" xfId="0" applyFont="1" applyFill="1" applyBorder="1" applyProtection="1">
      <protection hidden="1"/>
    </xf>
    <xf numFmtId="9" fontId="13" fillId="24" borderId="102" xfId="1" applyFont="1" applyFill="1" applyBorder="1" applyProtection="1">
      <protection hidden="1"/>
    </xf>
    <xf numFmtId="0" fontId="86" fillId="2" borderId="136" xfId="2" applyFont="1" applyFill="1" applyBorder="1" applyAlignment="1" applyProtection="1">
      <alignment vertical="top" wrapText="1"/>
      <protection locked="0"/>
    </xf>
    <xf numFmtId="0" fontId="86" fillId="2" borderId="137" xfId="2" applyFont="1" applyFill="1" applyBorder="1" applyAlignment="1" applyProtection="1">
      <alignment vertical="top" wrapText="1"/>
      <protection locked="0"/>
    </xf>
    <xf numFmtId="0" fontId="52" fillId="0" borderId="103" xfId="0" applyFont="1" applyFill="1" applyBorder="1" applyProtection="1">
      <protection hidden="1"/>
    </xf>
    <xf numFmtId="0" fontId="52" fillId="0" borderId="102" xfId="0" applyFont="1" applyFill="1" applyBorder="1" applyProtection="1">
      <protection hidden="1"/>
    </xf>
    <xf numFmtId="0" fontId="83" fillId="13" borderId="140" xfId="0" applyFont="1" applyFill="1" applyBorder="1" applyAlignment="1" applyProtection="1">
      <alignment horizontal="center" vertical="center" wrapText="1"/>
    </xf>
    <xf numFmtId="0" fontId="50" fillId="13" borderId="142" xfId="0" applyFont="1" applyFill="1" applyBorder="1" applyAlignment="1" applyProtection="1">
      <alignment horizontal="center"/>
    </xf>
    <xf numFmtId="165" fontId="19" fillId="25" borderId="145" xfId="3" applyFont="1" applyFill="1" applyBorder="1" applyAlignment="1" applyProtection="1">
      <alignment horizontal="center" vertical="top" shrinkToFit="1"/>
      <protection hidden="1"/>
    </xf>
    <xf numFmtId="0" fontId="20" fillId="2" borderId="150" xfId="0" applyFont="1" applyFill="1" applyBorder="1" applyAlignment="1" applyProtection="1">
      <alignment horizontal="left" wrapText="1"/>
    </xf>
    <xf numFmtId="0" fontId="20" fillId="2" borderId="150" xfId="0" applyFont="1" applyFill="1" applyBorder="1" applyAlignment="1" applyProtection="1">
      <alignment horizontal="center" vertical="center"/>
      <protection locked="0"/>
    </xf>
    <xf numFmtId="0" fontId="20" fillId="2" borderId="150" xfId="0" applyFont="1" applyFill="1" applyBorder="1" applyAlignment="1" applyProtection="1">
      <alignment horizontal="center"/>
      <protection locked="0"/>
    </xf>
    <xf numFmtId="0" fontId="20" fillId="10" borderId="150" xfId="0" applyFont="1" applyFill="1" applyBorder="1" applyAlignment="1" applyProtection="1">
      <alignment horizontal="left" wrapText="1"/>
    </xf>
    <xf numFmtId="9" fontId="20" fillId="2" borderId="150" xfId="0" applyNumberFormat="1" applyFont="1" applyFill="1" applyBorder="1" applyAlignment="1" applyProtection="1">
      <alignment horizontal="left" wrapText="1"/>
    </xf>
    <xf numFmtId="49" fontId="20" fillId="2" borderId="152" xfId="0" applyNumberFormat="1" applyFont="1" applyFill="1" applyBorder="1" applyAlignment="1" applyProtection="1">
      <alignment horizontal="center"/>
      <protection locked="0"/>
    </xf>
    <xf numFmtId="49" fontId="20" fillId="2" borderId="151" xfId="0" applyNumberFormat="1" applyFont="1" applyFill="1" applyBorder="1" applyAlignment="1" applyProtection="1">
      <alignment horizontal="center"/>
      <protection locked="0"/>
    </xf>
    <xf numFmtId="165" fontId="43" fillId="25" borderId="143" xfId="3" applyNumberFormat="1" applyFont="1" applyFill="1" applyBorder="1" applyAlignment="1" applyProtection="1">
      <alignment vertical="center" shrinkToFit="1"/>
      <protection hidden="1"/>
    </xf>
    <xf numFmtId="165" fontId="3" fillId="25" borderId="153" xfId="3" applyFont="1" applyFill="1" applyBorder="1" applyAlignment="1" applyProtection="1">
      <alignment vertical="center" shrinkToFit="1"/>
      <protection hidden="1"/>
    </xf>
    <xf numFmtId="15" fontId="19" fillId="2" borderId="154" xfId="0" applyNumberFormat="1" applyFont="1" applyFill="1" applyBorder="1" applyAlignment="1" applyProtection="1">
      <alignment horizontal="left"/>
      <protection locked="0"/>
    </xf>
    <xf numFmtId="0" fontId="19" fillId="2" borderId="157" xfId="0" applyFont="1" applyFill="1" applyBorder="1" applyAlignment="1" applyProtection="1">
      <alignment horizontal="left"/>
      <protection locked="0"/>
    </xf>
    <xf numFmtId="0" fontId="19" fillId="2" borderId="158" xfId="0" applyFont="1" applyFill="1" applyBorder="1" applyAlignment="1" applyProtection="1">
      <alignment horizontal="left"/>
      <protection locked="0"/>
    </xf>
    <xf numFmtId="0" fontId="19" fillId="2" borderId="159" xfId="0" applyFont="1" applyFill="1" applyBorder="1" applyAlignment="1" applyProtection="1">
      <alignment horizontal="left"/>
      <protection locked="0"/>
    </xf>
    <xf numFmtId="0" fontId="72" fillId="13" borderId="140" xfId="0" applyFont="1" applyFill="1" applyBorder="1" applyAlignment="1" applyProtection="1">
      <alignment horizontal="center" vertical="center" wrapText="1"/>
    </xf>
    <xf numFmtId="10" fontId="4" fillId="0" borderId="140" xfId="0" applyNumberFormat="1" applyFont="1" applyBorder="1" applyAlignment="1" applyProtection="1">
      <alignment horizontal="center"/>
      <protection hidden="1"/>
    </xf>
    <xf numFmtId="174" fontId="4" fillId="2" borderId="140" xfId="0" applyNumberFormat="1" applyFont="1" applyFill="1" applyBorder="1" applyAlignment="1" applyProtection="1">
      <alignment horizontal="center"/>
      <protection hidden="1"/>
    </xf>
    <xf numFmtId="0" fontId="4" fillId="0" borderId="140" xfId="0" applyFont="1" applyBorder="1" applyAlignment="1" applyProtection="1">
      <alignment horizontal="center"/>
      <protection hidden="1"/>
    </xf>
    <xf numFmtId="0" fontId="141" fillId="0" borderId="0" xfId="0" applyFont="1" applyFill="1" applyBorder="1" applyAlignment="1" applyProtection="1">
      <alignment horizontal="left" vertical="center" wrapText="1"/>
    </xf>
    <xf numFmtId="10" fontId="48" fillId="0" borderId="0" xfId="1" applyNumberFormat="1" applyFont="1" applyFill="1" applyBorder="1" applyAlignment="1" applyProtection="1">
      <alignment horizontal="left"/>
      <protection hidden="1"/>
    </xf>
    <xf numFmtId="0" fontId="18" fillId="0" borderId="0" xfId="0" applyFont="1" applyFill="1" applyBorder="1" applyAlignment="1" applyProtection="1">
      <alignment vertical="center" wrapText="1"/>
    </xf>
    <xf numFmtId="0" fontId="18" fillId="13" borderId="160" xfId="0" applyFont="1" applyFill="1" applyBorder="1" applyAlignment="1" applyProtection="1">
      <alignment vertical="center" wrapText="1"/>
    </xf>
    <xf numFmtId="14" fontId="19" fillId="0" borderId="5" xfId="3" applyNumberFormat="1" applyFont="1" applyFill="1" applyBorder="1" applyAlignment="1" applyProtection="1">
      <alignment horizontal="right" vertical="center" shrinkToFit="1"/>
      <protection locked="0"/>
    </xf>
    <xf numFmtId="0" fontId="18" fillId="0" borderId="0" xfId="0" applyFont="1" applyFill="1" applyBorder="1" applyAlignment="1" applyProtection="1">
      <alignment horizontal="center" vertical="center" wrapText="1"/>
    </xf>
    <xf numFmtId="14" fontId="13" fillId="0" borderId="1" xfId="0" applyNumberFormat="1" applyFont="1" applyBorder="1" applyAlignment="1" applyProtection="1">
      <alignment horizontal="left"/>
      <protection hidden="1"/>
    </xf>
    <xf numFmtId="0" fontId="4" fillId="19" borderId="2" xfId="0" applyFont="1" applyFill="1" applyBorder="1" applyAlignment="1" applyProtection="1">
      <protection hidden="1"/>
    </xf>
    <xf numFmtId="2" fontId="0" fillId="0" borderId="25" xfId="0" applyNumberFormat="1" applyBorder="1" applyAlignment="1" applyProtection="1">
      <alignment horizontal="right"/>
      <protection hidden="1"/>
    </xf>
    <xf numFmtId="0" fontId="84" fillId="2" borderId="0" xfId="2" applyFont="1" applyFill="1" applyBorder="1" applyAlignment="1">
      <alignment horizontal="right"/>
    </xf>
    <xf numFmtId="0" fontId="149" fillId="0" borderId="0" xfId="0" applyFont="1" applyAlignment="1">
      <alignment horizontal="center"/>
    </xf>
    <xf numFmtId="0" fontId="18" fillId="13" borderId="0" xfId="0" applyFont="1" applyFill="1" applyBorder="1" applyAlignment="1" applyProtection="1">
      <alignment horizontal="left" vertical="center" wrapText="1"/>
    </xf>
    <xf numFmtId="0" fontId="28" fillId="13" borderId="22" xfId="0" applyFont="1" applyFill="1" applyBorder="1" applyAlignment="1" applyProtection="1">
      <alignment horizontal="center" vertical="center" wrapText="1"/>
    </xf>
    <xf numFmtId="0" fontId="86" fillId="0" borderId="0" xfId="2" applyFont="1" applyFill="1" applyBorder="1" applyAlignment="1">
      <alignment horizontal="right"/>
    </xf>
    <xf numFmtId="0" fontId="18" fillId="0" borderId="16" xfId="0" applyFont="1" applyFill="1" applyBorder="1" applyAlignment="1" applyProtection="1">
      <alignment horizontal="left" wrapText="1"/>
      <protection hidden="1"/>
    </xf>
    <xf numFmtId="1" fontId="24" fillId="0" borderId="0" xfId="3" applyNumberFormat="1" applyFont="1" applyFill="1" applyBorder="1" applyAlignment="1" applyProtection="1">
      <alignment vertical="center" shrinkToFit="1"/>
      <protection hidden="1"/>
    </xf>
    <xf numFmtId="165" fontId="43" fillId="7" borderId="0" xfId="3" applyNumberFormat="1" applyFont="1" applyFill="1" applyBorder="1" applyAlignment="1" applyProtection="1">
      <alignment vertical="center" shrinkToFit="1"/>
    </xf>
    <xf numFmtId="0" fontId="50" fillId="13" borderId="44" xfId="0" applyFont="1" applyFill="1" applyBorder="1" applyAlignment="1" applyProtection="1">
      <alignment horizontal="center" vertical="top"/>
    </xf>
    <xf numFmtId="0" fontId="50" fillId="13" borderId="164" xfId="0" applyFont="1" applyFill="1" applyBorder="1" applyAlignment="1" applyProtection="1">
      <alignment horizontal="center"/>
    </xf>
    <xf numFmtId="0" fontId="50" fillId="13" borderId="165" xfId="0" applyFont="1" applyFill="1" applyBorder="1" applyAlignment="1" applyProtection="1">
      <alignment horizontal="center"/>
    </xf>
    <xf numFmtId="0" fontId="3" fillId="2" borderId="166" xfId="0" applyFont="1" applyFill="1" applyBorder="1" applyAlignment="1" applyProtection="1">
      <alignment horizontal="left" wrapText="1"/>
    </xf>
    <xf numFmtId="165" fontId="43" fillId="25" borderId="166" xfId="3" applyNumberFormat="1" applyFont="1" applyFill="1" applyBorder="1" applyAlignment="1" applyProtection="1">
      <alignment vertical="center" shrinkToFit="1"/>
    </xf>
    <xf numFmtId="0" fontId="43" fillId="2" borderId="167" xfId="0" applyFont="1" applyFill="1" applyBorder="1" applyAlignment="1" applyProtection="1">
      <alignment horizontal="left" wrapText="1"/>
    </xf>
    <xf numFmtId="1" fontId="3" fillId="0" borderId="167" xfId="3" applyNumberFormat="1" applyFont="1" applyFill="1" applyBorder="1" applyAlignment="1" applyProtection="1">
      <alignment horizontal="right" vertical="center" shrinkToFit="1"/>
    </xf>
    <xf numFmtId="0" fontId="23" fillId="0" borderId="167" xfId="0" applyFont="1" applyFill="1" applyBorder="1" applyAlignment="1" applyProtection="1"/>
    <xf numFmtId="0" fontId="0" fillId="0" borderId="0" xfId="0" applyProtection="1"/>
    <xf numFmtId="0" fontId="77" fillId="0" borderId="0" xfId="0" applyFont="1" applyProtection="1"/>
    <xf numFmtId="0" fontId="15" fillId="0" borderId="0" xfId="0" applyFont="1" applyProtection="1"/>
    <xf numFmtId="14" fontId="16" fillId="0" borderId="0" xfId="0" applyNumberFormat="1" applyFont="1" applyProtection="1"/>
    <xf numFmtId="49" fontId="0" fillId="0" borderId="0" xfId="0" applyNumberFormat="1" applyProtection="1"/>
    <xf numFmtId="0" fontId="0" fillId="7" borderId="0" xfId="0" applyFill="1" applyProtection="1"/>
    <xf numFmtId="49" fontId="3" fillId="2" borderId="0" xfId="0" applyNumberFormat="1" applyFont="1" applyFill="1" applyBorder="1" applyAlignment="1" applyProtection="1">
      <alignment horizontal="left"/>
    </xf>
    <xf numFmtId="0" fontId="3" fillId="2" borderId="0" xfId="0" applyFont="1" applyFill="1" applyBorder="1" applyAlignment="1" applyProtection="1">
      <alignment horizontal="left"/>
    </xf>
    <xf numFmtId="0" fontId="108" fillId="0" borderId="0" xfId="0" applyFont="1" applyProtection="1"/>
    <xf numFmtId="0" fontId="144" fillId="0" borderId="0" xfId="0" applyFont="1" applyBorder="1" applyProtection="1"/>
    <xf numFmtId="14" fontId="19" fillId="0" borderId="0" xfId="3" applyNumberFormat="1" applyFont="1" applyFill="1" applyBorder="1" applyAlignment="1" applyProtection="1">
      <alignment vertical="center" shrinkToFit="1"/>
    </xf>
    <xf numFmtId="0" fontId="22" fillId="7" borderId="0" xfId="0" applyFont="1" applyFill="1" applyBorder="1" applyProtection="1"/>
    <xf numFmtId="0" fontId="0" fillId="0" borderId="0" xfId="0" applyBorder="1" applyAlignment="1" applyProtection="1">
      <alignment wrapText="1"/>
    </xf>
    <xf numFmtId="0" fontId="23" fillId="7" borderId="0" xfId="0" applyFont="1" applyFill="1" applyBorder="1" applyProtection="1"/>
    <xf numFmtId="39" fontId="19" fillId="0" borderId="0" xfId="3" applyNumberFormat="1" applyFont="1" applyFill="1" applyBorder="1" applyAlignment="1" applyProtection="1">
      <alignment vertical="center" shrinkToFit="1"/>
    </xf>
    <xf numFmtId="0" fontId="22" fillId="7" borderId="0" xfId="0" applyFont="1" applyFill="1" applyProtection="1"/>
    <xf numFmtId="0" fontId="22" fillId="0" borderId="0" xfId="0" applyFont="1" applyFill="1" applyBorder="1" applyAlignment="1" applyProtection="1">
      <alignment wrapText="1"/>
    </xf>
    <xf numFmtId="9" fontId="15" fillId="0" borderId="0" xfId="1" applyFont="1" applyFill="1" applyBorder="1" applyProtection="1"/>
    <xf numFmtId="0" fontId="0" fillId="0" borderId="0" xfId="0" applyFill="1" applyBorder="1" applyProtection="1"/>
    <xf numFmtId="4" fontId="19" fillId="0" borderId="0" xfId="3" applyNumberFormat="1" applyFont="1" applyFill="1" applyBorder="1" applyAlignment="1" applyProtection="1">
      <alignment vertical="center" shrinkToFit="1"/>
    </xf>
    <xf numFmtId="0" fontId="22" fillId="0" borderId="0" xfId="0" applyFont="1" applyFill="1" applyBorder="1" applyProtection="1"/>
    <xf numFmtId="10" fontId="142" fillId="0" borderId="0" xfId="3" applyNumberFormat="1" applyFont="1" applyFill="1" applyBorder="1" applyAlignment="1" applyProtection="1">
      <alignment horizontal="center" vertical="center" shrinkToFit="1"/>
    </xf>
    <xf numFmtId="0" fontId="143" fillId="0" borderId="0" xfId="0" applyFont="1" applyFill="1" applyBorder="1" applyAlignment="1" applyProtection="1">
      <alignment horizontal="center" vertical="center" wrapText="1"/>
    </xf>
    <xf numFmtId="9" fontId="15" fillId="0" borderId="0" xfId="1" applyFont="1" applyFill="1" applyBorder="1" applyAlignment="1" applyProtection="1">
      <alignment vertical="center" shrinkToFit="1"/>
    </xf>
    <xf numFmtId="9" fontId="15" fillId="0" borderId="0" xfId="1" applyFont="1" applyFill="1" applyBorder="1" applyAlignment="1" applyProtection="1">
      <alignment horizontal="left" vertical="center" shrinkToFit="1"/>
    </xf>
    <xf numFmtId="9" fontId="118" fillId="0" borderId="0" xfId="1" applyFont="1" applyFill="1" applyBorder="1" applyAlignment="1" applyProtection="1">
      <alignment horizontal="left" vertical="top" shrinkToFit="1"/>
    </xf>
    <xf numFmtId="9" fontId="119" fillId="0" borderId="0" xfId="1" applyFont="1" applyFill="1" applyBorder="1" applyAlignment="1" applyProtection="1">
      <alignment horizontal="left" vertical="top" shrinkToFit="1"/>
    </xf>
    <xf numFmtId="9" fontId="15" fillId="0" borderId="0" xfId="1" applyFont="1" applyFill="1" applyBorder="1" applyAlignment="1" applyProtection="1">
      <alignment horizontal="left" vertical="top" shrinkToFit="1"/>
    </xf>
    <xf numFmtId="10" fontId="83" fillId="13" borderId="140" xfId="0" applyNumberFormat="1" applyFont="1" applyFill="1" applyBorder="1" applyAlignment="1" applyProtection="1">
      <alignment horizontal="center" vertical="center" wrapText="1"/>
    </xf>
    <xf numFmtId="4" fontId="83" fillId="13" borderId="140" xfId="0" applyNumberFormat="1" applyFont="1" applyFill="1" applyBorder="1" applyAlignment="1" applyProtection="1">
      <alignment horizontal="center" vertical="center" wrapText="1"/>
    </xf>
    <xf numFmtId="0" fontId="126" fillId="0" borderId="0" xfId="0" applyNumberFormat="1" applyFont="1" applyProtection="1"/>
    <xf numFmtId="0" fontId="14" fillId="0" borderId="0" xfId="0" applyFont="1" applyFill="1" applyBorder="1" applyAlignment="1" applyProtection="1">
      <alignment horizontal="center"/>
    </xf>
    <xf numFmtId="0" fontId="34" fillId="13" borderId="103" xfId="0" applyFont="1" applyFill="1" applyBorder="1" applyAlignment="1" applyProtection="1">
      <alignment horizontal="center"/>
    </xf>
    <xf numFmtId="0" fontId="77" fillId="7" borderId="0" xfId="0" applyFont="1" applyFill="1" applyBorder="1" applyProtection="1"/>
    <xf numFmtId="0" fontId="0" fillId="7" borderId="0" xfId="0" applyFill="1" applyBorder="1" applyProtection="1"/>
    <xf numFmtId="0" fontId="77" fillId="7" borderId="0" xfId="0" applyFont="1" applyFill="1" applyBorder="1" applyAlignment="1" applyProtection="1">
      <alignment horizontal="center"/>
    </xf>
    <xf numFmtId="0" fontId="33" fillId="7" borderId="0" xfId="0" applyFont="1" applyFill="1" applyBorder="1" applyAlignment="1" applyProtection="1">
      <alignment horizontal="center"/>
    </xf>
    <xf numFmtId="2" fontId="77" fillId="7" borderId="0" xfId="0" applyNumberFormat="1" applyFont="1" applyFill="1" applyBorder="1" applyProtection="1"/>
    <xf numFmtId="0" fontId="21" fillId="7" borderId="0" xfId="0" applyFont="1" applyFill="1" applyBorder="1" applyProtection="1"/>
    <xf numFmtId="0" fontId="107" fillId="0" borderId="0" xfId="0" applyFont="1" applyProtection="1"/>
    <xf numFmtId="0" fontId="43" fillId="0" borderId="0" xfId="0" applyFont="1" applyFill="1" applyBorder="1" applyProtection="1"/>
    <xf numFmtId="0" fontId="24" fillId="2" borderId="0" xfId="0" applyFont="1" applyFill="1" applyBorder="1" applyProtection="1"/>
    <xf numFmtId="0" fontId="22" fillId="0" borderId="167" xfId="0" applyFont="1" applyFill="1" applyBorder="1" applyProtection="1"/>
    <xf numFmtId="0" fontId="44" fillId="0" borderId="163" xfId="0" applyFont="1" applyFill="1" applyBorder="1" applyProtection="1"/>
    <xf numFmtId="165" fontId="19" fillId="0" borderId="0" xfId="3" applyFont="1" applyFill="1" applyBorder="1" applyAlignment="1" applyProtection="1">
      <alignment horizontal="center" vertical="top" shrinkToFit="1"/>
    </xf>
    <xf numFmtId="15" fontId="19" fillId="2" borderId="156" xfId="0" applyNumberFormat="1" applyFont="1" applyFill="1" applyBorder="1" applyAlignment="1" applyProtection="1">
      <alignment horizontal="left"/>
    </xf>
    <xf numFmtId="0" fontId="19" fillId="2" borderId="158" xfId="0" applyFont="1" applyFill="1" applyBorder="1" applyAlignment="1" applyProtection="1">
      <alignment horizontal="left"/>
    </xf>
    <xf numFmtId="0" fontId="19" fillId="2" borderId="159" xfId="0" applyFont="1" applyFill="1" applyBorder="1" applyAlignment="1" applyProtection="1">
      <alignment horizontal="left"/>
    </xf>
    <xf numFmtId="171" fontId="3" fillId="2" borderId="25" xfId="0" applyNumberFormat="1" applyFont="1" applyFill="1" applyBorder="1" applyAlignment="1" applyProtection="1">
      <alignment horizontal="center"/>
    </xf>
    <xf numFmtId="171" fontId="19" fillId="2" borderId="25" xfId="0" applyNumberFormat="1" applyFont="1" applyFill="1" applyBorder="1" applyAlignment="1" applyProtection="1">
      <alignment horizontal="center"/>
    </xf>
    <xf numFmtId="171" fontId="19" fillId="2" borderId="0" xfId="0" applyNumberFormat="1" applyFont="1" applyFill="1" applyBorder="1" applyAlignment="1" applyProtection="1">
      <alignment horizontal="right"/>
    </xf>
    <xf numFmtId="4" fontId="3" fillId="2" borderId="0" xfId="0" applyNumberFormat="1" applyFont="1" applyFill="1" applyBorder="1" applyAlignment="1" applyProtection="1">
      <alignment horizontal="left"/>
    </xf>
    <xf numFmtId="171" fontId="19" fillId="2" borderId="0" xfId="0" applyNumberFormat="1" applyFont="1" applyFill="1" applyBorder="1" applyAlignment="1" applyProtection="1">
      <alignment horizontal="right" vertical="center"/>
    </xf>
    <xf numFmtId="49" fontId="3" fillId="2" borderId="20" xfId="0" applyNumberFormat="1" applyFont="1" applyFill="1" applyBorder="1" applyAlignment="1" applyProtection="1">
      <alignment horizontal="center"/>
    </xf>
    <xf numFmtId="14" fontId="3" fillId="2" borderId="32" xfId="0" applyNumberFormat="1" applyFont="1" applyFill="1" applyBorder="1" applyAlignment="1" applyProtection="1">
      <alignment horizontal="center"/>
    </xf>
    <xf numFmtId="14" fontId="3" fillId="2" borderId="39" xfId="0" applyNumberFormat="1" applyFont="1" applyFill="1" applyBorder="1" applyAlignment="1" applyProtection="1">
      <alignment horizontal="center"/>
    </xf>
    <xf numFmtId="171" fontId="3" fillId="2" borderId="0" xfId="0" applyNumberFormat="1" applyFont="1" applyFill="1" applyBorder="1" applyAlignment="1" applyProtection="1">
      <alignment horizontal="right"/>
    </xf>
    <xf numFmtId="171" fontId="3" fillId="2" borderId="0" xfId="0" applyNumberFormat="1" applyFont="1" applyFill="1" applyBorder="1" applyAlignment="1" applyProtection="1">
      <alignment horizontal="right" vertical="center"/>
    </xf>
    <xf numFmtId="0" fontId="0" fillId="0" borderId="0" xfId="0" applyBorder="1" applyProtection="1"/>
    <xf numFmtId="0" fontId="0" fillId="0" borderId="0" xfId="0" applyFill="1" applyProtection="1"/>
    <xf numFmtId="0" fontId="77" fillId="0" borderId="0" xfId="0" applyFont="1" applyFill="1" applyProtection="1"/>
    <xf numFmtId="10" fontId="72" fillId="13" borderId="140" xfId="0" applyNumberFormat="1" applyFont="1" applyFill="1" applyBorder="1" applyAlignment="1" applyProtection="1">
      <alignment horizontal="center" vertical="center"/>
    </xf>
    <xf numFmtId="4" fontId="72" fillId="13" borderId="140" xfId="0" applyNumberFormat="1" applyFont="1" applyFill="1" applyBorder="1" applyAlignment="1" applyProtection="1">
      <alignment horizontal="center" vertical="center" wrapText="1"/>
    </xf>
    <xf numFmtId="49" fontId="20" fillId="2" borderId="161" xfId="0" applyNumberFormat="1" applyFont="1" applyFill="1" applyBorder="1" applyAlignment="1" applyProtection="1">
      <alignment horizontal="left"/>
    </xf>
    <xf numFmtId="0" fontId="20" fillId="2" borderId="161" xfId="0" applyFont="1" applyFill="1" applyBorder="1" applyAlignment="1" applyProtection="1">
      <alignment horizontal="left"/>
    </xf>
    <xf numFmtId="164" fontId="101" fillId="46" borderId="140" xfId="0" applyNumberFormat="1" applyFont="1" applyFill="1" applyBorder="1" applyAlignment="1" applyProtection="1">
      <alignment horizontal="center"/>
      <protection hidden="1"/>
    </xf>
    <xf numFmtId="164" fontId="4" fillId="46" borderId="140" xfId="0" applyNumberFormat="1" applyFont="1" applyFill="1" applyBorder="1" applyAlignment="1" applyProtection="1">
      <alignment horizontal="center"/>
      <protection hidden="1"/>
    </xf>
    <xf numFmtId="0" fontId="88" fillId="13" borderId="42" xfId="2" applyFont="1" applyFill="1" applyBorder="1" applyAlignment="1">
      <alignment horizontal="center"/>
    </xf>
    <xf numFmtId="0" fontId="88" fillId="13" borderId="25" xfId="2" applyFont="1" applyFill="1" applyBorder="1" applyAlignment="1">
      <alignment horizontal="center"/>
    </xf>
    <xf numFmtId="0" fontId="33" fillId="48" borderId="0" xfId="0" applyFont="1" applyFill="1" applyProtection="1"/>
    <xf numFmtId="0" fontId="0" fillId="0" borderId="102" xfId="0" applyBorder="1" applyProtection="1"/>
    <xf numFmtId="0" fontId="0" fillId="0" borderId="102" xfId="0" applyBorder="1" applyAlignment="1" applyProtection="1">
      <alignment wrapText="1"/>
    </xf>
    <xf numFmtId="14" fontId="0" fillId="0" borderId="102" xfId="0" applyNumberFormat="1" applyBorder="1" applyProtection="1"/>
    <xf numFmtId="0" fontId="0" fillId="0" borderId="102" xfId="0" applyNumberFormat="1" applyBorder="1" applyAlignment="1" applyProtection="1">
      <alignment wrapText="1"/>
    </xf>
    <xf numFmtId="0" fontId="77" fillId="0" borderId="0" xfId="0" applyNumberFormat="1" applyFont="1" applyProtection="1"/>
    <xf numFmtId="49" fontId="0" fillId="7" borderId="0" xfId="0" applyNumberFormat="1" applyFill="1" applyProtection="1"/>
    <xf numFmtId="4" fontId="108" fillId="0" borderId="102" xfId="0" applyNumberFormat="1" applyFont="1" applyBorder="1" applyProtection="1"/>
    <xf numFmtId="4" fontId="51" fillId="0" borderId="102" xfId="0" applyNumberFormat="1" applyFont="1" applyBorder="1" applyProtection="1"/>
    <xf numFmtId="14" fontId="0" fillId="0" borderId="0" xfId="0" applyNumberFormat="1" applyProtection="1"/>
    <xf numFmtId="0" fontId="34" fillId="13" borderId="162" xfId="0" applyFont="1" applyFill="1" applyBorder="1" applyAlignment="1" applyProtection="1">
      <alignment vertical="center" wrapText="1"/>
    </xf>
    <xf numFmtId="0" fontId="19" fillId="0" borderId="0" xfId="3" applyNumberFormat="1" applyFont="1" applyFill="1" applyBorder="1" applyAlignment="1" applyProtection="1">
      <alignment horizontal="right" vertical="center" shrinkToFit="1"/>
    </xf>
    <xf numFmtId="0" fontId="25" fillId="0" borderId="0" xfId="0" applyFont="1" applyFill="1" applyBorder="1" applyAlignment="1" applyProtection="1">
      <alignment vertical="center" wrapText="1"/>
    </xf>
    <xf numFmtId="0" fontId="153" fillId="0" borderId="0" xfId="0" applyFont="1" applyProtection="1"/>
    <xf numFmtId="9" fontId="145" fillId="0" borderId="0" xfId="1" applyFont="1" applyFill="1" applyBorder="1" applyAlignment="1" applyProtection="1">
      <alignment vertical="center" shrinkToFit="1"/>
    </xf>
    <xf numFmtId="0" fontId="156" fillId="0" borderId="0" xfId="0" applyFont="1" applyFill="1" applyBorder="1" applyAlignment="1" applyProtection="1">
      <alignment horizontal="center" wrapText="1"/>
    </xf>
    <xf numFmtId="0" fontId="156" fillId="0" borderId="0" xfId="0" applyFont="1" applyFill="1" applyBorder="1" applyAlignment="1" applyProtection="1">
      <alignment horizontal="center" vertical="center" wrapText="1"/>
    </xf>
    <xf numFmtId="0" fontId="0" fillId="0" borderId="168" xfId="0" applyBorder="1" applyProtection="1"/>
    <xf numFmtId="0" fontId="153" fillId="0" borderId="0" xfId="0" applyFont="1" applyFill="1" applyBorder="1" applyProtection="1"/>
    <xf numFmtId="10" fontId="157" fillId="0" borderId="0" xfId="0" applyNumberFormat="1" applyFont="1" applyFill="1" applyBorder="1" applyAlignment="1" applyProtection="1">
      <alignment horizontal="center"/>
    </xf>
    <xf numFmtId="174" fontId="157" fillId="0" borderId="0" xfId="0" applyNumberFormat="1" applyFont="1" applyFill="1" applyBorder="1" applyAlignment="1" applyProtection="1">
      <alignment horizontal="center"/>
    </xf>
    <xf numFmtId="0" fontId="157" fillId="0" borderId="0" xfId="0" applyFont="1" applyFill="1" applyBorder="1" applyAlignment="1" applyProtection="1">
      <alignment horizontal="center"/>
    </xf>
    <xf numFmtId="164" fontId="157" fillId="0" borderId="0" xfId="0" applyNumberFormat="1" applyFont="1" applyFill="1" applyBorder="1" applyAlignment="1" applyProtection="1">
      <alignment horizontal="center"/>
      <protection hidden="1"/>
    </xf>
    <xf numFmtId="0" fontId="36" fillId="48" borderId="8" xfId="0" applyFont="1" applyFill="1" applyBorder="1" applyAlignment="1" applyProtection="1">
      <alignment horizontal="center"/>
      <protection hidden="1"/>
    </xf>
    <xf numFmtId="0" fontId="36" fillId="48" borderId="9" xfId="0" applyFont="1" applyFill="1" applyBorder="1" applyAlignment="1" applyProtection="1">
      <alignment horizontal="center"/>
      <protection hidden="1"/>
    </xf>
    <xf numFmtId="10" fontId="91" fillId="2" borderId="0" xfId="2" applyNumberFormat="1" applyFont="1" applyFill="1" applyBorder="1" applyAlignment="1">
      <alignment horizontal="left"/>
    </xf>
    <xf numFmtId="10" fontId="90" fillId="7" borderId="0" xfId="2" applyNumberFormat="1" applyFont="1" applyFill="1" applyBorder="1" applyAlignment="1" applyProtection="1">
      <alignment horizontal="right"/>
      <protection hidden="1"/>
    </xf>
    <xf numFmtId="0" fontId="145" fillId="0" borderId="0" xfId="0" applyFont="1" applyBorder="1" applyProtection="1"/>
    <xf numFmtId="10" fontId="145" fillId="7" borderId="5" xfId="1" applyNumberFormat="1" applyFont="1" applyFill="1" applyBorder="1" applyAlignment="1" applyProtection="1">
      <alignment horizontal="right" vertical="center" shrinkToFit="1"/>
      <protection locked="0"/>
    </xf>
    <xf numFmtId="10" fontId="84" fillId="49" borderId="171" xfId="2" applyNumberFormat="1" applyFont="1" applyFill="1" applyBorder="1" applyAlignment="1">
      <alignment horizontal="right"/>
    </xf>
    <xf numFmtId="0" fontId="89" fillId="2" borderId="101" xfId="2" applyFont="1" applyFill="1" applyBorder="1"/>
    <xf numFmtId="4" fontId="86" fillId="2" borderId="101" xfId="2" applyNumberFormat="1" applyFont="1" applyFill="1" applyBorder="1" applyAlignment="1" applyProtection="1">
      <alignment horizontal="center"/>
      <protection hidden="1"/>
    </xf>
    <xf numFmtId="0" fontId="35" fillId="2" borderId="172" xfId="2" applyFont="1" applyFill="1" applyBorder="1" applyAlignment="1">
      <alignment horizontal="center" vertical="center" wrapText="1"/>
    </xf>
    <xf numFmtId="0" fontId="84" fillId="2" borderId="0" xfId="2" applyNumberFormat="1" applyFont="1" applyFill="1" applyBorder="1" applyAlignment="1" applyProtection="1">
      <alignment horizontal="left"/>
      <protection hidden="1"/>
    </xf>
    <xf numFmtId="0" fontId="84" fillId="2" borderId="0" xfId="2" applyFont="1" applyFill="1" applyBorder="1" applyAlignment="1">
      <alignment horizontal="center"/>
    </xf>
    <xf numFmtId="0" fontId="84" fillId="2" borderId="101" xfId="2" applyFont="1" applyFill="1" applyBorder="1" applyAlignment="1">
      <alignment horizontal="center"/>
    </xf>
    <xf numFmtId="4" fontId="125" fillId="7" borderId="0" xfId="0" applyNumberFormat="1" applyFont="1" applyFill="1" applyAlignment="1" applyProtection="1">
      <alignment vertical="center" wrapText="1"/>
      <protection hidden="1"/>
    </xf>
    <xf numFmtId="0" fontId="151" fillId="0" borderId="0" xfId="0" applyFont="1" applyProtection="1"/>
    <xf numFmtId="0" fontId="34" fillId="0" borderId="0" xfId="0" applyFont="1" applyFill="1" applyBorder="1" applyAlignment="1" applyProtection="1">
      <alignment horizontal="left" wrapText="1"/>
      <protection hidden="1"/>
    </xf>
    <xf numFmtId="1" fontId="91" fillId="7" borderId="0" xfId="2" applyNumberFormat="1" applyFont="1" applyFill="1" applyBorder="1" applyAlignment="1">
      <alignment horizontal="right"/>
    </xf>
    <xf numFmtId="14" fontId="16" fillId="0" borderId="0" xfId="0" applyNumberFormat="1" applyFont="1" applyProtection="1">
      <protection hidden="1"/>
    </xf>
    <xf numFmtId="165" fontId="19" fillId="0" borderId="17" xfId="3" applyNumberFormat="1" applyFont="1" applyFill="1" applyBorder="1" applyAlignment="1" applyProtection="1">
      <alignment vertical="center" shrinkToFit="1"/>
      <protection hidden="1"/>
    </xf>
    <xf numFmtId="0" fontId="13" fillId="11" borderId="0" xfId="0" applyFont="1" applyFill="1" applyProtection="1">
      <protection hidden="1"/>
    </xf>
    <xf numFmtId="0" fontId="0" fillId="11" borderId="0" xfId="0" applyFill="1" applyProtection="1">
      <protection hidden="1"/>
    </xf>
    <xf numFmtId="172" fontId="4" fillId="11" borderId="6" xfId="4" applyNumberFormat="1" applyFont="1" applyFill="1" applyBorder="1" applyAlignment="1" applyProtection="1">
      <alignment horizontal="left"/>
      <protection hidden="1"/>
    </xf>
    <xf numFmtId="2" fontId="27" fillId="11" borderId="25" xfId="0" applyNumberFormat="1" applyFont="1" applyFill="1" applyBorder="1" applyProtection="1">
      <protection hidden="1"/>
    </xf>
    <xf numFmtId="0" fontId="108" fillId="0" borderId="0" xfId="0" applyFont="1" applyAlignment="1" applyProtection="1"/>
    <xf numFmtId="4" fontId="29" fillId="21" borderId="21" xfId="3" applyNumberFormat="1" applyFont="1" applyFill="1" applyBorder="1" applyAlignment="1" applyProtection="1">
      <alignment horizontal="right" vertical="center" shrinkToFit="1"/>
      <protection hidden="1"/>
    </xf>
    <xf numFmtId="10" fontId="29" fillId="21" borderId="21" xfId="1" applyNumberFormat="1" applyFont="1" applyFill="1" applyBorder="1" applyAlignment="1" applyProtection="1">
      <alignment horizontal="center" vertical="center"/>
      <protection hidden="1"/>
    </xf>
    <xf numFmtId="14" fontId="20" fillId="10" borderId="150" xfId="0" applyNumberFormat="1" applyFont="1" applyFill="1" applyBorder="1" applyAlignment="1" applyProtection="1">
      <alignment horizontal="center"/>
      <protection locked="0"/>
    </xf>
    <xf numFmtId="4" fontId="20" fillId="2" borderId="150" xfId="0" applyNumberFormat="1" applyFont="1" applyFill="1" applyBorder="1" applyAlignment="1" applyProtection="1">
      <alignment horizontal="center"/>
      <protection locked="0"/>
    </xf>
    <xf numFmtId="0" fontId="0" fillId="47" borderId="0" xfId="0" applyFill="1" applyProtection="1"/>
    <xf numFmtId="49" fontId="3" fillId="47" borderId="0" xfId="0" applyNumberFormat="1" applyFont="1" applyFill="1" applyBorder="1" applyAlignment="1" applyProtection="1">
      <alignment horizontal="left"/>
    </xf>
    <xf numFmtId="0" fontId="151" fillId="47" borderId="0" xfId="0" applyFont="1" applyFill="1" applyProtection="1"/>
    <xf numFmtId="0" fontId="108" fillId="47" borderId="0" xfId="0" applyFont="1" applyFill="1" applyProtection="1"/>
    <xf numFmtId="10" fontId="15" fillId="47" borderId="5" xfId="1" applyNumberFormat="1" applyFont="1" applyFill="1" applyBorder="1" applyAlignment="1" applyProtection="1">
      <alignment horizontal="right" vertical="center" shrinkToFit="1"/>
      <protection locked="0"/>
    </xf>
    <xf numFmtId="0" fontId="18" fillId="47" borderId="0" xfId="0" applyFont="1" applyFill="1" applyBorder="1" applyAlignment="1" applyProtection="1">
      <alignment horizontal="left"/>
    </xf>
    <xf numFmtId="4" fontId="34" fillId="47" borderId="0" xfId="0" applyNumberFormat="1" applyFont="1" applyFill="1" applyBorder="1" applyProtection="1">
      <protection locked="0"/>
    </xf>
    <xf numFmtId="4" fontId="34" fillId="47" borderId="0" xfId="0" applyNumberFormat="1" applyFont="1" applyFill="1" applyBorder="1" applyAlignment="1" applyProtection="1">
      <alignment vertical="center"/>
      <protection locked="0"/>
    </xf>
    <xf numFmtId="0" fontId="3" fillId="2" borderId="141" xfId="0" applyFont="1" applyFill="1" applyBorder="1" applyAlignment="1" applyProtection="1">
      <protection locked="0"/>
    </xf>
    <xf numFmtId="10" fontId="101" fillId="0" borderId="140" xfId="0" applyNumberFormat="1" applyFont="1" applyBorder="1" applyAlignment="1" applyProtection="1">
      <alignment horizontal="center"/>
      <protection locked="0"/>
    </xf>
    <xf numFmtId="174" fontId="101" fillId="2" borderId="140" xfId="0" applyNumberFormat="1" applyFont="1" applyFill="1" applyBorder="1" applyAlignment="1" applyProtection="1">
      <alignment horizontal="center"/>
      <protection locked="0"/>
    </xf>
    <xf numFmtId="0" fontId="101" fillId="0" borderId="140" xfId="0" applyFont="1" applyBorder="1" applyAlignment="1" applyProtection="1">
      <alignment horizontal="center"/>
      <protection locked="0"/>
    </xf>
    <xf numFmtId="165" fontId="19" fillId="25" borderId="146" xfId="3" applyFont="1" applyFill="1" applyBorder="1" applyAlignment="1" applyProtection="1">
      <alignment horizontal="center" vertical="top" shrinkToFit="1"/>
      <protection locked="0"/>
    </xf>
    <xf numFmtId="165" fontId="19" fillId="25" borderId="147" xfId="3" applyFont="1" applyFill="1" applyBorder="1" applyAlignment="1" applyProtection="1">
      <alignment horizontal="center" vertical="top" shrinkToFit="1"/>
      <protection locked="0"/>
    </xf>
    <xf numFmtId="165" fontId="19" fillId="25" borderId="148" xfId="3" applyFont="1" applyFill="1" applyBorder="1" applyAlignment="1" applyProtection="1">
      <alignment horizontal="center" vertical="top" shrinkToFit="1"/>
      <protection locked="0"/>
    </xf>
    <xf numFmtId="165" fontId="19" fillId="25" borderId="149" xfId="3" applyFont="1" applyFill="1" applyBorder="1" applyAlignment="1" applyProtection="1">
      <alignment horizontal="center" vertical="top" shrinkToFit="1"/>
      <protection locked="0"/>
    </xf>
    <xf numFmtId="0" fontId="34" fillId="0" borderId="0" xfId="0" applyFont="1" applyFill="1" applyBorder="1" applyAlignment="1" applyProtection="1">
      <alignment horizontal="center"/>
    </xf>
    <xf numFmtId="0" fontId="145" fillId="0" borderId="0" xfId="0" applyFont="1" applyFill="1" applyBorder="1" applyAlignment="1" applyProtection="1">
      <alignment vertical="center" wrapText="1"/>
    </xf>
    <xf numFmtId="4" fontId="145" fillId="0" borderId="0" xfId="3" applyNumberFormat="1" applyFont="1" applyFill="1" applyBorder="1" applyAlignment="1" applyProtection="1">
      <alignment vertical="center" shrinkToFit="1"/>
    </xf>
    <xf numFmtId="0" fontId="153" fillId="0" borderId="0" xfId="0" applyFont="1" applyBorder="1" applyAlignment="1" applyProtection="1">
      <alignment wrapText="1"/>
    </xf>
    <xf numFmtId="0" fontId="145" fillId="0" borderId="0" xfId="0" applyFont="1" applyFill="1" applyBorder="1" applyAlignment="1" applyProtection="1">
      <alignment horizontal="left" vertical="center" wrapText="1"/>
    </xf>
    <xf numFmtId="0" fontId="145" fillId="7" borderId="0" xfId="0" applyFont="1" applyFill="1" applyBorder="1" applyAlignment="1" applyProtection="1">
      <alignment horizontal="left" wrapText="1"/>
    </xf>
    <xf numFmtId="10" fontId="145" fillId="7" borderId="0" xfId="3" applyNumberFormat="1" applyFont="1" applyFill="1" applyBorder="1" applyAlignment="1" applyProtection="1">
      <alignment vertical="center" shrinkToFit="1"/>
    </xf>
    <xf numFmtId="0" fontId="145" fillId="0" borderId="0" xfId="0" applyFont="1" applyFill="1" applyBorder="1" applyAlignment="1" applyProtection="1">
      <alignment horizontal="left" wrapText="1"/>
    </xf>
    <xf numFmtId="0" fontId="159" fillId="0" borderId="0" xfId="0" applyFont="1" applyFill="1" applyBorder="1" applyAlignment="1" applyProtection="1">
      <alignment horizontal="left"/>
    </xf>
    <xf numFmtId="0" fontId="159" fillId="0" borderId="0" xfId="0" applyFont="1" applyFill="1" applyBorder="1" applyProtection="1"/>
    <xf numFmtId="178" fontId="19" fillId="47" borderId="0" xfId="3" applyNumberFormat="1" applyFont="1" applyFill="1" applyBorder="1" applyAlignment="1" applyProtection="1">
      <alignment vertical="center" shrinkToFit="1"/>
      <protection locked="0"/>
    </xf>
    <xf numFmtId="0" fontId="34" fillId="0" borderId="0" xfId="0" applyFont="1" applyFill="1" applyBorder="1" applyAlignment="1" applyProtection="1">
      <alignment vertical="center" wrapText="1"/>
    </xf>
    <xf numFmtId="0" fontId="15" fillId="0" borderId="0" xfId="3" applyNumberFormat="1" applyFont="1" applyFill="1" applyBorder="1" applyAlignment="1" applyProtection="1">
      <alignment vertical="center" shrinkToFit="1"/>
    </xf>
    <xf numFmtId="0" fontId="25" fillId="0" borderId="0" xfId="0" applyFont="1" applyFill="1" applyBorder="1" applyAlignment="1" applyProtection="1">
      <alignment horizontal="center" vertical="center" wrapText="1"/>
    </xf>
    <xf numFmtId="0" fontId="18" fillId="43" borderId="0" xfId="0" applyFont="1" applyFill="1" applyBorder="1" applyAlignment="1" applyProtection="1">
      <alignment horizontal="left" vertical="center" wrapText="1"/>
    </xf>
    <xf numFmtId="0" fontId="4" fillId="2" borderId="77" xfId="2" applyFont="1" applyFill="1" applyBorder="1" applyAlignment="1" applyProtection="1">
      <alignment horizontal="center" wrapText="1"/>
      <protection hidden="1"/>
    </xf>
    <xf numFmtId="0" fontId="0" fillId="7" borderId="102" xfId="0" applyFill="1" applyBorder="1" applyProtection="1">
      <protection hidden="1"/>
    </xf>
    <xf numFmtId="0" fontId="18" fillId="13" borderId="68" xfId="0" applyFont="1" applyFill="1" applyBorder="1" applyAlignment="1" applyProtection="1">
      <alignment horizontal="left" vertical="center" wrapText="1"/>
      <protection hidden="1"/>
    </xf>
    <xf numFmtId="2" fontId="86" fillId="0" borderId="0" xfId="2" applyNumberFormat="1" applyFont="1" applyFill="1" applyBorder="1"/>
    <xf numFmtId="2" fontId="86" fillId="0" borderId="0" xfId="2" applyNumberFormat="1" applyFont="1" applyFill="1" applyBorder="1" applyAlignment="1" applyProtection="1">
      <alignment horizontal="right"/>
      <protection hidden="1"/>
    </xf>
    <xf numFmtId="0" fontId="50" fillId="0" borderId="0" xfId="0" applyFont="1" applyFill="1" applyBorder="1" applyAlignment="1" applyProtection="1">
      <alignment horizontal="center" vertical="center" wrapText="1"/>
      <protection hidden="1"/>
    </xf>
    <xf numFmtId="0" fontId="141" fillId="0" borderId="0" xfId="0" applyFont="1" applyFill="1" applyBorder="1" applyAlignment="1" applyProtection="1">
      <alignment vertical="center" wrapText="1"/>
      <protection hidden="1"/>
    </xf>
    <xf numFmtId="0" fontId="51" fillId="0" borderId="0" xfId="0" applyFont="1" applyAlignment="1" applyProtection="1">
      <alignment horizontal="center"/>
      <protection hidden="1"/>
    </xf>
    <xf numFmtId="0" fontId="141" fillId="7" borderId="0" xfId="0" applyFont="1" applyFill="1" applyBorder="1" applyAlignment="1" applyProtection="1">
      <alignment vertical="center" wrapText="1"/>
    </xf>
    <xf numFmtId="0" fontId="161" fillId="0" borderId="0" xfId="0" applyFont="1" applyProtection="1"/>
    <xf numFmtId="0" fontId="18" fillId="13" borderId="16" xfId="0" applyFont="1" applyFill="1" applyBorder="1" applyAlignment="1" applyProtection="1">
      <alignment horizontal="center" wrapText="1"/>
    </xf>
    <xf numFmtId="0" fontId="18" fillId="13" borderId="16" xfId="0" applyFont="1" applyFill="1" applyBorder="1" applyAlignment="1" applyProtection="1">
      <alignment horizontal="center" vertical="center" wrapText="1"/>
    </xf>
    <xf numFmtId="0" fontId="33" fillId="7" borderId="0" xfId="0" applyFont="1" applyFill="1" applyBorder="1" applyAlignment="1" applyProtection="1">
      <alignment horizontal="center"/>
    </xf>
    <xf numFmtId="0" fontId="0" fillId="0" borderId="0" xfId="0" applyAlignment="1">
      <alignment horizontal="left" vertical="top" wrapText="1"/>
    </xf>
    <xf numFmtId="0" fontId="162" fillId="0" borderId="0" xfId="0" applyFont="1" applyFill="1" applyAlignment="1">
      <alignment horizontal="center" vertical="center"/>
    </xf>
    <xf numFmtId="0" fontId="7" fillId="13" borderId="102" xfId="0" applyFont="1" applyFill="1" applyBorder="1" applyProtection="1">
      <protection hidden="1"/>
    </xf>
    <xf numFmtId="0" fontId="105" fillId="0" borderId="0" xfId="0" applyFont="1" applyAlignment="1">
      <alignment horizontal="center" vertical="center"/>
    </xf>
    <xf numFmtId="0" fontId="105" fillId="0" borderId="0" xfId="0" applyFont="1" applyAlignment="1">
      <alignment horizontal="center" vertical="center" wrapText="1"/>
    </xf>
    <xf numFmtId="0" fontId="0" fillId="0" borderId="0" xfId="0" applyFill="1"/>
    <xf numFmtId="0" fontId="15" fillId="0" borderId="0" xfId="0" applyFont="1" applyFill="1" applyBorder="1" applyAlignment="1" applyProtection="1">
      <alignment horizontal="center" vertical="center" wrapText="1"/>
      <protection locked="0"/>
    </xf>
    <xf numFmtId="0" fontId="105" fillId="50" borderId="0" xfId="0" applyNumberFormat="1" applyFont="1" applyFill="1" applyAlignment="1">
      <alignment horizontal="left" vertical="top"/>
    </xf>
    <xf numFmtId="0" fontId="0" fillId="50" borderId="0" xfId="0" applyFill="1" applyAlignment="1">
      <alignment horizontal="left" vertical="top" wrapText="1"/>
    </xf>
    <xf numFmtId="0" fontId="84" fillId="0" borderId="58" xfId="2" applyFont="1" applyFill="1" applyBorder="1" applyAlignment="1" applyProtection="1">
      <alignment horizontal="right"/>
      <protection locked="0"/>
    </xf>
    <xf numFmtId="0" fontId="33" fillId="7" borderId="0" xfId="0" applyFont="1" applyFill="1" applyBorder="1" applyAlignment="1" applyProtection="1"/>
    <xf numFmtId="0" fontId="0" fillId="7" borderId="0" xfId="0" applyFill="1" applyBorder="1" applyAlignment="1" applyProtection="1"/>
    <xf numFmtId="0" fontId="3" fillId="2" borderId="141" xfId="0" applyFont="1" applyFill="1" applyBorder="1" applyAlignment="1" applyProtection="1">
      <alignment horizontal="center"/>
      <protection locked="0"/>
    </xf>
    <xf numFmtId="0" fontId="18" fillId="13" borderId="68" xfId="0" applyFont="1" applyFill="1" applyBorder="1" applyAlignment="1" applyProtection="1">
      <alignment horizontal="left" vertical="center"/>
      <protection hidden="1"/>
    </xf>
    <xf numFmtId="0" fontId="4" fillId="7" borderId="102" xfId="0" applyFont="1" applyFill="1" applyBorder="1" applyProtection="1">
      <protection hidden="1"/>
    </xf>
    <xf numFmtId="4" fontId="0" fillId="7" borderId="102" xfId="0" applyNumberFormat="1" applyFill="1" applyBorder="1" applyProtection="1">
      <protection hidden="1"/>
    </xf>
    <xf numFmtId="4" fontId="57" fillId="0" borderId="102" xfId="0" applyNumberFormat="1" applyFont="1" applyBorder="1" applyProtection="1">
      <protection hidden="1"/>
    </xf>
    <xf numFmtId="39" fontId="19" fillId="0" borderId="0" xfId="3" applyNumberFormat="1" applyFont="1" applyFill="1" applyBorder="1" applyAlignment="1" applyProtection="1">
      <alignment vertical="center" shrinkToFit="1"/>
      <protection hidden="1"/>
    </xf>
    <xf numFmtId="0" fontId="34" fillId="19" borderId="178" xfId="0" applyFont="1" applyFill="1" applyBorder="1" applyAlignment="1" applyProtection="1">
      <alignment vertical="center" wrapText="1"/>
    </xf>
    <xf numFmtId="4" fontId="19" fillId="0" borderId="17" xfId="3" applyNumberFormat="1" applyFont="1" applyFill="1" applyBorder="1" applyAlignment="1" applyProtection="1">
      <alignment horizontal="right" vertical="center" shrinkToFit="1"/>
      <protection locked="0"/>
    </xf>
    <xf numFmtId="39" fontId="19" fillId="0" borderId="0" xfId="3" applyNumberFormat="1" applyFont="1" applyFill="1" applyBorder="1" applyAlignment="1" applyProtection="1">
      <alignment horizontal="right" vertical="center" shrinkToFit="1"/>
      <protection hidden="1"/>
    </xf>
    <xf numFmtId="0" fontId="18" fillId="13" borderId="161" xfId="0" applyFont="1" applyFill="1" applyBorder="1" applyAlignment="1" applyProtection="1">
      <alignment horizontal="left" vertical="center" wrapText="1"/>
    </xf>
    <xf numFmtId="0" fontId="158" fillId="7" borderId="0" xfId="0" applyFont="1" applyFill="1" applyBorder="1" applyProtection="1"/>
    <xf numFmtId="0" fontId="153" fillId="0" borderId="0" xfId="0" applyFont="1" applyBorder="1" applyProtection="1"/>
    <xf numFmtId="10" fontId="19" fillId="0" borderId="182" xfId="3" applyNumberFormat="1" applyFont="1" applyFill="1" applyBorder="1" applyAlignment="1" applyProtection="1">
      <alignment horizontal="center" vertical="center" shrinkToFit="1"/>
      <protection locked="0"/>
    </xf>
    <xf numFmtId="0" fontId="0" fillId="0" borderId="183" xfId="0" applyBorder="1" applyProtection="1"/>
    <xf numFmtId="0" fontId="34" fillId="13" borderId="161" xfId="0" applyFont="1" applyFill="1" applyBorder="1" applyAlignment="1" applyProtection="1">
      <alignment vertical="center" wrapText="1"/>
    </xf>
    <xf numFmtId="0" fontId="18" fillId="13" borderId="68" xfId="0" applyFont="1" applyFill="1" applyBorder="1" applyAlignment="1" applyProtection="1">
      <alignment horizontal="center" vertical="center" wrapText="1"/>
      <protection hidden="1"/>
    </xf>
    <xf numFmtId="0" fontId="153" fillId="0" borderId="0" xfId="0" applyFont="1" applyBorder="1" applyAlignment="1" applyProtection="1">
      <alignment horizontal="right"/>
    </xf>
    <xf numFmtId="0" fontId="18" fillId="42" borderId="68" xfId="0" applyFont="1" applyFill="1" applyBorder="1" applyAlignment="1" applyProtection="1">
      <alignment horizontal="center" vertical="center" wrapText="1"/>
      <protection hidden="1"/>
    </xf>
    <xf numFmtId="9" fontId="144" fillId="0" borderId="0" xfId="1" applyFont="1" applyBorder="1" applyAlignment="1" applyProtection="1">
      <alignment vertical="center"/>
    </xf>
    <xf numFmtId="0" fontId="155" fillId="0" borderId="0" xfId="0" applyFont="1" applyFill="1" applyBorder="1" applyAlignment="1" applyProtection="1">
      <alignment vertical="center"/>
    </xf>
    <xf numFmtId="0" fontId="24" fillId="7" borderId="0" xfId="0" applyFont="1" applyFill="1" applyBorder="1" applyAlignment="1" applyProtection="1">
      <alignment horizontal="left"/>
    </xf>
    <xf numFmtId="165" fontId="24" fillId="0" borderId="0" xfId="3" applyNumberFormat="1" applyFont="1" applyFill="1" applyBorder="1" applyAlignment="1" applyProtection="1">
      <alignment vertical="center" shrinkToFit="1"/>
    </xf>
    <xf numFmtId="0" fontId="24" fillId="7" borderId="0" xfId="0" applyFont="1" applyFill="1" applyBorder="1" applyAlignment="1" applyProtection="1">
      <alignment horizontal="left" wrapText="1"/>
    </xf>
    <xf numFmtId="39" fontId="24" fillId="0" borderId="0" xfId="3" applyNumberFormat="1" applyFont="1" applyFill="1" applyBorder="1" applyAlignment="1" applyProtection="1">
      <alignment vertical="center" shrinkToFit="1"/>
    </xf>
    <xf numFmtId="4" fontId="19" fillId="0" borderId="0" xfId="3" applyNumberFormat="1" applyFont="1" applyFill="1" applyBorder="1" applyAlignment="1" applyProtection="1">
      <alignment vertical="center" shrinkToFit="1"/>
      <protection locked="0"/>
    </xf>
    <xf numFmtId="0" fontId="18" fillId="47" borderId="0" xfId="0" applyFont="1" applyFill="1" applyBorder="1" applyAlignment="1" applyProtection="1">
      <alignment horizontal="left" vertical="center" wrapText="1"/>
    </xf>
    <xf numFmtId="0" fontId="18" fillId="0" borderId="0" xfId="0" applyFont="1" applyFill="1" applyBorder="1" applyAlignment="1" applyProtection="1">
      <alignment horizontal="left" vertical="center" wrapText="1"/>
    </xf>
    <xf numFmtId="0" fontId="18" fillId="47" borderId="54" xfId="0" applyFont="1" applyFill="1" applyBorder="1" applyAlignment="1" applyProtection="1">
      <alignment horizontal="left" vertical="center" wrapText="1"/>
    </xf>
    <xf numFmtId="0" fontId="144" fillId="0" borderId="0" xfId="0" applyFont="1" applyBorder="1" applyAlignment="1" applyProtection="1">
      <alignment vertical="center"/>
    </xf>
    <xf numFmtId="0" fontId="163" fillId="47" borderId="0" xfId="0" applyFont="1" applyFill="1" applyAlignment="1" applyProtection="1">
      <alignment horizontal="center" vertical="center" wrapText="1"/>
    </xf>
    <xf numFmtId="0" fontId="24" fillId="0" borderId="0" xfId="0" applyFont="1" applyFill="1" applyBorder="1" applyAlignment="1" applyProtection="1">
      <alignment horizontal="center" vertical="center"/>
    </xf>
    <xf numFmtId="39" fontId="145" fillId="9" borderId="36" xfId="3" applyNumberFormat="1" applyFont="1" applyFill="1" applyBorder="1" applyAlignment="1" applyProtection="1">
      <alignment horizontal="right" vertical="center" shrinkToFit="1"/>
      <protection hidden="1"/>
    </xf>
    <xf numFmtId="0" fontId="34" fillId="13" borderId="0" xfId="0" applyFont="1" applyFill="1" applyBorder="1" applyAlignment="1" applyProtection="1">
      <alignment vertical="center" wrapText="1"/>
    </xf>
    <xf numFmtId="0" fontId="34" fillId="13" borderId="0" xfId="0" applyFont="1" applyFill="1" applyBorder="1" applyAlignment="1" applyProtection="1">
      <alignment horizontal="left"/>
    </xf>
    <xf numFmtId="0" fontId="34" fillId="13" borderId="16" xfId="0" applyFont="1" applyFill="1" applyBorder="1" applyAlignment="1" applyProtection="1">
      <alignment horizontal="left" vertical="center" wrapText="1"/>
    </xf>
    <xf numFmtId="0" fontId="4" fillId="5" borderId="102" xfId="2" applyFill="1" applyBorder="1" applyProtection="1">
      <protection hidden="1"/>
    </xf>
    <xf numFmtId="9" fontId="34" fillId="47" borderId="0" xfId="1" applyFont="1" applyFill="1" applyBorder="1" applyAlignment="1" applyProtection="1">
      <alignment horizontal="center"/>
      <protection locked="0"/>
    </xf>
    <xf numFmtId="0" fontId="3" fillId="0" borderId="141" xfId="0" applyFont="1" applyFill="1" applyBorder="1" applyAlignment="1" applyProtection="1">
      <protection locked="0"/>
    </xf>
    <xf numFmtId="0" fontId="3" fillId="0" borderId="141" xfId="0" applyFont="1" applyFill="1" applyBorder="1" applyAlignment="1" applyProtection="1">
      <alignment horizontal="center"/>
      <protection locked="0"/>
    </xf>
    <xf numFmtId="0" fontId="3" fillId="0" borderId="141" xfId="0" applyFont="1" applyFill="1" applyBorder="1" applyAlignment="1" applyProtection="1">
      <alignment horizontal="center"/>
      <protection hidden="1"/>
    </xf>
    <xf numFmtId="0" fontId="3" fillId="41" borderId="141" xfId="0" applyFont="1" applyFill="1" applyBorder="1" applyAlignment="1" applyProtection="1">
      <protection hidden="1"/>
    </xf>
    <xf numFmtId="39" fontId="13" fillId="0" borderId="25" xfId="1" applyNumberFormat="1" applyFont="1" applyBorder="1" applyProtection="1">
      <protection hidden="1"/>
    </xf>
    <xf numFmtId="0" fontId="105" fillId="18" borderId="0" xfId="0" applyFont="1" applyFill="1" applyAlignment="1" applyProtection="1">
      <alignment horizontal="center" vertical="center"/>
      <protection hidden="1"/>
    </xf>
    <xf numFmtId="176" fontId="3" fillId="0" borderId="25" xfId="3" applyNumberFormat="1" applyFont="1" applyFill="1" applyBorder="1" applyAlignment="1" applyProtection="1">
      <alignment horizontal="right" vertical="center" shrinkToFit="1"/>
      <protection hidden="1"/>
    </xf>
    <xf numFmtId="171" fontId="147" fillId="2" borderId="25" xfId="0" applyNumberFormat="1" applyFont="1" applyFill="1" applyBorder="1" applyAlignment="1" applyProtection="1">
      <alignment horizontal="center"/>
    </xf>
    <xf numFmtId="4" fontId="15" fillId="0" borderId="179" xfId="0" applyNumberFormat="1" applyFont="1" applyBorder="1" applyAlignment="1" applyProtection="1">
      <alignment vertical="center"/>
      <protection locked="0"/>
    </xf>
    <xf numFmtId="0" fontId="13" fillId="0" borderId="25" xfId="0" applyFont="1" applyBorder="1" applyProtection="1">
      <protection locked="0"/>
    </xf>
    <xf numFmtId="39" fontId="145" fillId="0" borderId="5" xfId="3" applyNumberFormat="1" applyFont="1" applyFill="1" applyBorder="1" applyAlignment="1" applyProtection="1">
      <alignment vertical="center" shrinkToFit="1"/>
      <protection locked="0"/>
    </xf>
    <xf numFmtId="9" fontId="145" fillId="0" borderId="176" xfId="1" applyFont="1" applyFill="1" applyBorder="1" applyProtection="1">
      <protection locked="0"/>
    </xf>
    <xf numFmtId="0" fontId="145" fillId="0" borderId="23" xfId="0" applyFont="1" applyBorder="1" applyAlignment="1" applyProtection="1">
      <alignment horizontal="center" vertical="center"/>
      <protection locked="0"/>
    </xf>
    <xf numFmtId="165" fontId="19" fillId="25" borderId="146" xfId="3" applyFont="1" applyFill="1" applyBorder="1" applyAlignment="1" applyProtection="1">
      <alignment horizontal="center" vertical="top" shrinkToFit="1"/>
      <protection hidden="1"/>
    </xf>
    <xf numFmtId="0" fontId="19" fillId="41" borderId="141" xfId="0" applyFont="1" applyFill="1" applyBorder="1" applyAlignment="1" applyProtection="1">
      <alignment horizontal="center"/>
      <protection hidden="1"/>
    </xf>
    <xf numFmtId="0" fontId="49" fillId="0" borderId="44" xfId="0" applyFont="1" applyFill="1" applyBorder="1" applyAlignment="1" applyProtection="1">
      <alignment wrapText="1"/>
    </xf>
    <xf numFmtId="0" fontId="162" fillId="13" borderId="0" xfId="0" applyFont="1" applyFill="1" applyAlignment="1">
      <alignment horizontal="center" vertical="center"/>
    </xf>
    <xf numFmtId="0" fontId="15" fillId="34" borderId="54" xfId="0" applyFont="1" applyFill="1" applyBorder="1" applyAlignment="1" applyProtection="1">
      <alignment vertical="center" wrapText="1"/>
    </xf>
    <xf numFmtId="0" fontId="145" fillId="0" borderId="180" xfId="0" applyFont="1" applyBorder="1" applyAlignment="1" applyProtection="1">
      <alignment horizontal="center" vertical="center"/>
      <protection locked="0"/>
    </xf>
    <xf numFmtId="39" fontId="15" fillId="0" borderId="177" xfId="3" applyNumberFormat="1" applyFont="1" applyFill="1" applyBorder="1" applyAlignment="1" applyProtection="1">
      <alignment horizontal="right" vertical="center" shrinkToFit="1"/>
      <protection locked="0"/>
    </xf>
    <xf numFmtId="165" fontId="19" fillId="25" borderId="144" xfId="3" applyFont="1" applyFill="1" applyBorder="1" applyAlignment="1" applyProtection="1">
      <alignment horizontal="center" shrinkToFit="1"/>
      <protection hidden="1"/>
    </xf>
    <xf numFmtId="0" fontId="77" fillId="0" borderId="0" xfId="0" applyFont="1"/>
    <xf numFmtId="0" fontId="13" fillId="0" borderId="0" xfId="0" applyFont="1"/>
    <xf numFmtId="0" fontId="104" fillId="2" borderId="0" xfId="2" applyFont="1" applyFill="1" applyBorder="1" applyAlignment="1" applyProtection="1">
      <alignment wrapText="1"/>
      <protection hidden="1"/>
    </xf>
    <xf numFmtId="0" fontId="104" fillId="2" borderId="101" xfId="2" applyFont="1" applyFill="1" applyBorder="1" applyAlignment="1" applyProtection="1">
      <alignment wrapText="1"/>
      <protection hidden="1"/>
    </xf>
    <xf numFmtId="0" fontId="13" fillId="11" borderId="102" xfId="0" applyFont="1" applyFill="1" applyBorder="1" applyProtection="1">
      <protection hidden="1"/>
    </xf>
    <xf numFmtId="10" fontId="4" fillId="11" borderId="25" xfId="0" applyNumberFormat="1" applyFont="1" applyFill="1" applyBorder="1" applyAlignment="1" applyProtection="1">
      <alignment horizontal="center"/>
      <protection hidden="1"/>
    </xf>
    <xf numFmtId="0" fontId="13" fillId="11" borderId="25" xfId="0" applyFont="1" applyFill="1" applyBorder="1" applyProtection="1">
      <protection hidden="1"/>
    </xf>
    <xf numFmtId="10" fontId="4" fillId="11" borderId="25" xfId="0" applyNumberFormat="1" applyFont="1" applyFill="1" applyBorder="1" applyAlignment="1" applyProtection="1">
      <alignment horizontal="center"/>
      <protection locked="0"/>
    </xf>
    <xf numFmtId="0" fontId="13" fillId="11" borderId="25" xfId="0" applyFont="1" applyFill="1" applyBorder="1" applyProtection="1">
      <protection locked="0"/>
    </xf>
    <xf numFmtId="0" fontId="168" fillId="0" borderId="0" xfId="0" applyFont="1"/>
    <xf numFmtId="0" fontId="169" fillId="0" borderId="0" xfId="0" applyFont="1"/>
    <xf numFmtId="0" fontId="106" fillId="0" borderId="0" xfId="0" applyFont="1"/>
    <xf numFmtId="0" fontId="169" fillId="0" borderId="0" xfId="0" applyFont="1" applyFill="1"/>
    <xf numFmtId="0" fontId="106" fillId="0" borderId="0" xfId="0" applyFont="1" applyFill="1"/>
    <xf numFmtId="0" fontId="102" fillId="0" borderId="0" xfId="0" applyFont="1"/>
    <xf numFmtId="0" fontId="101" fillId="0" borderId="0" xfId="0" applyFont="1"/>
    <xf numFmtId="0" fontId="0" fillId="2" borderId="0" xfId="0" applyFill="1" applyAlignment="1">
      <alignment horizontal="center"/>
    </xf>
    <xf numFmtId="0" fontId="0" fillId="2" borderId="0" xfId="0" applyFill="1" applyAlignment="1">
      <alignment horizontal="right"/>
    </xf>
    <xf numFmtId="0" fontId="0" fillId="2" borderId="0" xfId="0" applyFill="1"/>
    <xf numFmtId="0" fontId="4" fillId="2" borderId="0" xfId="0" applyFont="1" applyFill="1" applyAlignment="1">
      <alignment vertical="top" wrapText="1"/>
    </xf>
    <xf numFmtId="0" fontId="4" fillId="2" borderId="0" xfId="0" applyFont="1" applyFill="1" applyAlignment="1">
      <alignment horizontal="right" vertical="top" wrapText="1"/>
    </xf>
    <xf numFmtId="0" fontId="0" fillId="2" borderId="0" xfId="0" applyFill="1" applyAlignment="1">
      <alignment horizontal="left" vertical="top" wrapText="1"/>
    </xf>
    <xf numFmtId="0" fontId="4" fillId="2" borderId="0" xfId="0" applyFont="1" applyFill="1" applyBorder="1" applyAlignment="1">
      <alignment vertical="top" wrapText="1"/>
    </xf>
    <xf numFmtId="0" fontId="4" fillId="2" borderId="0" xfId="0" applyFont="1" applyFill="1" applyBorder="1" applyAlignment="1">
      <alignment horizontal="right" vertical="top" wrapText="1"/>
    </xf>
    <xf numFmtId="0" fontId="0" fillId="2" borderId="0" xfId="0" applyFill="1" applyBorder="1" applyAlignment="1"/>
    <xf numFmtId="0" fontId="0" fillId="2" borderId="0" xfId="0" applyFill="1" applyBorder="1" applyAlignment="1">
      <alignment horizontal="right"/>
    </xf>
    <xf numFmtId="0" fontId="4" fillId="2" borderId="0" xfId="0" applyFont="1" applyFill="1" applyAlignment="1">
      <alignment vertical="center" wrapText="1"/>
    </xf>
    <xf numFmtId="0" fontId="4" fillId="2" borderId="0" xfId="0" applyFont="1" applyFill="1" applyAlignment="1">
      <alignment horizontal="left" vertical="center" wrapText="1"/>
    </xf>
    <xf numFmtId="0" fontId="0" fillId="7" borderId="0" xfId="0" applyFill="1" applyBorder="1" applyAlignment="1"/>
    <xf numFmtId="0" fontId="0" fillId="7" borderId="0" xfId="0" applyFill="1" applyBorder="1" applyAlignment="1">
      <alignment horizontal="right"/>
    </xf>
    <xf numFmtId="0" fontId="0" fillId="7" borderId="0" xfId="0" applyFill="1" applyBorder="1"/>
    <xf numFmtId="0" fontId="4" fillId="0" borderId="0" xfId="0" applyFont="1" applyBorder="1" applyAlignment="1">
      <alignment wrapText="1"/>
    </xf>
    <xf numFmtId="0" fontId="4" fillId="2" borderId="0" xfId="0" applyFont="1" applyFill="1" applyAlignment="1">
      <alignment horizontal="left" vertical="top" wrapText="1"/>
    </xf>
    <xf numFmtId="0" fontId="4" fillId="2" borderId="0" xfId="0" applyFont="1" applyFill="1" applyAlignment="1">
      <alignment horizontal="left"/>
    </xf>
    <xf numFmtId="0" fontId="35" fillId="2" borderId="0" xfId="0" applyFont="1" applyFill="1" applyAlignment="1">
      <alignment vertical="top"/>
    </xf>
    <xf numFmtId="0" fontId="35" fillId="2" borderId="0" xfId="0" applyFont="1" applyFill="1" applyAlignment="1">
      <alignment horizontal="right" vertical="top"/>
    </xf>
    <xf numFmtId="0" fontId="13" fillId="7" borderId="0" xfId="0" applyFont="1" applyFill="1" applyBorder="1"/>
    <xf numFmtId="0" fontId="4" fillId="7" borderId="0" xfId="0" applyFont="1" applyFill="1" applyBorder="1" applyAlignment="1"/>
    <xf numFmtId="0" fontId="4" fillId="2" borderId="0" xfId="0" applyFont="1" applyFill="1" applyAlignment="1"/>
    <xf numFmtId="0" fontId="39" fillId="47" borderId="0" xfId="0" applyFont="1" applyFill="1" applyAlignment="1">
      <alignment vertical="top"/>
    </xf>
    <xf numFmtId="0" fontId="166" fillId="47" borderId="0" xfId="0" applyFont="1" applyFill="1"/>
    <xf numFmtId="0" fontId="35" fillId="7" borderId="0" xfId="0" applyFont="1" applyFill="1"/>
    <xf numFmtId="0" fontId="4" fillId="7" borderId="0" xfId="0" applyFont="1" applyFill="1" applyAlignment="1">
      <alignment horizontal="right"/>
    </xf>
    <xf numFmtId="0" fontId="4" fillId="7" borderId="0" xfId="0" applyFont="1" applyFill="1"/>
    <xf numFmtId="0" fontId="171" fillId="0" borderId="0" xfId="0" applyFont="1"/>
    <xf numFmtId="49" fontId="4" fillId="7" borderId="0" xfId="0" applyNumberFormat="1" applyFont="1" applyFill="1"/>
    <xf numFmtId="0" fontId="171" fillId="7" borderId="0" xfId="0" applyFont="1" applyFill="1"/>
    <xf numFmtId="0" fontId="0" fillId="7" borderId="0" xfId="0" applyFill="1" applyAlignment="1">
      <alignment horizontal="right"/>
    </xf>
    <xf numFmtId="0" fontId="13" fillId="2" borderId="0" xfId="0" applyFont="1" applyFill="1"/>
    <xf numFmtId="0" fontId="13" fillId="2" borderId="0" xfId="0" applyFont="1" applyFill="1" applyBorder="1" applyAlignment="1"/>
    <xf numFmtId="0" fontId="13" fillId="2" borderId="0" xfId="0" applyFont="1" applyFill="1" applyBorder="1" applyAlignment="1">
      <alignment horizontal="right"/>
    </xf>
    <xf numFmtId="0" fontId="4" fillId="2" borderId="0" xfId="0" applyFont="1" applyFill="1" applyAlignment="1">
      <alignment horizontal="justify" vertical="justify" wrapText="1"/>
    </xf>
    <xf numFmtId="0" fontId="13" fillId="7" borderId="0" xfId="0" applyFont="1" applyFill="1" applyBorder="1" applyAlignment="1"/>
    <xf numFmtId="0" fontId="13" fillId="7" borderId="0" xfId="0" applyFont="1" applyFill="1" applyBorder="1" applyAlignment="1">
      <alignment horizontal="right"/>
    </xf>
    <xf numFmtId="0" fontId="4" fillId="2" borderId="0" xfId="0" applyFont="1" applyFill="1" applyAlignment="1">
      <alignment horizontal="center" vertical="top" wrapText="1"/>
    </xf>
    <xf numFmtId="0" fontId="13" fillId="2" borderId="0" xfId="0" applyFont="1" applyFill="1" applyAlignment="1">
      <alignment horizontal="right"/>
    </xf>
    <xf numFmtId="0" fontId="4" fillId="2" borderId="0" xfId="0" applyFont="1" applyFill="1" applyAlignment="1">
      <alignment vertical="top"/>
    </xf>
    <xf numFmtId="0" fontId="13" fillId="7" borderId="0" xfId="0" applyFont="1" applyFill="1"/>
    <xf numFmtId="0" fontId="13" fillId="7" borderId="0" xfId="0" applyFont="1" applyFill="1" applyAlignment="1">
      <alignment horizontal="right"/>
    </xf>
    <xf numFmtId="49" fontId="13" fillId="7" borderId="0" xfId="0" applyNumberFormat="1" applyFont="1" applyFill="1"/>
    <xf numFmtId="0" fontId="13" fillId="2" borderId="0" xfId="0" applyFont="1" applyFill="1" applyProtection="1">
      <protection locked="0"/>
    </xf>
    <xf numFmtId="0" fontId="13" fillId="2" borderId="0" xfId="0" applyFont="1" applyFill="1" applyAlignment="1">
      <alignment horizontal="center"/>
    </xf>
    <xf numFmtId="0" fontId="106" fillId="2" borderId="0" xfId="0" applyFont="1" applyFill="1" applyAlignment="1">
      <alignment horizontal="left" vertical="top" wrapText="1"/>
    </xf>
    <xf numFmtId="0" fontId="106" fillId="2" borderId="0" xfId="0" applyFont="1" applyFill="1"/>
    <xf numFmtId="0" fontId="13" fillId="7" borderId="0" xfId="0" applyFont="1" applyFill="1" applyBorder="1" applyAlignment="1">
      <alignment horizontal="left" vertical="justify"/>
    </xf>
    <xf numFmtId="0" fontId="13" fillId="0" borderId="0" xfId="0" applyFont="1" applyAlignment="1"/>
    <xf numFmtId="0" fontId="13" fillId="7" borderId="0" xfId="0" applyFont="1" applyFill="1" applyBorder="1" applyAlignment="1">
      <alignment horizontal="left"/>
    </xf>
    <xf numFmtId="0" fontId="13" fillId="0" borderId="0" xfId="0" applyFont="1" applyAlignment="1">
      <alignment horizontal="left" vertical="justify"/>
    </xf>
    <xf numFmtId="0" fontId="13" fillId="7" borderId="0" xfId="0" applyFont="1" applyFill="1" applyAlignment="1">
      <alignment horizontal="left" vertical="justify"/>
    </xf>
    <xf numFmtId="0" fontId="13" fillId="0" borderId="0" xfId="0" applyFont="1" applyBorder="1" applyAlignment="1">
      <alignment horizontal="left" vertical="justify"/>
    </xf>
    <xf numFmtId="0" fontId="73" fillId="2" borderId="0" xfId="0" applyFont="1" applyFill="1" applyAlignment="1">
      <alignment horizontal="left" wrapText="1"/>
    </xf>
    <xf numFmtId="0" fontId="13" fillId="0" borderId="0" xfId="0" applyFont="1" applyBorder="1" applyAlignment="1">
      <alignment horizontal="left" vertical="top"/>
    </xf>
    <xf numFmtId="0" fontId="4" fillId="7" borderId="0" xfId="0" applyFont="1" applyFill="1" applyAlignment="1">
      <alignment horizontal="center" vertical="top" wrapText="1"/>
    </xf>
    <xf numFmtId="0" fontId="4" fillId="7" borderId="0" xfId="0" applyFont="1" applyFill="1" applyAlignment="1">
      <alignment horizontal="left" vertical="top" wrapText="1"/>
    </xf>
    <xf numFmtId="49" fontId="0" fillId="7" borderId="0" xfId="0" applyNumberFormat="1" applyFill="1"/>
    <xf numFmtId="0" fontId="13" fillId="2" borderId="0" xfId="0" applyFont="1" applyFill="1" applyAlignment="1">
      <alignment horizontal="left" vertical="top" wrapText="1"/>
    </xf>
    <xf numFmtId="0" fontId="13" fillId="50" borderId="0" xfId="0" applyFont="1" applyFill="1" applyBorder="1" applyAlignment="1">
      <alignment horizontal="left" vertical="justify"/>
    </xf>
    <xf numFmtId="0" fontId="4" fillId="2" borderId="0" xfId="0" applyFont="1" applyFill="1" applyAlignment="1">
      <alignment horizontal="left" vertical="top"/>
    </xf>
    <xf numFmtId="0" fontId="70" fillId="0" borderId="0" xfId="0" applyFont="1" applyFill="1" applyBorder="1" applyAlignment="1">
      <alignment horizontal="center"/>
    </xf>
    <xf numFmtId="0" fontId="27" fillId="0" borderId="0" xfId="0" applyFont="1" applyBorder="1"/>
    <xf numFmtId="0" fontId="0" fillId="7" borderId="102" xfId="0" applyFill="1" applyBorder="1"/>
    <xf numFmtId="0" fontId="18" fillId="0" borderId="0" xfId="0" applyFont="1" applyFill="1" applyBorder="1" applyAlignment="1" applyProtection="1">
      <alignment horizontal="left" vertical="center" wrapText="1"/>
    </xf>
    <xf numFmtId="10" fontId="20" fillId="47" borderId="17" xfId="3" applyNumberFormat="1" applyFont="1" applyFill="1" applyBorder="1" applyAlignment="1" applyProtection="1">
      <alignment vertical="center" wrapText="1" shrinkToFit="1"/>
      <protection locked="0"/>
    </xf>
    <xf numFmtId="10" fontId="20" fillId="0" borderId="17" xfId="3" applyNumberFormat="1" applyFont="1" applyFill="1" applyBorder="1" applyAlignment="1" applyProtection="1">
      <alignment vertical="center" wrapText="1" shrinkToFit="1"/>
      <protection locked="0"/>
    </xf>
    <xf numFmtId="0" fontId="24" fillId="7" borderId="0" xfId="0" applyFont="1" applyFill="1" applyBorder="1" applyAlignment="1" applyProtection="1">
      <alignment horizontal="center" wrapText="1"/>
    </xf>
    <xf numFmtId="0" fontId="50" fillId="0" borderId="0" xfId="0" applyFont="1" applyFill="1" applyBorder="1" applyAlignment="1" applyProtection="1">
      <alignment horizontal="left" wrapText="1"/>
    </xf>
    <xf numFmtId="0" fontId="34" fillId="13" borderId="189" xfId="0" applyFont="1" applyFill="1" applyBorder="1" applyAlignment="1" applyProtection="1">
      <alignment horizontal="left" wrapText="1"/>
    </xf>
    <xf numFmtId="0" fontId="34" fillId="0" borderId="0" xfId="0" applyFont="1" applyFill="1" applyBorder="1" applyAlignment="1" applyProtection="1">
      <alignment horizontal="left" wrapText="1"/>
    </xf>
    <xf numFmtId="39" fontId="145" fillId="0" borderId="180" xfId="3" applyNumberFormat="1" applyFont="1" applyFill="1" applyBorder="1" applyAlignment="1" applyProtection="1">
      <alignment horizontal="right" vertical="center" shrinkToFit="1"/>
      <protection hidden="1"/>
    </xf>
    <xf numFmtId="4" fontId="34" fillId="47" borderId="0" xfId="0" applyNumberFormat="1" applyFont="1" applyFill="1" applyBorder="1" applyAlignment="1" applyProtection="1">
      <alignment vertical="center"/>
      <protection hidden="1"/>
    </xf>
    <xf numFmtId="0" fontId="34" fillId="47" borderId="0" xfId="0" applyFont="1" applyFill="1" applyBorder="1" applyAlignment="1" applyProtection="1">
      <alignment horizontal="left" vertical="center" wrapText="1"/>
    </xf>
    <xf numFmtId="9" fontId="142" fillId="47" borderId="0" xfId="1" applyFont="1" applyFill="1" applyBorder="1" applyAlignment="1" applyProtection="1">
      <alignment horizontal="center"/>
      <protection hidden="1"/>
    </xf>
    <xf numFmtId="0" fontId="49" fillId="0" borderId="0" xfId="0" applyFont="1" applyFill="1" applyBorder="1" applyAlignment="1" applyProtection="1">
      <alignment horizontal="center" wrapText="1"/>
    </xf>
    <xf numFmtId="0" fontId="34" fillId="0" borderId="0" xfId="0" applyFont="1" applyFill="1" applyBorder="1" applyAlignment="1" applyProtection="1">
      <alignment horizontal="center" vertical="center" wrapText="1"/>
      <protection hidden="1"/>
    </xf>
    <xf numFmtId="39" fontId="34" fillId="0" borderId="0" xfId="3" applyNumberFormat="1" applyFont="1" applyFill="1" applyBorder="1" applyAlignment="1" applyProtection="1">
      <alignment horizontal="right" vertical="center" shrinkToFit="1"/>
      <protection hidden="1"/>
    </xf>
    <xf numFmtId="0" fontId="39" fillId="15" borderId="186" xfId="0" applyFont="1" applyFill="1" applyBorder="1" applyAlignment="1" applyProtection="1">
      <protection hidden="1"/>
    </xf>
    <xf numFmtId="0" fontId="39" fillId="15" borderId="188" xfId="0" applyFont="1" applyFill="1" applyBorder="1" applyAlignment="1" applyProtection="1">
      <protection hidden="1"/>
    </xf>
    <xf numFmtId="0" fontId="39" fillId="15" borderId="187" xfId="0" applyFont="1" applyFill="1" applyBorder="1" applyAlignment="1" applyProtection="1">
      <protection hidden="1"/>
    </xf>
    <xf numFmtId="0" fontId="95" fillId="0" borderId="56" xfId="2" applyFont="1" applyFill="1" applyBorder="1" applyAlignment="1"/>
    <xf numFmtId="2" fontId="73" fillId="2" borderId="0" xfId="2" applyNumberFormat="1" applyFont="1" applyFill="1" applyBorder="1" applyAlignment="1">
      <alignment horizontal="right"/>
    </xf>
    <xf numFmtId="0" fontId="175" fillId="0" borderId="0" xfId="2" applyFont="1" applyFill="1" applyAlignment="1">
      <alignment horizontal="center"/>
    </xf>
    <xf numFmtId="0" fontId="95" fillId="13" borderId="55" xfId="2" applyFont="1" applyFill="1" applyBorder="1" applyAlignment="1">
      <alignment horizontal="center" vertical="center" wrapText="1"/>
    </xf>
    <xf numFmtId="0" fontId="95" fillId="13" borderId="55" xfId="2" applyFont="1" applyFill="1" applyBorder="1" applyAlignment="1">
      <alignment horizontal="center" wrapText="1"/>
    </xf>
    <xf numFmtId="0" fontId="102" fillId="2" borderId="0" xfId="2" applyFont="1" applyFill="1" applyBorder="1" applyAlignment="1" applyProtection="1">
      <alignment wrapText="1"/>
      <protection hidden="1"/>
    </xf>
    <xf numFmtId="0" fontId="102" fillId="2" borderId="101" xfId="2" applyFont="1" applyFill="1" applyBorder="1" applyAlignment="1" applyProtection="1">
      <alignment wrapText="1"/>
      <protection hidden="1"/>
    </xf>
    <xf numFmtId="0" fontId="174" fillId="2" borderId="0" xfId="2" applyFont="1" applyFill="1" applyBorder="1" applyAlignment="1" applyProtection="1">
      <alignment wrapText="1"/>
      <protection hidden="1"/>
    </xf>
    <xf numFmtId="0" fontId="95" fillId="13" borderId="55" xfId="2" applyFont="1" applyFill="1" applyBorder="1" applyAlignment="1">
      <alignment horizontal="center" vertical="center"/>
    </xf>
    <xf numFmtId="9" fontId="19" fillId="0" borderId="5" xfId="3" applyNumberFormat="1" applyFont="1" applyFill="1" applyBorder="1" applyAlignment="1" applyProtection="1">
      <alignment horizontal="right" vertical="center" shrinkToFit="1"/>
      <protection locked="0"/>
    </xf>
    <xf numFmtId="0" fontId="145" fillId="0" borderId="133" xfId="0" applyFont="1" applyFill="1" applyBorder="1" applyAlignment="1" applyProtection="1">
      <alignment horizontal="center" vertical="center" wrapText="1"/>
      <protection hidden="1"/>
    </xf>
    <xf numFmtId="10" fontId="165" fillId="0" borderId="182" xfId="3" applyNumberFormat="1" applyFont="1" applyFill="1" applyBorder="1" applyAlignment="1" applyProtection="1">
      <alignment horizontal="center" vertical="center" wrapText="1" shrinkToFit="1"/>
      <protection locked="0"/>
    </xf>
    <xf numFmtId="0" fontId="24" fillId="0" borderId="0" xfId="0" applyFont="1" applyFill="1" applyBorder="1" applyAlignment="1" applyProtection="1">
      <alignment horizontal="center" wrapText="1"/>
    </xf>
    <xf numFmtId="0" fontId="78" fillId="0" borderId="0" xfId="0" applyFont="1" applyFill="1" applyBorder="1" applyAlignment="1" applyProtection="1">
      <alignment horizontal="center"/>
      <protection locked="0"/>
    </xf>
    <xf numFmtId="0" fontId="78" fillId="0" borderId="0" xfId="0" applyFont="1" applyProtection="1">
      <protection hidden="1"/>
    </xf>
    <xf numFmtId="4" fontId="34" fillId="0" borderId="0" xfId="0" applyNumberFormat="1" applyFont="1" applyBorder="1" applyProtection="1">
      <protection locked="0"/>
    </xf>
    <xf numFmtId="0" fontId="10" fillId="0" borderId="190" xfId="2" applyFont="1" applyFill="1" applyBorder="1" applyAlignment="1" applyProtection="1">
      <alignment horizontal="left" vertical="center" wrapText="1"/>
      <protection hidden="1"/>
    </xf>
    <xf numFmtId="0" fontId="102" fillId="0" borderId="0" xfId="2" applyFont="1" applyFill="1" applyBorder="1" applyAlignment="1" applyProtection="1">
      <alignment vertical="center"/>
      <protection locked="0"/>
    </xf>
    <xf numFmtId="0" fontId="128" fillId="0" borderId="119" xfId="2" applyFont="1" applyBorder="1" applyAlignment="1" applyProtection="1">
      <alignment horizontal="left" vertical="center"/>
      <protection locked="0"/>
    </xf>
    <xf numFmtId="0" fontId="131" fillId="0" borderId="0" xfId="2" applyFont="1" applyFill="1" applyBorder="1" applyAlignment="1" applyProtection="1">
      <alignment vertical="center"/>
      <protection locked="0"/>
    </xf>
    <xf numFmtId="0" fontId="102" fillId="0" borderId="113" xfId="2" applyFont="1" applyBorder="1" applyAlignment="1" applyProtection="1">
      <alignment vertical="center"/>
      <protection locked="0"/>
    </xf>
    <xf numFmtId="0" fontId="128" fillId="0" borderId="0" xfId="2" applyFont="1" applyFill="1" applyBorder="1" applyAlignment="1" applyProtection="1">
      <alignment horizontal="center" vertical="center" wrapText="1"/>
      <protection locked="0"/>
    </xf>
    <xf numFmtId="0" fontId="128" fillId="0" borderId="113" xfId="2" applyFont="1" applyBorder="1" applyAlignment="1" applyProtection="1">
      <alignment horizontal="left" vertical="center"/>
      <protection locked="0"/>
    </xf>
    <xf numFmtId="0" fontId="102" fillId="0" borderId="114" xfId="2" applyFont="1" applyBorder="1" applyAlignment="1" applyProtection="1">
      <alignment vertical="center" wrapText="1"/>
      <protection locked="0"/>
    </xf>
    <xf numFmtId="0" fontId="129" fillId="0" borderId="114" xfId="2" applyFont="1" applyBorder="1" applyAlignment="1" applyProtection="1">
      <alignment vertical="center" wrapText="1"/>
      <protection locked="0"/>
    </xf>
    <xf numFmtId="0" fontId="129" fillId="0" borderId="114" xfId="2" applyFont="1" applyBorder="1" applyAlignment="1" applyProtection="1">
      <alignment horizontal="left" vertical="center" wrapText="1"/>
      <protection locked="0"/>
    </xf>
    <xf numFmtId="0" fontId="129" fillId="0" borderId="118" xfId="2" applyFont="1" applyBorder="1" applyAlignment="1" applyProtection="1">
      <alignment horizontal="left" vertical="center"/>
      <protection locked="0"/>
    </xf>
    <xf numFmtId="0" fontId="129" fillId="0" borderId="114" xfId="2" applyFont="1" applyBorder="1" applyAlignment="1" applyProtection="1">
      <alignment vertical="center"/>
      <protection locked="0"/>
    </xf>
    <xf numFmtId="0" fontId="128" fillId="25" borderId="112" xfId="2" applyFont="1" applyFill="1" applyBorder="1" applyAlignment="1" applyProtection="1">
      <alignment horizontal="center" vertical="center" wrapText="1"/>
      <protection locked="0"/>
    </xf>
    <xf numFmtId="0" fontId="18" fillId="13" borderId="16" xfId="0" applyFont="1" applyFill="1" applyBorder="1" applyAlignment="1" applyProtection="1">
      <alignment horizontal="center" vertical="center" wrapText="1"/>
      <protection hidden="1"/>
    </xf>
    <xf numFmtId="49" fontId="19" fillId="2" borderId="192" xfId="0" applyNumberFormat="1" applyFont="1" applyFill="1" applyBorder="1" applyAlignment="1" applyProtection="1">
      <alignment wrapText="1"/>
      <protection hidden="1"/>
    </xf>
    <xf numFmtId="49" fontId="19" fillId="2" borderId="23" xfId="0" applyNumberFormat="1" applyFont="1" applyFill="1" applyBorder="1" applyAlignment="1" applyProtection="1">
      <alignment horizontal="center" vertical="center" wrapText="1"/>
      <protection hidden="1"/>
    </xf>
    <xf numFmtId="0" fontId="13" fillId="0" borderId="102" xfId="0" applyFont="1" applyBorder="1" applyProtection="1">
      <protection locked="0"/>
    </xf>
    <xf numFmtId="0" fontId="0" fillId="0" borderId="0" xfId="0" applyProtection="1">
      <protection locked="0"/>
    </xf>
    <xf numFmtId="0" fontId="177" fillId="42" borderId="0" xfId="2" applyFont="1" applyFill="1" applyBorder="1" applyAlignment="1" applyProtection="1">
      <alignment horizontal="center" wrapText="1"/>
    </xf>
    <xf numFmtId="0" fontId="178" fillId="0" borderId="0" xfId="2" applyFont="1" applyBorder="1" applyAlignment="1" applyProtection="1">
      <alignment horizontal="center" vertical="center" wrapText="1"/>
    </xf>
    <xf numFmtId="0" fontId="128" fillId="0" borderId="0" xfId="2" applyFont="1" applyBorder="1" applyAlignment="1" applyProtection="1">
      <alignment horizontal="center" vertical="center" wrapText="1"/>
    </xf>
    <xf numFmtId="0" fontId="128" fillId="0" borderId="0" xfId="2" applyFont="1" applyBorder="1" applyAlignment="1" applyProtection="1">
      <alignment vertical="center" wrapText="1"/>
    </xf>
    <xf numFmtId="49" fontId="128" fillId="0" borderId="194" xfId="2" applyNumberFormat="1" applyFont="1" applyBorder="1" applyAlignment="1" applyProtection="1">
      <alignment vertical="center" wrapText="1"/>
      <protection hidden="1"/>
    </xf>
    <xf numFmtId="0" fontId="128" fillId="0" borderId="0" xfId="2" applyFont="1" applyBorder="1" applyAlignment="1" applyProtection="1">
      <alignment vertical="center" wrapText="1"/>
      <protection hidden="1"/>
    </xf>
    <xf numFmtId="0" fontId="128" fillId="0" borderId="199" xfId="2" applyFont="1" applyBorder="1" applyAlignment="1" applyProtection="1">
      <alignment horizontal="left" vertical="center"/>
      <protection locked="0"/>
    </xf>
    <xf numFmtId="0" fontId="130" fillId="0" borderId="200" xfId="2" applyFont="1" applyFill="1" applyBorder="1" applyAlignment="1" applyProtection="1">
      <alignment horizontal="center" vertical="center" wrapText="1"/>
      <protection locked="0"/>
    </xf>
    <xf numFmtId="0" fontId="128" fillId="0" borderId="201" xfId="2" applyFont="1" applyBorder="1" applyAlignment="1" applyProtection="1">
      <alignment horizontal="left" vertical="center"/>
      <protection locked="0"/>
    </xf>
    <xf numFmtId="0" fontId="134" fillId="0" borderId="199" xfId="2" applyFont="1" applyFill="1" applyBorder="1" applyAlignment="1" applyProtection="1">
      <alignment horizontal="left" vertical="center" wrapText="1"/>
      <protection locked="0"/>
    </xf>
    <xf numFmtId="0" fontId="102" fillId="0" borderId="114" xfId="2" applyFont="1" applyBorder="1" applyAlignment="1" applyProtection="1">
      <alignment vertical="center"/>
      <protection locked="0"/>
    </xf>
    <xf numFmtId="0" fontId="128" fillId="0" borderId="202" xfId="2" applyFont="1" applyFill="1" applyBorder="1" applyAlignment="1" applyProtection="1">
      <alignment horizontal="center" vertical="center" wrapText="1"/>
    </xf>
    <xf numFmtId="0" fontId="131" fillId="0" borderId="202" xfId="2" applyFont="1" applyBorder="1" applyAlignment="1">
      <alignment vertical="center"/>
    </xf>
    <xf numFmtId="0" fontId="128" fillId="0" borderId="202" xfId="2" applyFont="1" applyBorder="1" applyAlignment="1">
      <alignment horizontal="left" vertical="center"/>
    </xf>
    <xf numFmtId="0" fontId="127" fillId="0" borderId="191" xfId="2" applyFont="1" applyBorder="1" applyAlignment="1" applyProtection="1">
      <alignment vertical="center"/>
    </xf>
    <xf numFmtId="0" fontId="130" fillId="0" borderId="191" xfId="2" applyFont="1" applyFill="1" applyBorder="1" applyAlignment="1" applyProtection="1">
      <alignment horizontal="center" vertical="center" wrapText="1"/>
      <protection locked="0"/>
    </xf>
    <xf numFmtId="0" fontId="4" fillId="0" borderId="0" xfId="0" applyFont="1"/>
    <xf numFmtId="0" fontId="4" fillId="0" borderId="0" xfId="2" applyBorder="1" applyProtection="1">
      <protection hidden="1"/>
    </xf>
    <xf numFmtId="0" fontId="52" fillId="0" borderId="200" xfId="0" applyFont="1" applyFill="1" applyBorder="1" applyProtection="1">
      <protection hidden="1"/>
    </xf>
    <xf numFmtId="0" fontId="27" fillId="0" borderId="190" xfId="0" applyFont="1" applyFill="1" applyBorder="1" applyProtection="1">
      <protection hidden="1"/>
    </xf>
    <xf numFmtId="0" fontId="52" fillId="0" borderId="190" xfId="0" applyFont="1" applyFill="1" applyBorder="1" applyProtection="1">
      <protection hidden="1"/>
    </xf>
    <xf numFmtId="0" fontId="27" fillId="10" borderId="190" xfId="0" applyFont="1" applyFill="1" applyBorder="1" applyProtection="1">
      <protection hidden="1"/>
    </xf>
    <xf numFmtId="0" fontId="52" fillId="28" borderId="156" xfId="0" applyFont="1" applyFill="1" applyBorder="1" applyProtection="1">
      <protection hidden="1"/>
    </xf>
    <xf numFmtId="0" fontId="27" fillId="28" borderId="156" xfId="0" applyFont="1" applyFill="1" applyBorder="1" applyProtection="1">
      <protection hidden="1"/>
    </xf>
    <xf numFmtId="0" fontId="27" fillId="28" borderId="190" xfId="0" applyFont="1" applyFill="1" applyBorder="1" applyProtection="1">
      <protection hidden="1"/>
    </xf>
    <xf numFmtId="2" fontId="27" fillId="31" borderId="156" xfId="0" applyNumberFormat="1" applyFont="1" applyFill="1" applyBorder="1" applyProtection="1">
      <protection hidden="1"/>
    </xf>
    <xf numFmtId="0" fontId="27" fillId="31" borderId="156" xfId="0" applyFont="1" applyFill="1" applyBorder="1" applyProtection="1">
      <protection hidden="1"/>
    </xf>
    <xf numFmtId="0" fontId="71" fillId="35" borderId="6" xfId="0" applyFont="1" applyFill="1" applyBorder="1" applyAlignment="1" applyProtection="1">
      <alignment horizontal="center" vertical="top" textRotation="90" wrapText="1"/>
      <protection hidden="1"/>
    </xf>
    <xf numFmtId="0" fontId="27" fillId="34" borderId="156" xfId="0" applyNumberFormat="1" applyFont="1" applyFill="1" applyBorder="1" applyProtection="1">
      <protection hidden="1"/>
    </xf>
    <xf numFmtId="2" fontId="27" fillId="34" borderId="156" xfId="0" applyNumberFormat="1" applyFont="1" applyFill="1" applyBorder="1" applyProtection="1">
      <protection hidden="1"/>
    </xf>
    <xf numFmtId="0" fontId="27" fillId="34" borderId="156" xfId="0" applyFont="1" applyFill="1" applyBorder="1" applyProtection="1">
      <protection hidden="1"/>
    </xf>
    <xf numFmtId="0" fontId="72" fillId="3" borderId="6" xfId="0" applyFont="1" applyFill="1" applyBorder="1" applyAlignment="1" applyProtection="1">
      <alignment horizontal="center" vertical="center" textRotation="90" wrapText="1"/>
      <protection hidden="1"/>
    </xf>
    <xf numFmtId="0" fontId="13" fillId="29" borderId="25" xfId="0" applyFont="1" applyFill="1" applyBorder="1" applyProtection="1">
      <protection hidden="1"/>
    </xf>
    <xf numFmtId="2" fontId="39" fillId="29" borderId="25" xfId="0" applyNumberFormat="1" applyFont="1" applyFill="1" applyBorder="1" applyProtection="1">
      <protection hidden="1"/>
    </xf>
    <xf numFmtId="0" fontId="13" fillId="0" borderId="0" xfId="0" applyFont="1" applyFill="1" applyProtection="1">
      <protection hidden="1"/>
    </xf>
    <xf numFmtId="10" fontId="19" fillId="0" borderId="204" xfId="3" applyNumberFormat="1" applyFont="1" applyFill="1" applyBorder="1" applyAlignment="1" applyProtection="1">
      <alignment horizontal="center" vertical="center" shrinkToFit="1"/>
      <protection locked="0"/>
    </xf>
    <xf numFmtId="10" fontId="19" fillId="34" borderId="206" xfId="1" applyNumberFormat="1" applyFont="1" applyFill="1" applyBorder="1" applyAlignment="1" applyProtection="1">
      <alignment vertical="center" shrinkToFit="1"/>
      <protection hidden="1"/>
    </xf>
    <xf numFmtId="4" fontId="19" fillId="0" borderId="204" xfId="3" applyNumberFormat="1" applyFont="1" applyFill="1" applyBorder="1" applyAlignment="1" applyProtection="1">
      <alignment vertical="center" shrinkToFit="1"/>
      <protection locked="0"/>
    </xf>
    <xf numFmtId="0" fontId="53" fillId="21" borderId="25" xfId="0" applyFont="1" applyFill="1" applyBorder="1" applyProtection="1">
      <protection hidden="1"/>
    </xf>
    <xf numFmtId="4" fontId="53" fillId="21" borderId="25" xfId="0" applyNumberFormat="1" applyFont="1" applyFill="1" applyBorder="1" applyProtection="1">
      <protection hidden="1"/>
    </xf>
    <xf numFmtId="0" fontId="53" fillId="21" borderId="102" xfId="0" applyFont="1" applyFill="1" applyBorder="1" applyProtection="1">
      <protection hidden="1"/>
    </xf>
    <xf numFmtId="4" fontId="53" fillId="21" borderId="102" xfId="0" applyNumberFormat="1" applyFont="1" applyFill="1" applyBorder="1" applyProtection="1">
      <protection hidden="1"/>
    </xf>
    <xf numFmtId="2" fontId="53" fillId="21" borderId="25" xfId="0" applyNumberFormat="1" applyFont="1" applyFill="1" applyBorder="1" applyProtection="1">
      <protection hidden="1"/>
    </xf>
    <xf numFmtId="4" fontId="108" fillId="21" borderId="25" xfId="0" applyNumberFormat="1" applyFont="1" applyFill="1" applyBorder="1" applyProtection="1">
      <protection hidden="1"/>
    </xf>
    <xf numFmtId="0" fontId="108" fillId="21" borderId="25" xfId="0" applyFont="1" applyFill="1" applyBorder="1" applyProtection="1">
      <protection hidden="1"/>
    </xf>
    <xf numFmtId="2" fontId="53" fillId="21" borderId="102" xfId="0" applyNumberFormat="1" applyFont="1" applyFill="1" applyBorder="1" applyProtection="1">
      <protection hidden="1"/>
    </xf>
    <xf numFmtId="4" fontId="108" fillId="21" borderId="25" xfId="0" applyNumberFormat="1" applyFont="1" applyFill="1" applyBorder="1" applyAlignment="1" applyProtection="1">
      <alignment horizontal="center" wrapText="1"/>
      <protection hidden="1"/>
    </xf>
    <xf numFmtId="0" fontId="108" fillId="21" borderId="25" xfId="0" applyFont="1" applyFill="1" applyBorder="1" applyAlignment="1" applyProtection="1">
      <alignment horizontal="center" wrapText="1"/>
      <protection hidden="1"/>
    </xf>
    <xf numFmtId="4" fontId="54" fillId="21" borderId="25" xfId="0" applyNumberFormat="1" applyFont="1" applyFill="1" applyBorder="1" applyProtection="1">
      <protection hidden="1"/>
    </xf>
    <xf numFmtId="4" fontId="54" fillId="21" borderId="102" xfId="0" applyNumberFormat="1" applyFont="1" applyFill="1" applyBorder="1" applyProtection="1">
      <protection hidden="1"/>
    </xf>
    <xf numFmtId="4" fontId="108" fillId="21" borderId="102" xfId="0" applyNumberFormat="1" applyFont="1" applyFill="1" applyBorder="1" applyAlignment="1" applyProtection="1">
      <alignment horizontal="center" wrapText="1"/>
      <protection hidden="1"/>
    </xf>
    <xf numFmtId="0" fontId="108" fillId="21" borderId="102" xfId="0" applyFont="1" applyFill="1" applyBorder="1" applyAlignment="1" applyProtection="1">
      <alignment horizontal="center" wrapText="1"/>
      <protection hidden="1"/>
    </xf>
    <xf numFmtId="4" fontId="53" fillId="21" borderId="0" xfId="0" applyNumberFormat="1" applyFont="1" applyFill="1" applyProtection="1">
      <protection hidden="1"/>
    </xf>
    <xf numFmtId="2" fontId="53" fillId="21" borderId="0" xfId="0" applyNumberFormat="1" applyFont="1" applyFill="1" applyProtection="1">
      <protection hidden="1"/>
    </xf>
    <xf numFmtId="0" fontId="53" fillId="21" borderId="0" xfId="0" applyFont="1" applyFill="1" applyProtection="1">
      <protection hidden="1"/>
    </xf>
    <xf numFmtId="4" fontId="53" fillId="21" borderId="190" xfId="0" applyNumberFormat="1" applyFont="1" applyFill="1" applyBorder="1" applyProtection="1">
      <protection hidden="1"/>
    </xf>
    <xf numFmtId="2" fontId="53" fillId="21" borderId="190" xfId="0" applyNumberFormat="1" applyFont="1" applyFill="1" applyBorder="1" applyProtection="1">
      <protection hidden="1"/>
    </xf>
    <xf numFmtId="0" fontId="53" fillId="21" borderId="190" xfId="0" applyFont="1" applyFill="1" applyBorder="1" applyProtection="1">
      <protection hidden="1"/>
    </xf>
    <xf numFmtId="0" fontId="38" fillId="38" borderId="25" xfId="0" applyFont="1" applyFill="1" applyBorder="1" applyProtection="1">
      <protection hidden="1"/>
    </xf>
    <xf numFmtId="0" fontId="38" fillId="38" borderId="102" xfId="0" applyFont="1" applyFill="1" applyBorder="1" applyProtection="1">
      <protection hidden="1"/>
    </xf>
    <xf numFmtId="0" fontId="38" fillId="38" borderId="190" xfId="0" applyFont="1" applyFill="1" applyBorder="1" applyProtection="1">
      <protection hidden="1"/>
    </xf>
    <xf numFmtId="0" fontId="32" fillId="52" borderId="31" xfId="0" applyFont="1" applyFill="1" applyBorder="1" applyAlignment="1" applyProtection="1">
      <alignment vertical="center"/>
      <protection hidden="1"/>
    </xf>
    <xf numFmtId="0" fontId="180" fillId="52" borderId="103" xfId="0" applyFont="1" applyFill="1" applyBorder="1" applyAlignment="1" applyProtection="1">
      <alignment vertical="center"/>
      <protection hidden="1"/>
    </xf>
    <xf numFmtId="0" fontId="180" fillId="52" borderId="31" xfId="0" applyFont="1" applyFill="1" applyBorder="1" applyAlignment="1" applyProtection="1">
      <alignment vertical="center" wrapText="1"/>
      <protection hidden="1"/>
    </xf>
    <xf numFmtId="0" fontId="180" fillId="52" borderId="31" xfId="0" applyFont="1" applyFill="1" applyBorder="1" applyAlignment="1" applyProtection="1">
      <alignment vertical="center"/>
      <protection hidden="1"/>
    </xf>
    <xf numFmtId="0" fontId="7" fillId="52" borderId="25" xfId="0" applyFont="1" applyFill="1" applyBorder="1" applyAlignment="1" applyProtection="1">
      <alignment vertical="center" wrapText="1"/>
      <protection hidden="1"/>
    </xf>
    <xf numFmtId="0" fontId="61" fillId="8" borderId="25" xfId="0" applyFont="1" applyFill="1" applyBorder="1" applyAlignment="1" applyProtection="1">
      <alignment horizontal="center" vertical="center" wrapText="1"/>
      <protection hidden="1"/>
    </xf>
    <xf numFmtId="4" fontId="35" fillId="2" borderId="25" xfId="0" applyNumberFormat="1" applyFont="1" applyFill="1" applyBorder="1" applyAlignment="1" applyProtection="1">
      <protection hidden="1"/>
    </xf>
    <xf numFmtId="4" fontId="4" fillId="44" borderId="25" xfId="0" applyNumberFormat="1" applyFont="1" applyFill="1" applyBorder="1" applyProtection="1">
      <protection hidden="1"/>
    </xf>
    <xf numFmtId="10" fontId="13" fillId="0" borderId="0" xfId="0" applyNumberFormat="1" applyFont="1" applyProtection="1">
      <protection hidden="1"/>
    </xf>
    <xf numFmtId="2" fontId="4" fillId="7" borderId="6" xfId="0" applyNumberFormat="1" applyFont="1" applyFill="1" applyBorder="1" applyProtection="1">
      <protection hidden="1"/>
    </xf>
    <xf numFmtId="4" fontId="4" fillId="0" borderId="0" xfId="0" applyNumberFormat="1" applyFont="1" applyFill="1" applyBorder="1" applyProtection="1">
      <protection hidden="1"/>
    </xf>
    <xf numFmtId="0" fontId="4" fillId="2" borderId="0" xfId="0" applyFont="1" applyFill="1" applyAlignment="1">
      <alignment horizontal="left" vertical="top" wrapText="1"/>
    </xf>
    <xf numFmtId="0" fontId="4" fillId="2" borderId="0" xfId="0" applyFont="1" applyFill="1" applyAlignment="1">
      <alignment horizontal="center" vertical="top" wrapText="1"/>
    </xf>
    <xf numFmtId="0" fontId="35" fillId="2" borderId="0" xfId="0" applyFont="1" applyFill="1" applyAlignment="1">
      <alignment vertical="top"/>
    </xf>
    <xf numFmtId="0" fontId="4" fillId="2" borderId="0" xfId="0" applyFont="1" applyFill="1" applyAlignment="1">
      <alignment horizontal="justify" vertical="justify" wrapText="1"/>
    </xf>
    <xf numFmtId="0" fontId="13" fillId="7" borderId="0" xfId="0" applyFont="1" applyFill="1" applyAlignment="1">
      <alignment horizontal="left" vertical="justify"/>
    </xf>
    <xf numFmtId="9" fontId="13" fillId="0" borderId="0" xfId="1" applyFont="1" applyProtection="1">
      <protection hidden="1"/>
    </xf>
    <xf numFmtId="0" fontId="33" fillId="51" borderId="102" xfId="0" applyFont="1" applyFill="1" applyBorder="1" applyAlignment="1"/>
    <xf numFmtId="0" fontId="33" fillId="51" borderId="102" xfId="0" applyFont="1" applyFill="1" applyBorder="1" applyAlignment="1">
      <alignment horizontal="center"/>
    </xf>
    <xf numFmtId="0" fontId="33" fillId="51" borderId="102" xfId="0" applyFont="1" applyFill="1" applyBorder="1"/>
    <xf numFmtId="0" fontId="0" fillId="0" borderId="102" xfId="0" applyBorder="1"/>
    <xf numFmtId="0" fontId="13" fillId="0" borderId="102" xfId="0" applyFont="1" applyBorder="1" applyAlignment="1">
      <alignment horizontal="left" vertical="center"/>
    </xf>
    <xf numFmtId="0" fontId="0" fillId="0" borderId="102" xfId="0" applyFill="1" applyBorder="1"/>
    <xf numFmtId="9" fontId="15" fillId="0" borderId="44" xfId="1" applyFont="1" applyFill="1" applyBorder="1" applyAlignment="1" applyProtection="1">
      <alignment vertical="center" shrinkToFit="1"/>
    </xf>
    <xf numFmtId="0" fontId="34" fillId="13" borderId="0" xfId="0" applyFont="1" applyFill="1" applyAlignment="1" applyProtection="1">
      <alignment horizontal="center" vertical="center" wrapText="1"/>
    </xf>
    <xf numFmtId="10" fontId="15" fillId="7" borderId="36" xfId="1" applyNumberFormat="1" applyFont="1" applyFill="1" applyBorder="1" applyAlignment="1" applyProtection="1">
      <alignment horizontal="right" vertical="center" shrinkToFit="1"/>
      <protection locked="0"/>
    </xf>
    <xf numFmtId="0" fontId="182" fillId="0" borderId="0" xfId="0" applyFont="1" applyFill="1" applyBorder="1" applyAlignment="1" applyProtection="1">
      <alignment horizontal="left"/>
    </xf>
    <xf numFmtId="0" fontId="182" fillId="0" borderId="0" xfId="0" applyFont="1" applyFill="1" applyBorder="1" applyAlignment="1" applyProtection="1"/>
    <xf numFmtId="0" fontId="33" fillId="8" borderId="0" xfId="0" applyFont="1" applyFill="1" applyProtection="1">
      <protection hidden="1"/>
    </xf>
    <xf numFmtId="10" fontId="0" fillId="0" borderId="0" xfId="0" applyNumberFormat="1" applyBorder="1" applyAlignment="1">
      <alignment horizontal="center" vertical="center"/>
    </xf>
    <xf numFmtId="0" fontId="105" fillId="0" borderId="110" xfId="0" applyFont="1" applyBorder="1" applyAlignment="1">
      <alignment vertical="center"/>
    </xf>
    <xf numFmtId="0" fontId="105" fillId="0" borderId="212" xfId="0" applyFont="1" applyBorder="1" applyAlignment="1">
      <alignment horizontal="center" vertical="center"/>
    </xf>
    <xf numFmtId="0" fontId="105" fillId="0" borderId="212" xfId="0" applyFont="1" applyBorder="1" applyAlignment="1">
      <alignment horizontal="center" vertical="center" wrapText="1"/>
    </xf>
    <xf numFmtId="0" fontId="105" fillId="0" borderId="111" xfId="0" applyFont="1" applyFill="1" applyBorder="1" applyAlignment="1">
      <alignment horizontal="center" vertical="center" wrapText="1"/>
    </xf>
    <xf numFmtId="9" fontId="105" fillId="0" borderId="112" xfId="0" applyNumberFormat="1" applyFont="1" applyBorder="1" applyAlignment="1">
      <alignment horizontal="center" vertical="center" wrapText="1"/>
    </xf>
    <xf numFmtId="0" fontId="185" fillId="0" borderId="112" xfId="0" applyFont="1" applyFill="1" applyBorder="1" applyAlignment="1">
      <alignment horizontal="center" vertical="center" wrapText="1"/>
    </xf>
    <xf numFmtId="0" fontId="105" fillId="0" borderId="112" xfId="0" applyFont="1" applyBorder="1" applyAlignment="1">
      <alignment horizontal="center"/>
    </xf>
    <xf numFmtId="0" fontId="105" fillId="0" borderId="217" xfId="0" applyFont="1" applyBorder="1" applyAlignment="1">
      <alignment horizontal="center"/>
    </xf>
    <xf numFmtId="0" fontId="105" fillId="0" borderId="212" xfId="0" applyFont="1" applyBorder="1" applyAlignment="1">
      <alignment horizontal="center"/>
    </xf>
    <xf numFmtId="0" fontId="105" fillId="0" borderId="111" xfId="0" applyFont="1" applyFill="1" applyBorder="1" applyAlignment="1">
      <alignment horizontal="center" wrapText="1"/>
    </xf>
    <xf numFmtId="0" fontId="185" fillId="0" borderId="215" xfId="0" applyFont="1" applyFill="1" applyBorder="1" applyAlignment="1">
      <alignment horizontal="center" vertical="center" wrapText="1"/>
    </xf>
    <xf numFmtId="10" fontId="0" fillId="0" borderId="0" xfId="0" applyNumberFormat="1" applyFont="1" applyBorder="1" applyAlignment="1">
      <alignment horizontal="center" vertical="center"/>
    </xf>
    <xf numFmtId="0" fontId="105" fillId="0" borderId="217" xfId="0" applyFont="1" applyBorder="1" applyAlignment="1">
      <alignment horizontal="center" vertical="center" wrapText="1"/>
    </xf>
    <xf numFmtId="10" fontId="0" fillId="0" borderId="118" xfId="0" applyNumberFormat="1" applyBorder="1" applyAlignment="1">
      <alignment horizontal="center" vertical="center"/>
    </xf>
    <xf numFmtId="10" fontId="0" fillId="0" borderId="118" xfId="0" applyNumberFormat="1" applyBorder="1" applyAlignment="1">
      <alignment horizontal="left" vertical="center"/>
    </xf>
    <xf numFmtId="10" fontId="0" fillId="0" borderId="199" xfId="0" applyNumberFormat="1" applyFont="1" applyBorder="1" applyAlignment="1">
      <alignment horizontal="center" vertical="center"/>
    </xf>
    <xf numFmtId="10" fontId="0" fillId="0" borderId="199" xfId="0" applyNumberFormat="1" applyFont="1" applyBorder="1" applyAlignment="1">
      <alignment horizontal="left" vertical="center"/>
    </xf>
    <xf numFmtId="0" fontId="0" fillId="0" borderId="0" xfId="0" applyBorder="1" applyAlignment="1">
      <alignment horizontal="center"/>
    </xf>
    <xf numFmtId="9" fontId="0" fillId="0" borderId="0" xfId="0" applyNumberFormat="1" applyBorder="1" applyAlignment="1">
      <alignment horizontal="center"/>
    </xf>
    <xf numFmtId="10" fontId="0" fillId="0" borderId="0" xfId="0" applyNumberFormat="1" applyBorder="1" applyAlignment="1">
      <alignment horizontal="center"/>
    </xf>
    <xf numFmtId="0" fontId="0" fillId="0" borderId="224" xfId="0" applyFill="1" applyBorder="1" applyAlignment="1">
      <alignment horizontal="center" vertical="center"/>
    </xf>
    <xf numFmtId="0" fontId="105" fillId="0" borderId="110" xfId="0" applyFont="1" applyBorder="1" applyAlignment="1">
      <alignment horizontal="center" vertical="center"/>
    </xf>
    <xf numFmtId="0" fontId="105" fillId="0" borderId="225" xfId="0" applyFont="1" applyBorder="1" applyAlignment="1">
      <alignment horizontal="center" vertical="center"/>
    </xf>
    <xf numFmtId="0" fontId="105" fillId="0" borderId="217" xfId="0" applyFont="1" applyBorder="1" applyAlignment="1">
      <alignment horizontal="center" wrapText="1"/>
    </xf>
    <xf numFmtId="0" fontId="0" fillId="0" borderId="0" xfId="0" applyAlignment="1">
      <alignment horizontal="center"/>
    </xf>
    <xf numFmtId="0" fontId="0" fillId="7" borderId="130" xfId="0" applyFill="1" applyBorder="1" applyAlignment="1">
      <alignment horizontal="left" vertical="center"/>
    </xf>
    <xf numFmtId="9" fontId="108" fillId="0" borderId="210" xfId="0" applyNumberFormat="1" applyFont="1" applyBorder="1" applyAlignment="1">
      <alignment horizontal="center" vertical="center"/>
    </xf>
    <xf numFmtId="0" fontId="0" fillId="0" borderId="0" xfId="0" applyBorder="1" applyAlignment="1">
      <alignment horizontal="center" vertical="center"/>
    </xf>
    <xf numFmtId="9" fontId="0" fillId="0" borderId="0" xfId="0" applyNumberFormat="1" applyBorder="1" applyAlignment="1">
      <alignment horizontal="center" vertical="center"/>
    </xf>
    <xf numFmtId="0" fontId="0" fillId="0" borderId="0" xfId="0" applyFill="1" applyBorder="1" applyAlignment="1">
      <alignment horizontal="center" vertical="center"/>
    </xf>
    <xf numFmtId="9" fontId="108" fillId="0" borderId="210" xfId="0" applyNumberFormat="1" applyFont="1" applyFill="1" applyBorder="1" applyAlignment="1">
      <alignment horizontal="center" vertical="center"/>
    </xf>
    <xf numFmtId="0" fontId="0" fillId="7" borderId="0" xfId="0" applyFill="1" applyBorder="1" applyAlignment="1">
      <alignment horizontal="center" vertical="center" wrapText="1"/>
    </xf>
    <xf numFmtId="10" fontId="108" fillId="0" borderId="0" xfId="0" applyNumberFormat="1" applyFont="1" applyFill="1" applyBorder="1" applyAlignment="1">
      <alignment horizontal="center" vertical="center"/>
    </xf>
    <xf numFmtId="0" fontId="0" fillId="0" borderId="0" xfId="0" applyAlignment="1">
      <alignment wrapText="1"/>
    </xf>
    <xf numFmtId="10" fontId="0" fillId="0" borderId="191" xfId="0" applyNumberFormat="1" applyFont="1" applyBorder="1" applyAlignment="1">
      <alignment horizontal="center" vertical="center"/>
    </xf>
    <xf numFmtId="0" fontId="0" fillId="0" borderId="191" xfId="0" applyFont="1" applyBorder="1" applyAlignment="1">
      <alignment horizontal="center"/>
    </xf>
    <xf numFmtId="0" fontId="0" fillId="0" borderId="191" xfId="0" applyBorder="1" applyAlignment="1">
      <alignment horizontal="center"/>
    </xf>
    <xf numFmtId="0" fontId="0" fillId="0" borderId="191" xfId="0" applyFill="1" applyBorder="1" applyAlignment="1">
      <alignment horizontal="center"/>
    </xf>
    <xf numFmtId="10" fontId="0" fillId="7" borderId="191" xfId="1" applyNumberFormat="1" applyFont="1" applyFill="1" applyBorder="1" applyAlignment="1">
      <alignment horizontal="center"/>
    </xf>
    <xf numFmtId="10" fontId="0" fillId="0" borderId="191" xfId="0" applyNumberFormat="1" applyBorder="1" applyAlignment="1">
      <alignment horizontal="center"/>
    </xf>
    <xf numFmtId="0" fontId="0" fillId="7" borderId="230" xfId="0" applyFill="1" applyBorder="1" applyAlignment="1">
      <alignment vertical="center"/>
    </xf>
    <xf numFmtId="10" fontId="108" fillId="0" borderId="191" xfId="0" applyNumberFormat="1" applyFont="1" applyFill="1" applyBorder="1" applyAlignment="1">
      <alignment horizontal="center"/>
    </xf>
    <xf numFmtId="9" fontId="108" fillId="0" borderId="191" xfId="0" applyNumberFormat="1" applyFont="1" applyFill="1" applyBorder="1" applyAlignment="1">
      <alignment horizontal="center" vertical="center"/>
    </xf>
    <xf numFmtId="9" fontId="108" fillId="0" borderId="191" xfId="0" applyNumberFormat="1" applyFont="1" applyFill="1" applyBorder="1" applyAlignment="1">
      <alignment horizontal="center"/>
    </xf>
    <xf numFmtId="0" fontId="0" fillId="0" borderId="191" xfId="0" applyBorder="1"/>
    <xf numFmtId="0" fontId="105" fillId="0" borderId="212" xfId="0" applyFont="1" applyBorder="1" applyAlignment="1">
      <alignment horizontal="center" wrapText="1"/>
    </xf>
    <xf numFmtId="10" fontId="0" fillId="0" borderId="232" xfId="0" applyNumberFormat="1" applyBorder="1" applyAlignment="1">
      <alignment horizontal="center" vertical="center"/>
    </xf>
    <xf numFmtId="10" fontId="0" fillId="0" borderId="230" xfId="0" applyNumberFormat="1" applyFont="1" applyBorder="1" applyAlignment="1">
      <alignment horizontal="center" vertical="center"/>
    </xf>
    <xf numFmtId="167" fontId="0" fillId="0" borderId="191" xfId="0" applyNumberFormat="1" applyFont="1" applyBorder="1" applyAlignment="1">
      <alignment horizontal="center" vertical="center"/>
    </xf>
    <xf numFmtId="167" fontId="0" fillId="0" borderId="191" xfId="0" applyNumberFormat="1" applyBorder="1" applyAlignment="1">
      <alignment horizontal="center" vertical="center"/>
    </xf>
    <xf numFmtId="167" fontId="0" fillId="0" borderId="210" xfId="0" applyNumberFormat="1" applyBorder="1" applyAlignment="1">
      <alignment horizontal="center" vertical="center"/>
    </xf>
    <xf numFmtId="0" fontId="0" fillId="7" borderId="232" xfId="0" applyFill="1" applyBorder="1" applyAlignment="1">
      <alignment vertical="center"/>
    </xf>
    <xf numFmtId="0" fontId="0" fillId="7" borderId="230" xfId="0" applyFill="1" applyBorder="1" applyAlignment="1">
      <alignment vertical="center" wrapText="1"/>
    </xf>
    <xf numFmtId="9" fontId="0" fillId="0" borderId="191" xfId="0" applyNumberFormat="1" applyFont="1" applyFill="1" applyBorder="1" applyAlignment="1">
      <alignment horizontal="center" vertical="center"/>
    </xf>
    <xf numFmtId="9" fontId="0" fillId="0" borderId="218" xfId="0" applyNumberFormat="1" applyFont="1" applyFill="1" applyBorder="1" applyAlignment="1">
      <alignment horizontal="center" vertical="center"/>
    </xf>
    <xf numFmtId="9" fontId="105" fillId="0" borderId="111" xfId="0" applyNumberFormat="1" applyFont="1" applyBorder="1" applyAlignment="1">
      <alignment horizontal="center" vertical="center" wrapText="1"/>
    </xf>
    <xf numFmtId="0" fontId="185" fillId="0" borderId="0" xfId="0" applyFont="1" applyFill="1" applyBorder="1" applyAlignment="1">
      <alignment horizontal="center" vertical="center" wrapText="1"/>
    </xf>
    <xf numFmtId="10" fontId="0" fillId="0" borderId="191" xfId="0" applyNumberFormat="1" applyBorder="1" applyAlignment="1">
      <alignment vertical="center" wrapText="1"/>
    </xf>
    <xf numFmtId="10" fontId="0" fillId="0" borderId="0" xfId="0" applyNumberFormat="1" applyFill="1" applyBorder="1" applyAlignment="1">
      <alignment horizontal="center"/>
    </xf>
    <xf numFmtId="0" fontId="0" fillId="0" borderId="191" xfId="0" applyBorder="1" applyAlignment="1">
      <alignment horizontal="center" wrapText="1"/>
    </xf>
    <xf numFmtId="10" fontId="0" fillId="0" borderId="0" xfId="0" applyNumberFormat="1" applyBorder="1" applyAlignment="1">
      <alignment horizontal="left" vertical="center" wrapText="1"/>
    </xf>
    <xf numFmtId="9" fontId="0" fillId="0" borderId="0" xfId="0" applyNumberFormat="1" applyBorder="1" applyAlignment="1">
      <alignment horizontal="center" vertical="center" wrapText="1"/>
    </xf>
    <xf numFmtId="10" fontId="108" fillId="0" borderId="0" xfId="0" applyNumberFormat="1" applyFont="1" applyFill="1" applyBorder="1" applyAlignment="1">
      <alignment horizontal="center" vertical="center" wrapText="1"/>
    </xf>
    <xf numFmtId="0" fontId="4" fillId="0" borderId="191" xfId="0" applyFont="1" applyBorder="1"/>
    <xf numFmtId="0" fontId="4" fillId="0" borderId="191" xfId="0" applyFont="1" applyBorder="1" applyAlignment="1"/>
    <xf numFmtId="0" fontId="191" fillId="0" borderId="0" xfId="0" applyFont="1"/>
    <xf numFmtId="0" fontId="105" fillId="0" borderId="191" xfId="0" applyFont="1" applyBorder="1" applyAlignment="1">
      <alignment horizontal="center" vertical="center"/>
    </xf>
    <xf numFmtId="0" fontId="105" fillId="21" borderId="110" xfId="0" applyFont="1" applyFill="1" applyBorder="1" applyAlignment="1"/>
    <xf numFmtId="0" fontId="105" fillId="21" borderId="212" xfId="0" applyFont="1" applyFill="1" applyBorder="1" applyAlignment="1"/>
    <xf numFmtId="0" fontId="105" fillId="21" borderId="111" xfId="0" applyFont="1" applyFill="1" applyBorder="1" applyAlignment="1"/>
    <xf numFmtId="0" fontId="0" fillId="7" borderId="232" xfId="0" applyFill="1" applyBorder="1"/>
    <xf numFmtId="0" fontId="0" fillId="7" borderId="156" xfId="0" applyFont="1" applyFill="1" applyBorder="1"/>
    <xf numFmtId="0" fontId="0" fillId="7" borderId="230" xfId="0" applyFill="1" applyBorder="1"/>
    <xf numFmtId="0" fontId="0" fillId="7" borderId="191" xfId="0" applyFill="1" applyBorder="1"/>
    <xf numFmtId="0" fontId="0" fillId="0" borderId="230" xfId="0" applyBorder="1"/>
    <xf numFmtId="0" fontId="0" fillId="7" borderId="191" xfId="0" applyFont="1" applyFill="1" applyBorder="1"/>
    <xf numFmtId="0" fontId="192" fillId="7" borderId="0" xfId="0" applyFont="1" applyFill="1"/>
    <xf numFmtId="0" fontId="193" fillId="0" borderId="0" xfId="0" applyFont="1" applyProtection="1">
      <protection hidden="1"/>
    </xf>
    <xf numFmtId="0" fontId="105" fillId="0" borderId="191" xfId="0" applyFont="1" applyBorder="1" applyAlignment="1">
      <alignment horizontal="center" wrapText="1"/>
    </xf>
    <xf numFmtId="0" fontId="105" fillId="0" borderId="191" xfId="0" applyFont="1" applyFill="1" applyBorder="1" applyAlignment="1">
      <alignment horizontal="center" wrapText="1"/>
    </xf>
    <xf numFmtId="0" fontId="185" fillId="0" borderId="191" xfId="0" applyFont="1" applyFill="1" applyBorder="1" applyAlignment="1">
      <alignment horizontal="center" vertical="center" wrapText="1"/>
    </xf>
    <xf numFmtId="0" fontId="0" fillId="0" borderId="191" xfId="0" applyBorder="1" applyAlignment="1">
      <alignment horizontal="center" vertical="top" wrapText="1"/>
    </xf>
    <xf numFmtId="9" fontId="0" fillId="0" borderId="191" xfId="0" applyNumberFormat="1" applyBorder="1" applyAlignment="1">
      <alignment horizontal="center" vertical="top"/>
    </xf>
    <xf numFmtId="0" fontId="105" fillId="0" borderId="200" xfId="0" applyFont="1" applyBorder="1" applyAlignment="1">
      <alignment horizontal="center"/>
    </xf>
    <xf numFmtId="0" fontId="194" fillId="0" borderId="0" xfId="0" applyFont="1"/>
    <xf numFmtId="0" fontId="187" fillId="0" borderId="0" xfId="0" applyFont="1" applyBorder="1" applyAlignment="1">
      <alignment horizontal="left" vertical="top"/>
    </xf>
    <xf numFmtId="0" fontId="0" fillId="0" borderId="0" xfId="0" applyBorder="1" applyAlignment="1">
      <alignment horizontal="left"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105" fillId="0" borderId="0" xfId="0" applyFont="1" applyBorder="1" applyAlignment="1">
      <alignment horizontal="left" vertical="center"/>
    </xf>
    <xf numFmtId="10" fontId="0" fillId="0" borderId="233" xfId="0" applyNumberFormat="1" applyBorder="1" applyAlignment="1">
      <alignment horizontal="center" vertical="center"/>
    </xf>
    <xf numFmtId="0" fontId="16" fillId="0" borderId="0" xfId="0" applyFont="1"/>
    <xf numFmtId="0" fontId="51" fillId="0" borderId="112" xfId="0" applyFont="1" applyBorder="1" applyAlignment="1">
      <alignment horizontal="center"/>
    </xf>
    <xf numFmtId="0" fontId="51" fillId="0" borderId="212" xfId="0" applyFont="1" applyBorder="1" applyAlignment="1">
      <alignment horizontal="center"/>
    </xf>
    <xf numFmtId="0" fontId="51" fillId="0" borderId="111" xfId="0" applyFont="1" applyFill="1" applyBorder="1" applyAlignment="1">
      <alignment horizontal="center" wrapText="1"/>
    </xf>
    <xf numFmtId="0" fontId="195" fillId="0" borderId="112" xfId="0" applyFont="1" applyFill="1" applyBorder="1" applyAlignment="1">
      <alignment horizontal="center" vertical="center" wrapText="1"/>
    </xf>
    <xf numFmtId="10" fontId="108" fillId="0" borderId="118" xfId="0" applyNumberFormat="1" applyFont="1" applyBorder="1" applyAlignment="1">
      <alignment horizontal="center" vertical="center"/>
    </xf>
    <xf numFmtId="10" fontId="108" fillId="0" borderId="199" xfId="0" applyNumberFormat="1" applyFont="1" applyBorder="1" applyAlignment="1">
      <alignment horizontal="center" vertical="center" wrapText="1"/>
    </xf>
    <xf numFmtId="0" fontId="108" fillId="7" borderId="209" xfId="0" applyFont="1" applyFill="1" applyBorder="1" applyAlignment="1">
      <alignment vertical="center" wrapText="1"/>
    </xf>
    <xf numFmtId="0" fontId="108" fillId="7" borderId="230" xfId="0" applyFont="1" applyFill="1" applyBorder="1" applyAlignment="1">
      <alignment vertical="center"/>
    </xf>
    <xf numFmtId="9" fontId="0" fillId="0" borderId="191" xfId="1" applyFont="1" applyBorder="1" applyAlignment="1">
      <alignment horizontal="center" vertical="center"/>
    </xf>
    <xf numFmtId="0" fontId="108" fillId="7" borderId="230" xfId="0" applyFont="1" applyFill="1" applyBorder="1" applyAlignment="1">
      <alignment vertical="center" wrapText="1"/>
    </xf>
    <xf numFmtId="0" fontId="0" fillId="7" borderId="235" xfId="0" applyFill="1" applyBorder="1"/>
    <xf numFmtId="0" fontId="0" fillId="7" borderId="207" xfId="0" applyFill="1" applyBorder="1"/>
    <xf numFmtId="0" fontId="105" fillId="21" borderId="215" xfId="0" applyFont="1" applyFill="1" applyBorder="1" applyAlignment="1"/>
    <xf numFmtId="0" fontId="77" fillId="0" borderId="230" xfId="0" applyFont="1" applyFill="1" applyBorder="1"/>
    <xf numFmtId="0" fontId="77" fillId="0" borderId="191" xfId="0" applyFont="1" applyFill="1" applyBorder="1"/>
    <xf numFmtId="0" fontId="77" fillId="0" borderId="207" xfId="0" applyFont="1" applyFill="1" applyBorder="1"/>
    <xf numFmtId="0" fontId="0" fillId="0" borderId="230" xfId="0" applyFill="1" applyBorder="1"/>
    <xf numFmtId="0" fontId="0" fillId="0" borderId="191" xfId="0" applyFont="1" applyFill="1" applyBorder="1"/>
    <xf numFmtId="0" fontId="0" fillId="0" borderId="207" xfId="0" applyFill="1" applyBorder="1"/>
    <xf numFmtId="0" fontId="0" fillId="0" borderId="191" xfId="0" applyFill="1" applyBorder="1"/>
    <xf numFmtId="0" fontId="0" fillId="0" borderId="209" xfId="0" applyFill="1" applyBorder="1"/>
    <xf numFmtId="0" fontId="0" fillId="0" borderId="210" xfId="0" applyFont="1" applyFill="1" applyBorder="1"/>
    <xf numFmtId="0" fontId="0" fillId="0" borderId="231" xfId="0" applyFill="1" applyBorder="1"/>
    <xf numFmtId="10" fontId="0" fillId="0" borderId="208" xfId="0" applyNumberFormat="1" applyFill="1" applyBorder="1" applyAlignment="1">
      <alignment horizontal="center" vertical="center"/>
    </xf>
    <xf numFmtId="0" fontId="185" fillId="7" borderId="215" xfId="0" applyFont="1" applyFill="1" applyBorder="1" applyAlignment="1">
      <alignment horizontal="center" vertical="center" wrapText="1"/>
    </xf>
    <xf numFmtId="10" fontId="108" fillId="0" borderId="113" xfId="0" applyNumberFormat="1" applyFont="1" applyFill="1" applyBorder="1" applyAlignment="1">
      <alignment vertical="center" wrapText="1"/>
    </xf>
    <xf numFmtId="0" fontId="105" fillId="0" borderId="126" xfId="0" applyFont="1" applyFill="1" applyBorder="1" applyAlignment="1">
      <alignment horizontal="center" vertical="center" wrapText="1"/>
    </xf>
    <xf numFmtId="10" fontId="108" fillId="0" borderId="191" xfId="0" applyNumberFormat="1" applyFont="1" applyFill="1" applyBorder="1" applyAlignment="1">
      <alignment vertical="center" wrapText="1"/>
    </xf>
    <xf numFmtId="10" fontId="108" fillId="0" borderId="199" xfId="0" applyNumberFormat="1" applyFont="1" applyBorder="1" applyAlignment="1">
      <alignment horizontal="left" vertical="top" wrapText="1"/>
    </xf>
    <xf numFmtId="0" fontId="105" fillId="7" borderId="126" xfId="0" applyFont="1" applyFill="1" applyBorder="1" applyAlignment="1">
      <alignment horizontal="center" vertical="center" wrapText="1"/>
    </xf>
    <xf numFmtId="0" fontId="0" fillId="0" borderId="191" xfId="0" applyFont="1" applyBorder="1" applyAlignment="1">
      <alignment horizontal="center" wrapText="1"/>
    </xf>
    <xf numFmtId="9" fontId="105" fillId="0" borderId="212" xfId="0" applyNumberFormat="1" applyFont="1" applyBorder="1" applyAlignment="1">
      <alignment horizontal="center" vertical="center" wrapText="1"/>
    </xf>
    <xf numFmtId="0" fontId="0" fillId="0" borderId="209" xfId="0" applyBorder="1" applyAlignment="1">
      <alignment horizontal="left" vertical="center" wrapText="1"/>
    </xf>
    <xf numFmtId="0" fontId="105" fillId="7" borderId="0" xfId="0" applyFont="1" applyFill="1"/>
    <xf numFmtId="0" fontId="190" fillId="63" borderId="200" xfId="0" applyFont="1" applyFill="1" applyBorder="1"/>
    <xf numFmtId="0" fontId="4" fillId="0" borderId="191" xfId="0" applyFont="1" applyFill="1" applyBorder="1"/>
    <xf numFmtId="0" fontId="4" fillId="0" borderId="191" xfId="0" applyFont="1" applyFill="1" applyBorder="1" applyAlignment="1"/>
    <xf numFmtId="0" fontId="193" fillId="0" borderId="0" xfId="0" applyFont="1"/>
    <xf numFmtId="0" fontId="0" fillId="44" borderId="191" xfId="0" applyFill="1" applyBorder="1"/>
    <xf numFmtId="10" fontId="183" fillId="7" borderId="0" xfId="0" applyNumberFormat="1" applyFont="1" applyFill="1" applyBorder="1" applyAlignment="1">
      <alignment horizontal="center" vertical="center"/>
    </xf>
    <xf numFmtId="0" fontId="105" fillId="7" borderId="0" xfId="0" applyFont="1" applyFill="1" applyBorder="1" applyAlignment="1">
      <alignment horizontal="center"/>
    </xf>
    <xf numFmtId="10" fontId="0" fillId="7" borderId="0" xfId="0" applyNumberFormat="1" applyFill="1" applyBorder="1" applyAlignment="1">
      <alignment horizontal="center" vertical="center" wrapText="1"/>
    </xf>
    <xf numFmtId="10" fontId="0" fillId="0" borderId="127" xfId="0" applyNumberFormat="1" applyBorder="1" applyAlignment="1">
      <alignment horizontal="center" vertical="center"/>
    </xf>
    <xf numFmtId="10" fontId="0" fillId="7" borderId="0" xfId="0" applyNumberFormat="1" applyFill="1" applyBorder="1" applyAlignment="1">
      <alignment horizontal="center" vertical="center"/>
    </xf>
    <xf numFmtId="10" fontId="196" fillId="7" borderId="0" xfId="0" applyNumberFormat="1" applyFont="1" applyFill="1" applyBorder="1" applyAlignment="1">
      <alignment horizontal="center" vertical="center"/>
    </xf>
    <xf numFmtId="0" fontId="185" fillId="0" borderId="115" xfId="0" applyFont="1" applyFill="1" applyBorder="1" applyAlignment="1">
      <alignment horizontal="center" vertical="center" wrapText="1"/>
    </xf>
    <xf numFmtId="0" fontId="185" fillId="0" borderId="127" xfId="0" applyFont="1" applyFill="1" applyBorder="1" applyAlignment="1">
      <alignment horizontal="center" vertical="center" wrapText="1"/>
    </xf>
    <xf numFmtId="0" fontId="185" fillId="7" borderId="0" xfId="0" applyFont="1" applyFill="1" applyBorder="1" applyAlignment="1">
      <alignment horizontal="center" vertical="center" wrapText="1"/>
    </xf>
    <xf numFmtId="0" fontId="105" fillId="7" borderId="0" xfId="0" applyFont="1" applyFill="1" applyBorder="1" applyAlignment="1">
      <alignment horizontal="center" wrapText="1"/>
    </xf>
    <xf numFmtId="10" fontId="0" fillId="0" borderId="115" xfId="0" applyNumberFormat="1" applyFill="1" applyBorder="1" applyAlignment="1">
      <alignment horizontal="center"/>
    </xf>
    <xf numFmtId="10" fontId="0" fillId="0" borderId="127" xfId="0" applyNumberFormat="1" applyFill="1" applyBorder="1" applyAlignment="1">
      <alignment horizontal="center"/>
    </xf>
    <xf numFmtId="10" fontId="0" fillId="7" borderId="0" xfId="0" applyNumberFormat="1" applyFill="1" applyBorder="1" applyAlignment="1">
      <alignment horizontal="center"/>
    </xf>
    <xf numFmtId="0" fontId="183" fillId="55" borderId="191" xfId="0" applyFont="1" applyFill="1" applyBorder="1" applyAlignment="1">
      <alignment vertical="center"/>
    </xf>
    <xf numFmtId="0" fontId="183" fillId="55" borderId="191" xfId="0" applyFont="1" applyFill="1" applyBorder="1" applyAlignment="1">
      <alignment horizontal="center" vertical="center"/>
    </xf>
    <xf numFmtId="0" fontId="0" fillId="0" borderId="235" xfId="0" applyFill="1" applyBorder="1" applyAlignment="1">
      <alignment horizontal="center"/>
    </xf>
    <xf numFmtId="0" fontId="0" fillId="0" borderId="207" xfId="0" applyFill="1" applyBorder="1" applyAlignment="1">
      <alignment horizontal="center"/>
    </xf>
    <xf numFmtId="0" fontId="128" fillId="25" borderId="81" xfId="2" applyFont="1" applyFill="1" applyBorder="1" applyAlignment="1" applyProtection="1">
      <alignment horizontal="center" vertical="center" wrapText="1"/>
    </xf>
    <xf numFmtId="0" fontId="129" fillId="0" borderId="127" xfId="2" applyFont="1" applyBorder="1" applyAlignment="1">
      <alignment horizontal="left" vertical="center"/>
    </xf>
    <xf numFmtId="0" fontId="131" fillId="0" borderId="127" xfId="2" applyFont="1" applyBorder="1" applyAlignment="1">
      <alignment horizontal="left" vertical="center"/>
    </xf>
    <xf numFmtId="0" fontId="129" fillId="0" borderId="115" xfId="2" applyFont="1" applyBorder="1" applyAlignment="1">
      <alignment horizontal="left" vertical="center" indent="4"/>
    </xf>
    <xf numFmtId="0" fontId="128" fillId="0" borderId="0" xfId="2" applyFont="1" applyBorder="1" applyAlignment="1">
      <alignment horizontal="left" vertical="center" indent="4"/>
    </xf>
    <xf numFmtId="0" fontId="128" fillId="0" borderId="127" xfId="2" applyFont="1" applyBorder="1" applyAlignment="1">
      <alignment horizontal="left" vertical="center" indent="4"/>
    </xf>
    <xf numFmtId="0" fontId="4" fillId="2" borderId="0" xfId="0" applyFont="1" applyFill="1" applyAlignment="1">
      <alignment horizontal="justify" vertical="justify" wrapText="1"/>
    </xf>
    <xf numFmtId="0" fontId="35" fillId="2" borderId="0" xfId="0" applyFont="1" applyFill="1" applyAlignment="1">
      <alignment vertical="top"/>
    </xf>
    <xf numFmtId="0" fontId="4" fillId="2" borderId="0" xfId="0" applyFont="1" applyFill="1" applyAlignment="1">
      <alignment horizontal="justify" vertical="justify" wrapText="1"/>
    </xf>
    <xf numFmtId="0" fontId="13" fillId="0" borderId="0" xfId="0" applyFont="1" applyAlignment="1">
      <alignment horizontal="left"/>
    </xf>
    <xf numFmtId="0" fontId="179" fillId="0" borderId="208" xfId="2" applyFont="1" applyFill="1" applyBorder="1" applyAlignment="1" applyProtection="1">
      <alignment horizontal="left" wrapText="1"/>
      <protection locked="0"/>
    </xf>
    <xf numFmtId="0" fontId="128" fillId="0" borderId="208" xfId="2" applyFont="1" applyFill="1" applyBorder="1" applyAlignment="1" applyProtection="1">
      <alignment horizontal="center" vertical="center" wrapText="1"/>
      <protection locked="0"/>
    </xf>
    <xf numFmtId="0" fontId="130" fillId="0" borderId="156" xfId="2" applyFont="1" applyFill="1" applyBorder="1" applyAlignment="1" applyProtection="1">
      <alignment horizontal="center" vertical="center" wrapText="1"/>
      <protection locked="0"/>
    </xf>
    <xf numFmtId="0" fontId="102" fillId="0" borderId="114" xfId="2" applyFont="1" applyBorder="1" applyAlignment="1">
      <alignment vertical="center" wrapText="1"/>
    </xf>
    <xf numFmtId="0" fontId="131" fillId="0" borderId="228" xfId="2" applyFont="1" applyFill="1" applyBorder="1" applyAlignment="1">
      <alignment vertical="center"/>
    </xf>
    <xf numFmtId="0" fontId="131" fillId="0" borderId="191" xfId="2" applyFont="1" applyFill="1" applyBorder="1" applyAlignment="1" applyProtection="1">
      <alignment vertical="center"/>
      <protection locked="0"/>
    </xf>
    <xf numFmtId="0" fontId="128" fillId="0" borderId="191" xfId="2" applyFont="1" applyBorder="1" applyAlignment="1" applyProtection="1">
      <alignment horizontal="left" vertical="center"/>
      <protection locked="0"/>
    </xf>
    <xf numFmtId="0" fontId="102" fillId="0" borderId="118" xfId="2" applyFont="1" applyBorder="1" applyAlignment="1">
      <alignment vertical="center" wrapText="1"/>
    </xf>
    <xf numFmtId="0" fontId="130" fillId="0" borderId="0" xfId="2" applyFont="1" applyFill="1" applyBorder="1" applyAlignment="1" applyProtection="1">
      <alignment horizontal="center" vertical="center" wrapText="1"/>
      <protection locked="0"/>
    </xf>
    <xf numFmtId="0" fontId="128" fillId="0" borderId="0" xfId="2" applyFont="1" applyBorder="1" applyAlignment="1" applyProtection="1">
      <alignment horizontal="left" vertical="center"/>
      <protection locked="0"/>
    </xf>
    <xf numFmtId="0" fontId="128" fillId="0" borderId="227" xfId="2" applyFont="1" applyFill="1" applyBorder="1" applyAlignment="1" applyProtection="1">
      <alignment horizontal="center" vertical="center" wrapText="1"/>
    </xf>
    <xf numFmtId="0" fontId="131" fillId="0" borderId="227" xfId="2" applyFont="1" applyBorder="1" applyAlignment="1">
      <alignment vertical="center"/>
    </xf>
    <xf numFmtId="0" fontId="85" fillId="0" borderId="209" xfId="2" applyNumberFormat="1" applyFont="1" applyFill="1" applyBorder="1" applyAlignment="1">
      <alignment vertical="top" wrapText="1"/>
    </xf>
    <xf numFmtId="0" fontId="105" fillId="0" borderId="230" xfId="0" applyFont="1" applyBorder="1" applyAlignment="1">
      <alignment horizontal="center"/>
    </xf>
    <xf numFmtId="0" fontId="105" fillId="7" borderId="191" xfId="0" applyFont="1" applyFill="1" applyBorder="1" applyAlignment="1">
      <alignment horizontal="center" vertical="center" wrapText="1"/>
    </xf>
    <xf numFmtId="0" fontId="185" fillId="0" borderId="208" xfId="0" applyFont="1" applyFill="1" applyBorder="1" applyAlignment="1">
      <alignment horizontal="center" vertical="center" wrapText="1"/>
    </xf>
    <xf numFmtId="10" fontId="0" fillId="0" borderId="230" xfId="0" applyNumberFormat="1" applyBorder="1" applyAlignment="1">
      <alignment horizontal="center" vertical="center"/>
    </xf>
    <xf numFmtId="10" fontId="0" fillId="0" borderId="209" xfId="0" applyNumberFormat="1" applyBorder="1" applyAlignment="1">
      <alignment horizontal="center" vertical="center"/>
    </xf>
    <xf numFmtId="9" fontId="0" fillId="0" borderId="0" xfId="0" applyNumberFormat="1" applyFont="1" applyFill="1" applyBorder="1" applyAlignment="1">
      <alignment vertical="center"/>
    </xf>
    <xf numFmtId="0" fontId="0" fillId="0" borderId="0" xfId="0" applyNumberFormat="1" applyFill="1" applyBorder="1" applyAlignment="1">
      <alignment vertical="center"/>
    </xf>
    <xf numFmtId="0" fontId="0" fillId="0" borderId="0" xfId="0" applyFill="1" applyBorder="1" applyAlignment="1">
      <alignment vertical="center" wrapText="1"/>
    </xf>
    <xf numFmtId="0" fontId="105" fillId="0" borderId="0" xfId="0" applyFont="1" applyFill="1" applyBorder="1" applyAlignment="1">
      <alignment horizontal="center" vertical="center" wrapText="1"/>
    </xf>
    <xf numFmtId="0" fontId="105" fillId="0" borderId="0" xfId="0" applyFont="1" applyFill="1" applyBorder="1" applyAlignment="1">
      <alignment horizontal="center"/>
    </xf>
    <xf numFmtId="0" fontId="105" fillId="0" borderId="0" xfId="0" applyFont="1" applyFill="1" applyBorder="1" applyAlignment="1">
      <alignment horizontal="center" wrapText="1"/>
    </xf>
    <xf numFmtId="0" fontId="200" fillId="0" borderId="0" xfId="0" applyFont="1" applyFill="1" applyBorder="1"/>
    <xf numFmtId="0" fontId="200" fillId="0" borderId="0" xfId="0" applyFont="1" applyFill="1" applyBorder="1" applyAlignment="1">
      <alignment vertical="top" wrapText="1"/>
    </xf>
    <xf numFmtId="10" fontId="200" fillId="0" borderId="0" xfId="0" applyNumberFormat="1" applyFont="1" applyFill="1" applyBorder="1" applyAlignment="1">
      <alignment vertical="top" wrapText="1"/>
    </xf>
    <xf numFmtId="0" fontId="202" fillId="0" borderId="0" xfId="0" applyFont="1"/>
    <xf numFmtId="0" fontId="105" fillId="0" borderId="191" xfId="0" applyFont="1" applyBorder="1" applyAlignment="1">
      <alignment horizontal="center" vertical="center" wrapText="1"/>
    </xf>
    <xf numFmtId="9" fontId="0" fillId="0" borderId="191" xfId="0" applyNumberFormat="1" applyBorder="1" applyAlignment="1">
      <alignment horizontal="center" wrapText="1"/>
    </xf>
    <xf numFmtId="0" fontId="0" fillId="0" borderId="0" xfId="0" applyAlignment="1">
      <alignment horizontal="center" wrapText="1"/>
    </xf>
    <xf numFmtId="0" fontId="55" fillId="0" borderId="0" xfId="0" applyFont="1" applyAlignment="1">
      <alignment horizontal="center"/>
    </xf>
    <xf numFmtId="0" fontId="123" fillId="0" borderId="191" xfId="0" applyFont="1" applyBorder="1" applyAlignment="1">
      <alignment horizontal="center" wrapText="1"/>
    </xf>
    <xf numFmtId="0" fontId="123" fillId="0" borderId="191" xfId="0" applyFont="1" applyBorder="1" applyAlignment="1">
      <alignment horizontal="center"/>
    </xf>
    <xf numFmtId="10" fontId="0" fillId="0" borderId="191" xfId="0" applyNumberFormat="1" applyBorder="1" applyAlignment="1">
      <alignment horizontal="center" wrapText="1"/>
    </xf>
    <xf numFmtId="15" fontId="203" fillId="0" borderId="0" xfId="0" applyNumberFormat="1" applyFont="1"/>
    <xf numFmtId="0" fontId="181" fillId="53" borderId="191" xfId="0" applyFont="1" applyFill="1" applyBorder="1"/>
    <xf numFmtId="9" fontId="108" fillId="0" borderId="42" xfId="0" applyNumberFormat="1" applyFont="1" applyBorder="1" applyAlignment="1">
      <alignment horizontal="center" vertical="center"/>
    </xf>
    <xf numFmtId="0" fontId="108" fillId="0" borderId="135" xfId="0" applyFont="1" applyBorder="1" applyAlignment="1">
      <alignment horizontal="center" vertical="center"/>
    </xf>
    <xf numFmtId="9" fontId="108" fillId="0" borderId="42" xfId="0" applyNumberFormat="1" applyFont="1" applyFill="1" applyBorder="1" applyAlignment="1">
      <alignment horizontal="center" vertical="center"/>
    </xf>
    <xf numFmtId="0" fontId="0" fillId="0" borderId="42" xfId="0" applyFill="1" applyBorder="1" applyAlignment="1">
      <alignment horizontal="center"/>
    </xf>
    <xf numFmtId="10" fontId="0" fillId="7" borderId="42" xfId="1" applyNumberFormat="1" applyFont="1" applyFill="1" applyBorder="1" applyAlignment="1">
      <alignment horizontal="center"/>
    </xf>
    <xf numFmtId="0" fontId="107" fillId="0" borderId="191" xfId="0" applyFont="1" applyBorder="1"/>
    <xf numFmtId="0" fontId="85" fillId="0" borderId="6" xfId="2" applyFont="1" applyBorder="1" applyAlignment="1">
      <alignment vertical="center" wrapText="1"/>
    </xf>
    <xf numFmtId="10" fontId="0" fillId="0" borderId="42" xfId="0" applyNumberFormat="1" applyBorder="1" applyAlignment="1">
      <alignment horizontal="center" vertical="center"/>
    </xf>
    <xf numFmtId="0" fontId="0" fillId="0" borderId="135" xfId="0" applyBorder="1" applyAlignment="1">
      <alignment horizontal="center" vertical="center"/>
    </xf>
    <xf numFmtId="0" fontId="0" fillId="0" borderId="228" xfId="0" applyBorder="1" applyAlignment="1">
      <alignment horizontal="center" vertical="center"/>
    </xf>
    <xf numFmtId="0" fontId="0" fillId="0" borderId="210" xfId="0" applyBorder="1" applyAlignment="1">
      <alignment horizontal="center" vertical="center"/>
    </xf>
    <xf numFmtId="10" fontId="0" fillId="0" borderId="230" xfId="0" applyNumberFormat="1" applyBorder="1" applyAlignment="1">
      <alignment horizontal="center" vertical="center" wrapText="1"/>
    </xf>
    <xf numFmtId="10" fontId="0" fillId="0" borderId="209" xfId="0" applyNumberFormat="1" applyBorder="1" applyAlignment="1">
      <alignment horizontal="center" vertical="center" wrapText="1"/>
    </xf>
    <xf numFmtId="10" fontId="0" fillId="0" borderId="210" xfId="0" applyNumberFormat="1" applyBorder="1" applyAlignment="1">
      <alignment horizontal="center" vertical="center"/>
    </xf>
    <xf numFmtId="10" fontId="0" fillId="0" borderId="115" xfId="0" applyNumberFormat="1" applyBorder="1" applyAlignment="1">
      <alignment horizontal="center" vertical="center"/>
    </xf>
    <xf numFmtId="0" fontId="55" fillId="65" borderId="0" xfId="0" applyFont="1" applyFill="1" applyAlignment="1">
      <alignment horizontal="center" wrapText="1"/>
    </xf>
    <xf numFmtId="0" fontId="105" fillId="0" borderId="191" xfId="0" applyFont="1" applyBorder="1" applyAlignment="1">
      <alignment vertical="center" wrapText="1"/>
    </xf>
    <xf numFmtId="0" fontId="105" fillId="0" borderId="191" xfId="0" applyFont="1" applyFill="1" applyBorder="1" applyAlignment="1">
      <alignment horizontal="center" vertical="center" wrapText="1"/>
    </xf>
    <xf numFmtId="0" fontId="185" fillId="7" borderId="191" xfId="0" applyFont="1" applyFill="1" applyBorder="1" applyAlignment="1">
      <alignment horizontal="center" vertical="center" wrapText="1"/>
    </xf>
    <xf numFmtId="0" fontId="105" fillId="0" borderId="200" xfId="0" applyFont="1" applyBorder="1" applyAlignment="1">
      <alignment horizontal="center" wrapText="1"/>
    </xf>
    <xf numFmtId="0" fontId="105" fillId="0" borderId="200" xfId="0" applyFont="1" applyBorder="1" applyAlignment="1">
      <alignment horizontal="center" vertical="center"/>
    </xf>
    <xf numFmtId="0" fontId="105" fillId="0" borderId="200" xfId="0" applyFont="1" applyFill="1" applyBorder="1" applyAlignment="1">
      <alignment horizontal="center" wrapText="1"/>
    </xf>
    <xf numFmtId="0" fontId="105" fillId="7" borderId="90" xfId="0" applyFont="1" applyFill="1" applyBorder="1" applyAlignment="1">
      <alignment horizontal="center" vertical="center" wrapText="1"/>
    </xf>
    <xf numFmtId="0" fontId="185" fillId="0" borderId="200" xfId="0" applyFont="1" applyFill="1" applyBorder="1" applyAlignment="1">
      <alignment horizontal="center" vertical="center" wrapText="1"/>
    </xf>
    <xf numFmtId="0" fontId="0" fillId="0" borderId="191" xfId="0" applyFont="1" applyFill="1" applyBorder="1" applyAlignment="1">
      <alignment horizontal="center" wrapText="1"/>
    </xf>
    <xf numFmtId="10" fontId="0" fillId="0" borderId="0" xfId="0" applyNumberForma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105" fillId="7" borderId="191" xfId="0" applyFont="1" applyFill="1" applyBorder="1" applyAlignment="1">
      <alignment horizontal="center" wrapText="1"/>
    </xf>
    <xf numFmtId="10" fontId="0" fillId="0" borderId="0" xfId="0" applyNumberFormat="1" applyFill="1" applyBorder="1" applyAlignment="1">
      <alignment horizontal="center" wrapText="1"/>
    </xf>
    <xf numFmtId="0" fontId="0" fillId="0" borderId="0" xfId="0" applyBorder="1" applyAlignment="1">
      <alignment horizontal="center" vertical="center" wrapText="1"/>
    </xf>
    <xf numFmtId="0" fontId="0" fillId="7" borderId="191" xfId="0" applyFill="1" applyBorder="1" applyAlignment="1">
      <alignment vertical="center" wrapText="1"/>
    </xf>
    <xf numFmtId="0" fontId="108" fillId="0" borderId="191" xfId="0" applyFont="1" applyFill="1" applyBorder="1" applyAlignment="1">
      <alignment horizontal="center" vertical="center" wrapText="1"/>
    </xf>
    <xf numFmtId="10" fontId="0" fillId="0" borderId="0" xfId="0" applyNumberFormat="1" applyFill="1" applyBorder="1" applyAlignment="1">
      <alignment horizontal="center" vertical="center" wrapText="1"/>
    </xf>
    <xf numFmtId="0" fontId="0" fillId="7" borderId="191" xfId="0" applyFill="1" applyBorder="1" applyAlignment="1">
      <alignment horizontal="center" vertical="center"/>
    </xf>
    <xf numFmtId="0" fontId="105" fillId="0" borderId="191" xfId="0" applyFont="1" applyFill="1" applyBorder="1" applyAlignment="1">
      <alignment vertical="center" wrapText="1"/>
    </xf>
    <xf numFmtId="0" fontId="105" fillId="0" borderId="191" xfId="0" applyFont="1" applyFill="1" applyBorder="1" applyAlignment="1">
      <alignment horizontal="center" vertical="center"/>
    </xf>
    <xf numFmtId="0" fontId="0" fillId="7" borderId="115" xfId="0" applyFill="1" applyBorder="1" applyAlignment="1">
      <alignment horizontal="center" vertical="center" wrapText="1"/>
    </xf>
    <xf numFmtId="9" fontId="0" fillId="0" borderId="0" xfId="0" applyNumberFormat="1" applyFont="1" applyBorder="1" applyAlignment="1">
      <alignment horizontal="center" vertical="center"/>
    </xf>
    <xf numFmtId="9" fontId="0" fillId="0" borderId="0" xfId="0" applyNumberFormat="1" applyFont="1" applyBorder="1" applyAlignment="1">
      <alignment horizontal="center" vertical="center" wrapText="1"/>
    </xf>
    <xf numFmtId="10" fontId="0" fillId="0" borderId="191" xfId="0" applyNumberFormat="1" applyFont="1" applyBorder="1" applyAlignment="1">
      <alignment horizontal="left" vertical="center" wrapText="1"/>
    </xf>
    <xf numFmtId="164" fontId="0" fillId="0" borderId="0" xfId="0" applyNumberFormat="1" applyBorder="1" applyAlignment="1">
      <alignment horizontal="center" vertical="center"/>
    </xf>
    <xf numFmtId="10" fontId="108" fillId="7" borderId="0" xfId="0" applyNumberFormat="1" applyFont="1" applyFill="1" applyBorder="1" applyAlignment="1">
      <alignment horizontal="center" vertical="center" wrapText="1"/>
    </xf>
    <xf numFmtId="9" fontId="0" fillId="0" borderId="191" xfId="0" applyNumberFormat="1" applyFont="1" applyBorder="1" applyAlignment="1">
      <alignment horizontal="center" vertical="center"/>
    </xf>
    <xf numFmtId="0" fontId="0" fillId="0" borderId="191" xfId="0" applyFont="1" applyBorder="1" applyAlignment="1">
      <alignment horizontal="center" vertical="center"/>
    </xf>
    <xf numFmtId="9" fontId="0" fillId="0" borderId="191" xfId="0" applyNumberFormat="1" applyBorder="1" applyAlignment="1">
      <alignment horizontal="center" vertical="center"/>
    </xf>
    <xf numFmtId="10" fontId="0" fillId="0" borderId="191" xfId="0" applyNumberFormat="1" applyBorder="1" applyAlignment="1">
      <alignment horizontal="center" vertical="center"/>
    </xf>
    <xf numFmtId="10" fontId="0" fillId="0" borderId="191" xfId="0" applyNumberFormat="1" applyBorder="1" applyAlignment="1">
      <alignment horizontal="center" vertical="center" wrapText="1"/>
    </xf>
    <xf numFmtId="0" fontId="0" fillId="0" borderId="191" xfId="0" applyBorder="1" applyAlignment="1">
      <alignment horizontal="center" vertical="center" wrapText="1"/>
    </xf>
    <xf numFmtId="0" fontId="0" fillId="0" borderId="42" xfId="0" applyBorder="1" applyAlignment="1">
      <alignment horizontal="center" vertical="center"/>
    </xf>
    <xf numFmtId="0" fontId="0" fillId="0" borderId="0"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top" wrapText="1"/>
    </xf>
    <xf numFmtId="0" fontId="0" fillId="0" borderId="0" xfId="0" applyBorder="1" applyAlignment="1">
      <alignment vertical="center" wrapText="1"/>
    </xf>
    <xf numFmtId="0" fontId="0" fillId="0" borderId="0" xfId="0" applyBorder="1" applyAlignment="1">
      <alignment horizontal="left" vertical="top" wrapText="1"/>
    </xf>
    <xf numFmtId="9" fontId="0" fillId="0" borderId="0" xfId="0" applyNumberFormat="1" applyBorder="1" applyAlignment="1">
      <alignment horizontal="left" vertical="top" wrapText="1"/>
    </xf>
    <xf numFmtId="0" fontId="108" fillId="0" borderId="191" xfId="0" applyFont="1" applyFill="1" applyBorder="1" applyAlignment="1">
      <alignment horizontal="center" vertical="center"/>
    </xf>
    <xf numFmtId="0" fontId="0" fillId="0" borderId="191" xfId="0" applyFill="1" applyBorder="1" applyAlignment="1">
      <alignment horizontal="center" vertical="center" wrapText="1"/>
    </xf>
    <xf numFmtId="10" fontId="0" fillId="0" borderId="42" xfId="0" applyNumberFormat="1" applyBorder="1" applyAlignment="1">
      <alignment horizontal="center" vertical="center" wrapText="1"/>
    </xf>
    <xf numFmtId="9" fontId="0" fillId="0" borderId="191" xfId="0" applyNumberFormat="1" applyBorder="1" applyAlignment="1">
      <alignment horizontal="center" vertical="center" wrapText="1"/>
    </xf>
    <xf numFmtId="0" fontId="0" fillId="0" borderId="191" xfId="0" applyBorder="1" applyAlignment="1">
      <alignment horizontal="center" vertical="center"/>
    </xf>
    <xf numFmtId="10" fontId="0" fillId="0" borderId="191" xfId="0" applyNumberFormat="1" applyBorder="1" applyAlignment="1">
      <alignment horizontal="left" vertical="center" wrapText="1"/>
    </xf>
    <xf numFmtId="9" fontId="0" fillId="0" borderId="191" xfId="0" applyNumberFormat="1" applyFont="1" applyBorder="1" applyAlignment="1">
      <alignment horizontal="center" vertical="center" wrapText="1"/>
    </xf>
    <xf numFmtId="10" fontId="186" fillId="0" borderId="191" xfId="0" applyNumberFormat="1" applyFont="1" applyBorder="1" applyAlignment="1">
      <alignment horizontal="center" vertical="center" wrapText="1"/>
    </xf>
    <xf numFmtId="0" fontId="0" fillId="7" borderId="130" xfId="0" applyFill="1" applyBorder="1" applyAlignment="1">
      <alignment horizontal="left" vertical="center" wrapText="1"/>
    </xf>
    <xf numFmtId="0" fontId="183" fillId="59" borderId="191" xfId="0" applyFont="1" applyFill="1" applyBorder="1" applyAlignment="1">
      <alignment horizontal="center"/>
    </xf>
    <xf numFmtId="10" fontId="108" fillId="0" borderId="191" xfId="0" applyNumberFormat="1" applyFont="1" applyBorder="1" applyAlignment="1">
      <alignment horizontal="center" vertical="center"/>
    </xf>
    <xf numFmtId="9" fontId="108" fillId="0" borderId="191" xfId="0" applyNumberFormat="1" applyFont="1" applyBorder="1" applyAlignment="1">
      <alignment horizontal="center" vertical="center"/>
    </xf>
    <xf numFmtId="0" fontId="0" fillId="0" borderId="191" xfId="0" applyFont="1" applyBorder="1" applyAlignment="1">
      <alignment horizontal="center" vertical="center" wrapText="1"/>
    </xf>
    <xf numFmtId="9" fontId="0" fillId="0" borderId="42" xfId="0" applyNumberFormat="1" applyBorder="1" applyAlignment="1">
      <alignment horizontal="center" vertical="center"/>
    </xf>
    <xf numFmtId="10" fontId="186" fillId="0" borderId="191" xfId="0" applyNumberFormat="1" applyFont="1" applyBorder="1" applyAlignment="1">
      <alignment horizontal="center" vertical="center"/>
    </xf>
    <xf numFmtId="9" fontId="0" fillId="0" borderId="210" xfId="0" applyNumberFormat="1" applyBorder="1" applyAlignment="1">
      <alignment horizontal="center" vertical="center"/>
    </xf>
    <xf numFmtId="9" fontId="0" fillId="0" borderId="42" xfId="0" applyNumberFormat="1" applyFont="1" applyBorder="1" applyAlignment="1">
      <alignment horizontal="center" vertical="center"/>
    </xf>
    <xf numFmtId="0" fontId="0" fillId="0" borderId="0" xfId="0" applyFill="1" applyBorder="1" applyAlignment="1">
      <alignment horizontal="center" vertical="center" wrapText="1"/>
    </xf>
    <xf numFmtId="10" fontId="0" fillId="0" borderId="0" xfId="0" applyNumberFormat="1" applyFill="1" applyBorder="1" applyAlignment="1">
      <alignment horizontal="center" vertical="center"/>
    </xf>
    <xf numFmtId="10" fontId="108" fillId="0" borderId="127" xfId="0" applyNumberFormat="1" applyFont="1" applyFill="1" applyBorder="1" applyAlignment="1">
      <alignment horizontal="center" vertical="center" wrapText="1"/>
    </xf>
    <xf numFmtId="0" fontId="0" fillId="0" borderId="191" xfId="0" applyFill="1" applyBorder="1" applyAlignment="1">
      <alignment horizontal="center" vertical="center"/>
    </xf>
    <xf numFmtId="0" fontId="55" fillId="65" borderId="0" xfId="0" applyFont="1" applyFill="1" applyAlignment="1">
      <alignment horizontal="center"/>
    </xf>
    <xf numFmtId="0" fontId="105" fillId="0" borderId="191" xfId="0" applyFont="1" applyBorder="1" applyAlignment="1">
      <alignment horizontal="center"/>
    </xf>
    <xf numFmtId="0" fontId="52" fillId="14" borderId="103" xfId="0" applyFont="1" applyFill="1" applyBorder="1" applyProtection="1">
      <protection hidden="1"/>
    </xf>
    <xf numFmtId="0" fontId="52" fillId="14" borderId="200" xfId="0" applyFont="1" applyFill="1" applyBorder="1" applyProtection="1">
      <protection hidden="1"/>
    </xf>
    <xf numFmtId="0" fontId="52" fillId="14" borderId="190" xfId="0" applyFont="1" applyFill="1" applyBorder="1" applyProtection="1">
      <protection hidden="1"/>
    </xf>
    <xf numFmtId="0" fontId="52" fillId="14" borderId="102" xfId="0" applyFont="1" applyFill="1" applyBorder="1" applyProtection="1">
      <protection hidden="1"/>
    </xf>
    <xf numFmtId="0" fontId="0" fillId="0" borderId="191" xfId="0" applyFill="1" applyBorder="1" applyAlignment="1">
      <alignment horizontal="center" wrapText="1"/>
    </xf>
    <xf numFmtId="9" fontId="0" fillId="0" borderId="191" xfId="0" applyNumberFormat="1" applyBorder="1" applyAlignment="1">
      <alignment horizontal="center" vertical="center" wrapText="1"/>
    </xf>
    <xf numFmtId="0" fontId="77" fillId="0" borderId="0" xfId="0" applyFont="1" applyAlignment="1">
      <alignment horizontal="left" wrapText="1"/>
    </xf>
    <xf numFmtId="0" fontId="108" fillId="7" borderId="0" xfId="0" applyFont="1" applyFill="1" applyProtection="1"/>
    <xf numFmtId="0" fontId="33" fillId="7" borderId="0" xfId="0" applyFont="1" applyFill="1" applyProtection="1"/>
    <xf numFmtId="0" fontId="205" fillId="7" borderId="0" xfId="0" applyFont="1" applyFill="1" applyAlignment="1" applyProtection="1"/>
    <xf numFmtId="0" fontId="207" fillId="7" borderId="0" xfId="0" applyFont="1" applyFill="1" applyAlignment="1" applyProtection="1">
      <alignment horizontal="left"/>
    </xf>
    <xf numFmtId="0" fontId="108" fillId="7" borderId="0" xfId="0" applyFont="1" applyFill="1" applyBorder="1" applyAlignment="1" applyProtection="1">
      <alignment horizontal="center"/>
    </xf>
    <xf numFmtId="0" fontId="207" fillId="7" borderId="0" xfId="0" applyFont="1" applyFill="1" applyAlignment="1" applyProtection="1"/>
    <xf numFmtId="174" fontId="208" fillId="7" borderId="191" xfId="0" applyNumberFormat="1" applyFont="1" applyFill="1" applyBorder="1" applyAlignment="1" applyProtection="1">
      <alignment horizontal="right"/>
      <protection locked="0"/>
    </xf>
    <xf numFmtId="0" fontId="207" fillId="7" borderId="203" xfId="0" applyFont="1" applyFill="1" applyBorder="1" applyAlignment="1" applyProtection="1"/>
    <xf numFmtId="0" fontId="47" fillId="7" borderId="6" xfId="0" applyNumberFormat="1" applyFont="1" applyFill="1" applyBorder="1" applyAlignment="1" applyProtection="1">
      <alignment horizontal="right" vertical="center"/>
    </xf>
    <xf numFmtId="0" fontId="108" fillId="0" borderId="191" xfId="0" applyFont="1" applyFill="1" applyBorder="1" applyAlignment="1" applyProtection="1">
      <protection locked="0"/>
    </xf>
    <xf numFmtId="0" fontId="150" fillId="7" borderId="0" xfId="0" applyFont="1" applyFill="1" applyAlignment="1" applyProtection="1"/>
    <xf numFmtId="0" fontId="150" fillId="7" borderId="203" xfId="0" applyFont="1" applyFill="1" applyBorder="1" applyAlignment="1" applyProtection="1"/>
    <xf numFmtId="180" fontId="150" fillId="50" borderId="191" xfId="0" applyNumberFormat="1" applyFont="1" applyFill="1" applyBorder="1" applyAlignment="1" applyProtection="1">
      <alignment horizontal="right"/>
    </xf>
    <xf numFmtId="10" fontId="142" fillId="50" borderId="191" xfId="1" applyNumberFormat="1" applyFont="1" applyFill="1" applyBorder="1" applyAlignment="1" applyProtection="1">
      <alignment horizontal="right"/>
    </xf>
    <xf numFmtId="180" fontId="25" fillId="7" borderId="0" xfId="0" applyNumberFormat="1" applyFont="1" applyFill="1" applyBorder="1" applyAlignment="1" applyProtection="1">
      <alignment horizontal="center"/>
    </xf>
    <xf numFmtId="10" fontId="207" fillId="7" borderId="41" xfId="1" applyNumberFormat="1" applyFont="1" applyFill="1" applyBorder="1" applyAlignment="1" applyProtection="1">
      <alignment horizontal="right"/>
    </xf>
    <xf numFmtId="0" fontId="24" fillId="7" borderId="0" xfId="0" applyFont="1" applyFill="1" applyBorder="1" applyAlignment="1" applyProtection="1"/>
    <xf numFmtId="180" fontId="150" fillId="67" borderId="191" xfId="0" applyNumberFormat="1" applyFont="1" applyFill="1" applyBorder="1" applyAlignment="1" applyProtection="1">
      <alignment horizontal="right" vertical="center"/>
    </xf>
    <xf numFmtId="9" fontId="108" fillId="7" borderId="0" xfId="0" applyNumberFormat="1" applyFont="1" applyFill="1" applyProtection="1"/>
    <xf numFmtId="9" fontId="210" fillId="7" borderId="0" xfId="0" applyNumberFormat="1" applyFont="1" applyFill="1" applyAlignment="1" applyProtection="1">
      <alignment horizontal="center" vertical="center"/>
    </xf>
    <xf numFmtId="180" fontId="208" fillId="7" borderId="191" xfId="0" applyNumberFormat="1" applyFont="1" applyFill="1" applyBorder="1" applyAlignment="1" applyProtection="1"/>
    <xf numFmtId="180" fontId="207" fillId="7" borderId="0" xfId="0" applyNumberFormat="1" applyFont="1" applyFill="1" applyAlignment="1" applyProtection="1"/>
    <xf numFmtId="0" fontId="207" fillId="7" borderId="0" xfId="0" applyFont="1" applyFill="1" applyProtection="1"/>
    <xf numFmtId="0" fontId="108" fillId="7" borderId="0" xfId="0" applyFont="1" applyFill="1" applyAlignment="1" applyProtection="1">
      <alignment horizontal="right"/>
    </xf>
    <xf numFmtId="180" fontId="207" fillId="7" borderId="0" xfId="0" applyNumberFormat="1" applyFont="1" applyFill="1" applyAlignment="1" applyProtection="1">
      <alignment horizontal="right"/>
    </xf>
    <xf numFmtId="0" fontId="108" fillId="7" borderId="0" xfId="0" applyFont="1" applyFill="1" applyBorder="1" applyProtection="1"/>
    <xf numFmtId="0" fontId="212" fillId="7" borderId="0" xfId="0" applyNumberFormat="1" applyFont="1" applyFill="1" applyAlignment="1" applyProtection="1">
      <alignment wrapText="1"/>
    </xf>
    <xf numFmtId="0" fontId="0" fillId="7" borderId="0" xfId="0" applyFill="1" applyProtection="1">
      <protection locked="0"/>
    </xf>
    <xf numFmtId="174" fontId="208" fillId="7" borderId="191" xfId="0" applyNumberFormat="1" applyFont="1" applyFill="1" applyBorder="1" applyAlignment="1" applyProtection="1">
      <alignment horizontal="right" vertical="center"/>
      <protection locked="0"/>
    </xf>
    <xf numFmtId="0" fontId="0" fillId="0" borderId="0" xfId="0" applyAlignment="1">
      <alignment horizontal="left"/>
    </xf>
    <xf numFmtId="9" fontId="0" fillId="0" borderId="0" xfId="1" applyFont="1"/>
    <xf numFmtId="2" fontId="0" fillId="0" borderId="0" xfId="0" applyNumberFormat="1"/>
    <xf numFmtId="9" fontId="209" fillId="7" borderId="6" xfId="1" applyFont="1" applyFill="1" applyBorder="1" applyAlignment="1" applyProtection="1">
      <alignment horizontal="left" vertical="top" wrapText="1"/>
    </xf>
    <xf numFmtId="0" fontId="0" fillId="11" borderId="0" xfId="0" applyFill="1" applyProtection="1"/>
    <xf numFmtId="0" fontId="23" fillId="11" borderId="0" xfId="0" applyFont="1" applyFill="1" applyBorder="1" applyAlignment="1" applyProtection="1"/>
    <xf numFmtId="0" fontId="42" fillId="11" borderId="0" xfId="0" applyFont="1" applyFill="1" applyBorder="1" applyAlignment="1" applyProtection="1"/>
    <xf numFmtId="9" fontId="214" fillId="0" borderId="100" xfId="1" applyFont="1" applyFill="1" applyBorder="1" applyAlignment="1" applyProtection="1">
      <alignment vertical="center" shrinkToFit="1"/>
    </xf>
    <xf numFmtId="0" fontId="33" fillId="7" borderId="0" xfId="0" applyFont="1" applyFill="1" applyBorder="1" applyAlignment="1" applyProtection="1">
      <alignment wrapText="1"/>
    </xf>
    <xf numFmtId="10" fontId="51" fillId="50" borderId="191" xfId="1" applyNumberFormat="1" applyFont="1" applyFill="1" applyBorder="1" applyAlignment="1" applyProtection="1"/>
    <xf numFmtId="0" fontId="204" fillId="7" borderId="0" xfId="0" applyFont="1" applyFill="1" applyAlignment="1" applyProtection="1">
      <alignment horizontal="right"/>
    </xf>
    <xf numFmtId="0" fontId="206" fillId="7" borderId="0" xfId="0" applyFont="1" applyFill="1" applyAlignment="1" applyProtection="1">
      <alignment horizontal="right"/>
    </xf>
    <xf numFmtId="0" fontId="207" fillId="7" borderId="0" xfId="0" applyFont="1" applyFill="1" applyAlignment="1" applyProtection="1">
      <alignment horizontal="right" wrapText="1"/>
    </xf>
    <xf numFmtId="0" fontId="0" fillId="0" borderId="0" xfId="0" applyAlignment="1">
      <alignment horizontal="right" wrapText="1"/>
    </xf>
    <xf numFmtId="0" fontId="209" fillId="7" borderId="6" xfId="0" applyFont="1" applyFill="1" applyBorder="1" applyAlignment="1" applyProtection="1">
      <alignment horizontal="left" vertical="top" wrapText="1"/>
    </xf>
    <xf numFmtId="0" fontId="167" fillId="7" borderId="0" xfId="0" applyFont="1" applyFill="1" applyAlignment="1" applyProtection="1">
      <alignment horizontal="left" wrapText="1"/>
    </xf>
    <xf numFmtId="0" fontId="53" fillId="7" borderId="0" xfId="0" applyNumberFormat="1" applyFont="1" applyFill="1" applyAlignment="1" applyProtection="1">
      <alignment horizontal="center" vertical="center" wrapText="1"/>
    </xf>
    <xf numFmtId="0" fontId="207" fillId="7" borderId="0" xfId="0" applyFont="1" applyFill="1" applyAlignment="1" applyProtection="1">
      <alignment horizontal="right"/>
    </xf>
    <xf numFmtId="0" fontId="150" fillId="7" borderId="229" xfId="0" applyFont="1" applyFill="1" applyBorder="1" applyAlignment="1" applyProtection="1">
      <alignment horizontal="right" vertical="center"/>
    </xf>
    <xf numFmtId="0" fontId="211" fillId="7" borderId="191" xfId="0" applyFont="1" applyFill="1" applyBorder="1" applyAlignment="1" applyProtection="1">
      <alignment horizontal="right"/>
    </xf>
    <xf numFmtId="180" fontId="207" fillId="7" borderId="0" xfId="0" applyNumberFormat="1" applyFont="1" applyFill="1" applyAlignment="1" applyProtection="1">
      <alignment horizontal="right"/>
    </xf>
    <xf numFmtId="0" fontId="42" fillId="7" borderId="0" xfId="0" applyFont="1" applyFill="1" applyAlignment="1" applyProtection="1">
      <alignment horizontal="left" wrapText="1"/>
    </xf>
    <xf numFmtId="0" fontId="42" fillId="7" borderId="0" xfId="0" applyFont="1" applyFill="1" applyAlignment="1" applyProtection="1">
      <alignment horizontal="left"/>
    </xf>
    <xf numFmtId="0" fontId="3" fillId="0" borderId="0" xfId="0" applyFont="1" applyFill="1" applyBorder="1" applyAlignment="1" applyProtection="1">
      <alignment horizontal="center" vertical="center"/>
    </xf>
    <xf numFmtId="0" fontId="3" fillId="2" borderId="141" xfId="0" applyFont="1" applyFill="1" applyBorder="1" applyAlignment="1" applyProtection="1">
      <alignment horizontal="center"/>
      <protection locked="0"/>
    </xf>
    <xf numFmtId="0" fontId="50" fillId="13" borderId="0" xfId="0" applyFont="1" applyFill="1" applyBorder="1" applyAlignment="1" applyProtection="1">
      <alignment horizontal="center"/>
    </xf>
    <xf numFmtId="0" fontId="19" fillId="41" borderId="184" xfId="0" applyFont="1" applyFill="1" applyBorder="1" applyAlignment="1" applyProtection="1">
      <alignment horizontal="center" wrapText="1"/>
      <protection hidden="1"/>
    </xf>
    <xf numFmtId="0" fontId="19" fillId="41" borderId="185" xfId="0" applyFont="1" applyFill="1" applyBorder="1" applyAlignment="1" applyProtection="1">
      <alignment horizontal="center" wrapText="1"/>
      <protection hidden="1"/>
    </xf>
    <xf numFmtId="0" fontId="19" fillId="41" borderId="141" xfId="0" applyFont="1" applyFill="1" applyBorder="1" applyAlignment="1" applyProtection="1">
      <alignment horizontal="center"/>
      <protection hidden="1"/>
    </xf>
    <xf numFmtId="0" fontId="3" fillId="0" borderId="141" xfId="0" applyFont="1" applyFill="1" applyBorder="1" applyAlignment="1" applyProtection="1">
      <alignment horizontal="center"/>
      <protection hidden="1"/>
    </xf>
    <xf numFmtId="0" fontId="3" fillId="0" borderId="141" xfId="0" applyFont="1" applyFill="1" applyBorder="1" applyAlignment="1" applyProtection="1">
      <alignment horizontal="center"/>
      <protection locked="0"/>
    </xf>
    <xf numFmtId="49" fontId="19" fillId="2" borderId="24" xfId="0" applyNumberFormat="1" applyFont="1" applyFill="1" applyBorder="1" applyAlignment="1" applyProtection="1">
      <alignment horizontal="center"/>
      <protection hidden="1"/>
    </xf>
    <xf numFmtId="49" fontId="19" fillId="2" borderId="23" xfId="0" applyNumberFormat="1" applyFont="1" applyFill="1" applyBorder="1" applyAlignment="1" applyProtection="1">
      <alignment horizontal="center"/>
      <protection hidden="1"/>
    </xf>
    <xf numFmtId="0" fontId="17" fillId="13" borderId="155" xfId="0" applyFont="1" applyFill="1" applyBorder="1" applyAlignment="1" applyProtection="1">
      <alignment horizontal="center" vertical="center"/>
      <protection hidden="1"/>
    </xf>
    <xf numFmtId="0" fontId="17" fillId="13" borderId="0" xfId="0" applyFont="1" applyFill="1" applyBorder="1" applyAlignment="1" applyProtection="1">
      <alignment horizontal="center" vertical="center"/>
      <protection hidden="1"/>
    </xf>
    <xf numFmtId="0" fontId="17" fillId="13" borderId="37" xfId="0" applyFont="1" applyFill="1" applyBorder="1" applyAlignment="1" applyProtection="1">
      <alignment horizontal="center" vertical="center"/>
      <protection hidden="1"/>
    </xf>
    <xf numFmtId="0" fontId="17" fillId="13" borderId="38" xfId="0" applyFont="1" applyFill="1" applyBorder="1" applyAlignment="1" applyProtection="1">
      <alignment horizontal="center" vertical="center"/>
      <protection hidden="1"/>
    </xf>
    <xf numFmtId="49" fontId="19" fillId="2" borderId="32" xfId="0" applyNumberFormat="1" applyFont="1" applyFill="1" applyBorder="1" applyAlignment="1" applyProtection="1">
      <alignment horizontal="center"/>
    </xf>
    <xf numFmtId="49" fontId="19" fillId="2" borderId="20" xfId="0" applyNumberFormat="1" applyFont="1" applyFill="1" applyBorder="1" applyAlignment="1" applyProtection="1">
      <alignment horizontal="center"/>
    </xf>
    <xf numFmtId="9" fontId="3" fillId="46" borderId="26" xfId="1" applyFont="1" applyFill="1" applyBorder="1" applyAlignment="1" applyProtection="1">
      <alignment horizontal="center" vertical="center"/>
      <protection hidden="1"/>
    </xf>
    <xf numFmtId="9" fontId="3" fillId="46" borderId="36" xfId="1" applyFont="1" applyFill="1" applyBorder="1" applyAlignment="1" applyProtection="1">
      <alignment horizontal="center" vertical="center"/>
      <protection hidden="1"/>
    </xf>
    <xf numFmtId="0" fontId="3" fillId="2" borderId="0" xfId="0" applyFont="1" applyFill="1" applyBorder="1" applyAlignment="1" applyProtection="1">
      <alignment horizontal="center" vertical="top"/>
    </xf>
    <xf numFmtId="0" fontId="33" fillId="7" borderId="0" xfId="0" applyFont="1" applyFill="1" applyBorder="1" applyAlignment="1" applyProtection="1">
      <alignment horizontal="center"/>
    </xf>
    <xf numFmtId="4" fontId="20" fillId="2" borderId="150" xfId="0" applyNumberFormat="1" applyFont="1" applyFill="1" applyBorder="1" applyAlignment="1" applyProtection="1">
      <alignment horizontal="center"/>
      <protection locked="0"/>
    </xf>
    <xf numFmtId="14" fontId="20" fillId="10" borderId="150" xfId="0" applyNumberFormat="1" applyFont="1" applyFill="1" applyBorder="1" applyAlignment="1" applyProtection="1">
      <alignment horizontal="center"/>
      <protection locked="0"/>
    </xf>
    <xf numFmtId="49" fontId="20" fillId="2" borderId="150" xfId="0" applyNumberFormat="1" applyFont="1" applyFill="1" applyBorder="1" applyAlignment="1" applyProtection="1">
      <alignment horizontal="center"/>
      <protection locked="0"/>
    </xf>
    <xf numFmtId="2" fontId="0" fillId="7" borderId="0" xfId="0" applyNumberFormat="1" applyFill="1" applyBorder="1" applyAlignment="1" applyProtection="1">
      <alignment horizontal="center"/>
    </xf>
    <xf numFmtId="0" fontId="0" fillId="7" borderId="0" xfId="0" applyFill="1" applyBorder="1" applyAlignment="1" applyProtection="1">
      <alignment horizontal="center"/>
    </xf>
    <xf numFmtId="0" fontId="105" fillId="6" borderId="0" xfId="0" applyFont="1" applyFill="1" applyAlignment="1" applyProtection="1">
      <alignment horizontal="center"/>
    </xf>
    <xf numFmtId="0" fontId="28" fillId="13" borderId="22" xfId="0" applyFont="1" applyFill="1" applyBorder="1" applyAlignment="1" applyProtection="1">
      <alignment horizontal="center" vertical="center" wrapText="1"/>
    </xf>
    <xf numFmtId="9" fontId="29" fillId="21" borderId="21" xfId="1" applyFont="1" applyFill="1" applyBorder="1" applyAlignment="1" applyProtection="1">
      <alignment horizontal="center" vertical="center" shrinkToFit="1"/>
      <protection hidden="1"/>
    </xf>
    <xf numFmtId="0" fontId="3" fillId="25" borderId="0" xfId="0" applyFont="1" applyFill="1" applyBorder="1" applyAlignment="1" applyProtection="1">
      <alignment horizontal="center" vertical="center"/>
    </xf>
    <xf numFmtId="0" fontId="147" fillId="2" borderId="0" xfId="0" applyFont="1" applyFill="1" applyBorder="1" applyAlignment="1" applyProtection="1">
      <alignment horizontal="center" vertical="center" wrapText="1"/>
    </xf>
    <xf numFmtId="0" fontId="34" fillId="13" borderId="103" xfId="0" applyFont="1" applyFill="1" applyBorder="1" applyAlignment="1" applyProtection="1">
      <alignment horizontal="center"/>
    </xf>
    <xf numFmtId="9" fontId="51" fillId="0" borderId="0" xfId="1" applyFont="1" applyBorder="1" applyAlignment="1" applyProtection="1">
      <alignment horizontal="left" vertical="center"/>
    </xf>
    <xf numFmtId="0" fontId="18" fillId="13" borderId="207" xfId="0" applyFont="1" applyFill="1" applyBorder="1" applyAlignment="1" applyProtection="1">
      <alignment horizontal="center" vertical="center" wrapText="1"/>
    </xf>
    <xf numFmtId="0" fontId="18" fillId="13" borderId="25" xfId="0" applyFont="1" applyFill="1" applyBorder="1" applyAlignment="1" applyProtection="1">
      <alignment horizontal="center" vertical="center" wrapText="1"/>
    </xf>
    <xf numFmtId="49" fontId="20" fillId="2" borderId="150" xfId="0" applyNumberFormat="1" applyFont="1" applyFill="1" applyBorder="1" applyAlignment="1" applyProtection="1">
      <alignment horizontal="center" vertical="center"/>
      <protection locked="0"/>
    </xf>
    <xf numFmtId="0" fontId="151" fillId="6" borderId="13" xfId="0" applyFont="1" applyFill="1" applyBorder="1" applyAlignment="1" applyProtection="1">
      <alignment horizontal="center"/>
    </xf>
    <xf numFmtId="9" fontId="24" fillId="0" borderId="101" xfId="1" applyFont="1" applyFill="1" applyBorder="1" applyAlignment="1" applyProtection="1">
      <alignment horizontal="center" vertical="center" wrapText="1" shrinkToFit="1"/>
    </xf>
    <xf numFmtId="9" fontId="24" fillId="0" borderId="41" xfId="1" applyFont="1" applyFill="1" applyBorder="1" applyAlignment="1" applyProtection="1">
      <alignment horizontal="center" vertical="center" wrapText="1" shrinkToFit="1"/>
    </xf>
    <xf numFmtId="9" fontId="24" fillId="0" borderId="6" xfId="1" applyFont="1" applyFill="1" applyBorder="1" applyAlignment="1" applyProtection="1">
      <alignment horizontal="center" vertical="center" wrapText="1" shrinkToFit="1"/>
    </xf>
    <xf numFmtId="0" fontId="18" fillId="13" borderId="69" xfId="0" applyFont="1" applyFill="1" applyBorder="1" applyAlignment="1" applyProtection="1">
      <alignment horizontal="left" vertical="center" wrapText="1"/>
    </xf>
    <xf numFmtId="0" fontId="18" fillId="13" borderId="70" xfId="0" applyFont="1" applyFill="1" applyBorder="1" applyAlignment="1" applyProtection="1">
      <alignment horizontal="left" vertical="center" wrapText="1"/>
    </xf>
    <xf numFmtId="0" fontId="18" fillId="13" borderId="68" xfId="0" applyFont="1" applyFill="1" applyBorder="1" applyAlignment="1" applyProtection="1">
      <alignment horizontal="left" vertical="center"/>
      <protection hidden="1"/>
    </xf>
    <xf numFmtId="0" fontId="18" fillId="13" borderId="0" xfId="0" applyFont="1" applyFill="1" applyBorder="1" applyAlignment="1" applyProtection="1">
      <alignment horizontal="left" vertical="center"/>
      <protection hidden="1"/>
    </xf>
    <xf numFmtId="0" fontId="3" fillId="25" borderId="26" xfId="0" applyFont="1" applyFill="1" applyBorder="1" applyAlignment="1" applyProtection="1">
      <alignment horizontal="center" vertical="center"/>
    </xf>
    <xf numFmtId="49" fontId="19" fillId="2" borderId="85" xfId="0" applyNumberFormat="1" applyFont="1" applyFill="1" applyBorder="1" applyAlignment="1" applyProtection="1">
      <alignment horizontal="center" vertical="center"/>
      <protection locked="0"/>
    </xf>
    <xf numFmtId="0" fontId="19" fillId="2" borderId="86" xfId="0" applyFont="1" applyFill="1" applyBorder="1" applyAlignment="1" applyProtection="1">
      <alignment horizontal="center" vertical="center"/>
      <protection locked="0"/>
    </xf>
    <xf numFmtId="0" fontId="50" fillId="13" borderId="0" xfId="0" applyFont="1" applyFill="1" applyBorder="1" applyAlignment="1" applyProtection="1">
      <alignment horizontal="center" vertical="top"/>
    </xf>
    <xf numFmtId="49" fontId="3" fillId="2" borderId="26" xfId="0" applyNumberFormat="1" applyFont="1" applyFill="1" applyBorder="1" applyAlignment="1" applyProtection="1">
      <alignment horizontal="center"/>
      <protection locked="0"/>
    </xf>
    <xf numFmtId="0" fontId="3" fillId="2" borderId="27" xfId="0" applyFont="1" applyFill="1" applyBorder="1" applyAlignment="1" applyProtection="1">
      <alignment horizontal="center"/>
      <protection locked="0"/>
    </xf>
    <xf numFmtId="0" fontId="51" fillId="0" borderId="0" xfId="0" applyFont="1" applyBorder="1" applyAlignment="1" applyProtection="1">
      <alignment horizontal="center" wrapText="1"/>
    </xf>
    <xf numFmtId="0" fontId="51" fillId="0" borderId="0" xfId="0" applyFont="1" applyAlignment="1" applyProtection="1">
      <alignment horizontal="center" wrapText="1"/>
    </xf>
    <xf numFmtId="0" fontId="139" fillId="0" borderId="0" xfId="0" applyFont="1" applyFill="1" applyBorder="1" applyAlignment="1" applyProtection="1">
      <alignment horizontal="center" vertical="center"/>
    </xf>
    <xf numFmtId="49" fontId="19" fillId="2" borderId="26" xfId="0" applyNumberFormat="1" applyFont="1" applyFill="1" applyBorder="1" applyAlignment="1" applyProtection="1">
      <alignment horizontal="center"/>
      <protection locked="0"/>
    </xf>
    <xf numFmtId="0" fontId="19" fillId="2" borderId="27" xfId="0" applyFont="1" applyFill="1" applyBorder="1" applyAlignment="1" applyProtection="1">
      <alignment horizontal="center"/>
      <protection locked="0"/>
    </xf>
    <xf numFmtId="14" fontId="3" fillId="2" borderId="26" xfId="0" applyNumberFormat="1" applyFont="1" applyFill="1" applyBorder="1" applyAlignment="1" applyProtection="1">
      <alignment horizontal="center"/>
      <protection locked="0"/>
    </xf>
    <xf numFmtId="0" fontId="3" fillId="2" borderId="27" xfId="0" applyNumberFormat="1" applyFont="1" applyFill="1" applyBorder="1" applyAlignment="1" applyProtection="1">
      <alignment horizontal="center"/>
      <protection locked="0"/>
    </xf>
    <xf numFmtId="0" fontId="176" fillId="0" borderId="0" xfId="0" applyFont="1" applyFill="1" applyBorder="1" applyAlignment="1" applyProtection="1">
      <alignment horizontal="center" vertical="center" wrapText="1"/>
    </xf>
    <xf numFmtId="0" fontId="49" fillId="0" borderId="0" xfId="0" applyFont="1" applyFill="1" applyBorder="1" applyAlignment="1" applyProtection="1">
      <alignment horizontal="center" vertical="center" wrapText="1"/>
    </xf>
    <xf numFmtId="49" fontId="20" fillId="2" borderId="152" xfId="0" applyNumberFormat="1" applyFont="1" applyFill="1" applyBorder="1" applyAlignment="1" applyProtection="1">
      <alignment horizontal="center"/>
      <protection locked="0"/>
    </xf>
    <xf numFmtId="49" fontId="20" fillId="2" borderId="151" xfId="0" applyNumberFormat="1" applyFont="1" applyFill="1" applyBorder="1" applyAlignment="1" applyProtection="1">
      <alignment horizontal="center"/>
      <protection locked="0"/>
    </xf>
    <xf numFmtId="0" fontId="160" fillId="2" borderId="0" xfId="0" applyFont="1" applyFill="1" applyBorder="1" applyAlignment="1" applyProtection="1">
      <alignment horizontal="center" wrapText="1"/>
    </xf>
    <xf numFmtId="49" fontId="19" fillId="47" borderId="4" xfId="0" applyNumberFormat="1" applyFont="1" applyFill="1" applyBorder="1" applyAlignment="1" applyProtection="1">
      <alignment horizontal="left"/>
      <protection locked="0"/>
    </xf>
    <xf numFmtId="0" fontId="19" fillId="2" borderId="5" xfId="0" applyFont="1" applyFill="1" applyBorder="1" applyAlignment="1" applyProtection="1">
      <alignment horizontal="left"/>
      <protection locked="0"/>
    </xf>
    <xf numFmtId="49" fontId="20" fillId="2" borderId="4" xfId="0" applyNumberFormat="1" applyFont="1" applyFill="1" applyBorder="1" applyAlignment="1" applyProtection="1">
      <alignment horizontal="left"/>
      <protection locked="0"/>
    </xf>
    <xf numFmtId="0" fontId="20" fillId="2" borderId="5" xfId="0" applyFont="1" applyFill="1" applyBorder="1" applyAlignment="1" applyProtection="1">
      <alignment horizontal="left"/>
      <protection locked="0"/>
    </xf>
    <xf numFmtId="49" fontId="3" fillId="11" borderId="4" xfId="0" applyNumberFormat="1" applyFont="1" applyFill="1" applyBorder="1" applyAlignment="1" applyProtection="1">
      <alignment horizontal="left"/>
      <protection locked="0"/>
    </xf>
    <xf numFmtId="0" fontId="3" fillId="11" borderId="14" xfId="0" applyFont="1" applyFill="1" applyBorder="1" applyAlignment="1" applyProtection="1">
      <alignment horizontal="left"/>
      <protection locked="0"/>
    </xf>
    <xf numFmtId="49" fontId="20" fillId="2" borderId="139" xfId="0" applyNumberFormat="1" applyFont="1" applyFill="1" applyBorder="1" applyAlignment="1" applyProtection="1">
      <alignment horizontal="left"/>
      <protection locked="0"/>
    </xf>
    <xf numFmtId="0" fontId="20" fillId="2" borderId="36" xfId="0" applyFont="1" applyFill="1" applyBorder="1" applyAlignment="1" applyProtection="1">
      <alignment horizontal="left"/>
      <protection locked="0"/>
    </xf>
    <xf numFmtId="49" fontId="19" fillId="2" borderId="139" xfId="0" applyNumberFormat="1" applyFont="1" applyFill="1" applyBorder="1" applyAlignment="1" applyProtection="1">
      <alignment horizontal="left"/>
      <protection locked="0"/>
    </xf>
    <xf numFmtId="0" fontId="19" fillId="2" borderId="36" xfId="0" applyFont="1" applyFill="1" applyBorder="1" applyAlignment="1" applyProtection="1">
      <alignment horizontal="left"/>
      <protection locked="0"/>
    </xf>
    <xf numFmtId="49" fontId="19" fillId="2" borderId="139" xfId="0" applyNumberFormat="1" applyFont="1" applyFill="1" applyBorder="1" applyAlignment="1" applyProtection="1">
      <alignment horizontal="left" vertical="center" wrapText="1"/>
      <protection locked="0"/>
    </xf>
    <xf numFmtId="0" fontId="19" fillId="2" borderId="36" xfId="0" applyFont="1" applyFill="1" applyBorder="1" applyAlignment="1" applyProtection="1">
      <alignment horizontal="left" vertical="center" wrapText="1"/>
      <protection locked="0"/>
    </xf>
    <xf numFmtId="49" fontId="19" fillId="2" borderId="139" xfId="0" applyNumberFormat="1" applyFont="1" applyFill="1" applyBorder="1" applyAlignment="1" applyProtection="1">
      <alignment horizontal="left" vertical="center"/>
      <protection locked="0"/>
    </xf>
    <xf numFmtId="0" fontId="19" fillId="2" borderId="36" xfId="0" applyFont="1" applyFill="1" applyBorder="1" applyAlignment="1" applyProtection="1">
      <alignment horizontal="left" vertical="center"/>
      <protection locked="0"/>
    </xf>
    <xf numFmtId="49" fontId="3" fillId="2" borderId="205" xfId="0" applyNumberFormat="1" applyFont="1" applyFill="1" applyBorder="1" applyAlignment="1" applyProtection="1">
      <alignment horizontal="center"/>
      <protection locked="0"/>
    </xf>
    <xf numFmtId="49" fontId="3" fillId="2" borderId="204" xfId="0" applyNumberFormat="1" applyFont="1" applyFill="1" applyBorder="1" applyAlignment="1" applyProtection="1">
      <alignment horizontal="center"/>
      <protection locked="0"/>
    </xf>
    <xf numFmtId="14" fontId="19" fillId="0" borderId="138" xfId="3" applyNumberFormat="1" applyFont="1" applyFill="1" applyBorder="1" applyAlignment="1" applyProtection="1">
      <alignment horizontal="left" vertical="center" shrinkToFit="1"/>
      <protection locked="0"/>
    </xf>
    <xf numFmtId="14" fontId="19" fillId="0" borderId="139" xfId="3" applyNumberFormat="1" applyFont="1" applyFill="1" applyBorder="1" applyAlignment="1" applyProtection="1">
      <alignment horizontal="left" vertical="center" shrinkToFit="1"/>
      <protection locked="0"/>
    </xf>
    <xf numFmtId="0" fontId="164" fillId="0" borderId="0" xfId="0" applyFont="1" applyBorder="1" applyAlignment="1" applyProtection="1">
      <alignment horizontal="center" vertical="center" wrapText="1"/>
    </xf>
    <xf numFmtId="0" fontId="78" fillId="7" borderId="0" xfId="0" applyFont="1" applyFill="1" applyBorder="1" applyAlignment="1" applyProtection="1">
      <alignment horizontal="center" vertical="center" wrapText="1"/>
      <protection hidden="1"/>
    </xf>
    <xf numFmtId="0" fontId="78" fillId="7" borderId="0" xfId="0" applyFont="1" applyFill="1" applyAlignment="1" applyProtection="1">
      <alignment horizontal="center" vertical="center" wrapText="1"/>
      <protection hidden="1"/>
    </xf>
    <xf numFmtId="0" fontId="19" fillId="0" borderId="0" xfId="3" applyNumberFormat="1" applyFont="1" applyFill="1" applyBorder="1" applyAlignment="1" applyProtection="1">
      <alignment horizontal="center" vertical="center" shrinkToFit="1"/>
      <protection locked="0"/>
    </xf>
    <xf numFmtId="178" fontId="142" fillId="0" borderId="0" xfId="3" applyNumberFormat="1" applyFont="1" applyFill="1" applyBorder="1" applyAlignment="1" applyProtection="1">
      <alignment horizontal="center" vertical="center" shrinkToFit="1"/>
    </xf>
    <xf numFmtId="0" fontId="18" fillId="13" borderId="0" xfId="0" applyFont="1" applyFill="1" applyBorder="1" applyAlignment="1" applyProtection="1">
      <alignment horizontal="center" vertical="center" wrapText="1"/>
    </xf>
    <xf numFmtId="0" fontId="144" fillId="0" borderId="181" xfId="0" applyFont="1" applyBorder="1" applyAlignment="1" applyProtection="1">
      <alignment horizontal="center" vertical="center"/>
      <protection locked="0"/>
    </xf>
    <xf numFmtId="0" fontId="144" fillId="0" borderId="180" xfId="0" applyFont="1" applyBorder="1" applyAlignment="1" applyProtection="1">
      <alignment horizontal="center" vertical="center"/>
      <protection locked="0"/>
    </xf>
    <xf numFmtId="178" fontId="142" fillId="0" borderId="0" xfId="3" applyNumberFormat="1" applyFont="1" applyFill="1" applyBorder="1" applyAlignment="1" applyProtection="1">
      <alignment horizontal="left" vertical="center" shrinkToFit="1"/>
    </xf>
    <xf numFmtId="1" fontId="88" fillId="13" borderId="2" xfId="2" applyNumberFormat="1" applyFont="1" applyFill="1" applyBorder="1" applyAlignment="1" applyProtection="1">
      <alignment horizontal="center"/>
      <protection locked="0"/>
    </xf>
    <xf numFmtId="1" fontId="88" fillId="13" borderId="30" xfId="2" applyNumberFormat="1" applyFont="1" applyFill="1" applyBorder="1" applyAlignment="1" applyProtection="1">
      <alignment horizontal="center"/>
      <protection locked="0"/>
    </xf>
    <xf numFmtId="1" fontId="88" fillId="13" borderId="3" xfId="2" applyNumberFormat="1" applyFont="1" applyFill="1" applyBorder="1" applyAlignment="1" applyProtection="1">
      <alignment horizontal="center"/>
      <protection locked="0"/>
    </xf>
    <xf numFmtId="0" fontId="84" fillId="7" borderId="10" xfId="2" applyFont="1" applyFill="1" applyBorder="1" applyAlignment="1">
      <alignment horizontal="center"/>
    </xf>
    <xf numFmtId="0" fontId="84" fillId="7" borderId="12" xfId="2" applyFont="1" applyFill="1" applyBorder="1" applyAlignment="1">
      <alignment horizontal="center"/>
    </xf>
    <xf numFmtId="0" fontId="85" fillId="7" borderId="12" xfId="2" applyFont="1" applyFill="1" applyBorder="1" applyAlignment="1">
      <alignment horizontal="center"/>
    </xf>
    <xf numFmtId="0" fontId="85" fillId="7" borderId="11" xfId="2" applyFont="1" applyFill="1" applyBorder="1" applyAlignment="1">
      <alignment horizontal="center"/>
    </xf>
    <xf numFmtId="0" fontId="87" fillId="2" borderId="6" xfId="5" applyFont="1" applyFill="1" applyBorder="1" applyAlignment="1" applyProtection="1">
      <alignment horizontal="center"/>
    </xf>
    <xf numFmtId="0" fontId="87" fillId="2" borderId="0" xfId="5" applyFont="1" applyFill="1" applyBorder="1" applyAlignment="1" applyProtection="1">
      <alignment horizontal="center"/>
    </xf>
    <xf numFmtId="0" fontId="87" fillId="2" borderId="7" xfId="5" applyFont="1" applyFill="1" applyBorder="1" applyAlignment="1" applyProtection="1">
      <alignment horizontal="center"/>
    </xf>
    <xf numFmtId="0" fontId="84" fillId="2" borderId="6" xfId="5" applyFont="1" applyFill="1" applyBorder="1" applyAlignment="1" applyProtection="1">
      <alignment horizontal="center"/>
      <protection hidden="1"/>
    </xf>
    <xf numFmtId="0" fontId="84" fillId="2" borderId="0" xfId="5" applyFont="1" applyFill="1" applyBorder="1" applyAlignment="1" applyProtection="1">
      <alignment horizontal="center"/>
      <protection hidden="1"/>
    </xf>
    <xf numFmtId="0" fontId="84" fillId="2" borderId="101" xfId="5" applyFont="1" applyFill="1" applyBorder="1" applyAlignment="1" applyProtection="1">
      <alignment horizontal="center"/>
      <protection hidden="1"/>
    </xf>
    <xf numFmtId="0" fontId="84" fillId="2" borderId="8" xfId="2" applyFont="1" applyFill="1" applyBorder="1" applyAlignment="1">
      <alignment horizontal="right"/>
    </xf>
    <xf numFmtId="0" fontId="84" fillId="2" borderId="9" xfId="2" applyFont="1" applyFill="1" applyBorder="1" applyAlignment="1">
      <alignment horizontal="right"/>
    </xf>
    <xf numFmtId="0" fontId="84" fillId="25" borderId="2" xfId="5" applyFont="1" applyFill="1" applyBorder="1" applyAlignment="1">
      <alignment horizontal="center"/>
    </xf>
    <xf numFmtId="0" fontId="84" fillId="25" borderId="51" xfId="5" applyFont="1" applyFill="1" applyBorder="1" applyAlignment="1">
      <alignment horizontal="center"/>
    </xf>
    <xf numFmtId="0" fontId="84" fillId="25" borderId="33" xfId="5" applyFont="1" applyFill="1" applyBorder="1" applyAlignment="1">
      <alignment horizontal="center"/>
    </xf>
    <xf numFmtId="0" fontId="86" fillId="0" borderId="0" xfId="2" applyFont="1" applyFill="1" applyBorder="1" applyAlignment="1" applyProtection="1">
      <alignment horizontal="left"/>
      <protection hidden="1"/>
    </xf>
    <xf numFmtId="10" fontId="90" fillId="7" borderId="0" xfId="2" applyNumberFormat="1" applyFont="1" applyFill="1" applyBorder="1" applyAlignment="1">
      <alignment horizontal="left"/>
    </xf>
    <xf numFmtId="0" fontId="84" fillId="0" borderId="169" xfId="2" applyFont="1" applyFill="1" applyBorder="1" applyAlignment="1">
      <alignment horizontal="center"/>
    </xf>
    <xf numFmtId="0" fontId="84" fillId="0" borderId="170" xfId="2" applyFont="1" applyFill="1" applyBorder="1" applyAlignment="1">
      <alignment horizontal="center"/>
    </xf>
    <xf numFmtId="0" fontId="95" fillId="13" borderId="53" xfId="2" applyFont="1" applyFill="1" applyBorder="1" applyAlignment="1">
      <alignment horizontal="center"/>
    </xf>
    <xf numFmtId="0" fontId="95" fillId="13" borderId="54" xfId="2" applyFont="1" applyFill="1" applyBorder="1" applyAlignment="1">
      <alignment horizontal="center"/>
    </xf>
    <xf numFmtId="0" fontId="95" fillId="13" borderId="55" xfId="2" applyFont="1" applyFill="1" applyBorder="1" applyAlignment="1">
      <alignment horizontal="center"/>
    </xf>
    <xf numFmtId="0" fontId="95" fillId="13" borderId="56" xfId="2" applyFont="1" applyFill="1" applyBorder="1" applyAlignment="1">
      <alignment horizontal="center"/>
    </xf>
    <xf numFmtId="0" fontId="4" fillId="2" borderId="6" xfId="2" applyFont="1" applyFill="1" applyBorder="1" applyAlignment="1">
      <alignment horizontal="left" vertical="top" wrapText="1"/>
    </xf>
    <xf numFmtId="0" fontId="4" fillId="7" borderId="0" xfId="2" applyFont="1" applyFill="1" applyBorder="1" applyAlignment="1">
      <alignment horizontal="left" vertical="top" wrapText="1"/>
    </xf>
    <xf numFmtId="0" fontId="4" fillId="2" borderId="7" xfId="2" applyFont="1" applyFill="1" applyBorder="1" applyAlignment="1">
      <alignment horizontal="left" vertical="top" wrapText="1"/>
    </xf>
    <xf numFmtId="0" fontId="96" fillId="0" borderId="2" xfId="2" applyFont="1" applyBorder="1" applyAlignment="1" applyProtection="1">
      <alignment horizontal="center" vertical="top" wrapText="1"/>
    </xf>
    <xf numFmtId="0" fontId="96" fillId="0" borderId="51" xfId="2" applyFont="1" applyBorder="1" applyAlignment="1" applyProtection="1">
      <alignment vertical="top"/>
    </xf>
    <xf numFmtId="0" fontId="96" fillId="0" borderId="33" xfId="2" applyFont="1" applyBorder="1" applyAlignment="1" applyProtection="1">
      <alignment vertical="top"/>
    </xf>
    <xf numFmtId="0" fontId="84" fillId="7" borderId="0" xfId="2" applyFont="1" applyFill="1" applyBorder="1" applyAlignment="1">
      <alignment horizontal="center"/>
    </xf>
    <xf numFmtId="0" fontId="84" fillId="7" borderId="61" xfId="2" applyFont="1" applyFill="1" applyBorder="1" applyAlignment="1">
      <alignment horizontal="center"/>
    </xf>
    <xf numFmtId="0" fontId="84" fillId="7" borderId="62" xfId="2" applyFont="1" applyFill="1" applyBorder="1" applyAlignment="1">
      <alignment horizontal="center"/>
    </xf>
    <xf numFmtId="0" fontId="84" fillId="7" borderId="63" xfId="2" applyFont="1" applyFill="1" applyBorder="1" applyAlignment="1">
      <alignment horizontal="center"/>
    </xf>
    <xf numFmtId="0" fontId="84" fillId="7" borderId="58" xfId="2" applyFont="1" applyFill="1" applyBorder="1" applyAlignment="1">
      <alignment horizontal="left"/>
    </xf>
    <xf numFmtId="0" fontId="4" fillId="2" borderId="64" xfId="2" applyFont="1" applyFill="1" applyBorder="1" applyAlignment="1">
      <alignment horizontal="left" vertical="top" wrapText="1"/>
    </xf>
    <xf numFmtId="0" fontId="4" fillId="2" borderId="52" xfId="2" applyFont="1" applyFill="1" applyBorder="1" applyAlignment="1">
      <alignment horizontal="left" vertical="top" wrapText="1"/>
    </xf>
    <xf numFmtId="0" fontId="4" fillId="2" borderId="65" xfId="2" applyFont="1" applyFill="1" applyBorder="1" applyAlignment="1">
      <alignment horizontal="left" vertical="top" wrapText="1"/>
    </xf>
    <xf numFmtId="0" fontId="137" fillId="2" borderId="6" xfId="2" applyFont="1" applyFill="1" applyBorder="1" applyAlignment="1">
      <alignment horizontal="center"/>
    </xf>
    <xf numFmtId="0" fontId="137" fillId="2" borderId="0" xfId="2" applyFont="1" applyFill="1" applyBorder="1" applyAlignment="1">
      <alignment horizontal="center"/>
    </xf>
    <xf numFmtId="0" fontId="137" fillId="2" borderId="101" xfId="2" applyFont="1" applyFill="1" applyBorder="1" applyAlignment="1">
      <alignment horizontal="center"/>
    </xf>
    <xf numFmtId="0" fontId="86" fillId="2" borderId="6" xfId="2" applyFont="1" applyFill="1" applyBorder="1" applyAlignment="1" applyProtection="1">
      <alignment horizontal="center" vertical="top" wrapText="1"/>
      <protection locked="0"/>
    </xf>
    <xf numFmtId="0" fontId="86" fillId="2" borderId="0" xfId="2" applyFont="1" applyFill="1" applyBorder="1" applyAlignment="1" applyProtection="1">
      <alignment horizontal="center" vertical="top" wrapText="1"/>
      <protection locked="0"/>
    </xf>
    <xf numFmtId="0" fontId="86" fillId="2" borderId="101" xfId="2" applyFont="1" applyFill="1" applyBorder="1" applyAlignment="1" applyProtection="1">
      <alignment horizontal="center" vertical="top" wrapText="1"/>
      <protection locked="0"/>
    </xf>
    <xf numFmtId="0" fontId="86" fillId="2" borderId="107" xfId="2" applyFont="1" applyFill="1" applyBorder="1" applyAlignment="1" applyProtection="1">
      <alignment horizontal="center" vertical="top" wrapText="1"/>
      <protection locked="0"/>
    </xf>
    <xf numFmtId="0" fontId="86" fillId="2" borderId="134" xfId="2" applyFont="1" applyFill="1" applyBorder="1" applyAlignment="1" applyProtection="1">
      <alignment horizontal="center" vertical="top" wrapText="1"/>
      <protection locked="0"/>
    </xf>
    <xf numFmtId="0" fontId="86" fillId="2" borderId="135" xfId="2" applyFont="1" applyFill="1" applyBorder="1" applyAlignment="1" applyProtection="1">
      <alignment horizontal="center" vertical="top" wrapText="1"/>
      <protection locked="0"/>
    </xf>
    <xf numFmtId="0" fontId="35" fillId="2" borderId="104" xfId="2" applyFont="1" applyFill="1" applyBorder="1" applyAlignment="1" applyProtection="1">
      <alignment horizontal="center" vertical="center"/>
      <protection hidden="1"/>
    </xf>
    <xf numFmtId="0" fontId="35" fillId="2" borderId="136" xfId="2" applyFont="1" applyFill="1" applyBorder="1" applyAlignment="1" applyProtection="1">
      <alignment horizontal="center" vertical="center"/>
      <protection hidden="1"/>
    </xf>
    <xf numFmtId="0" fontId="35" fillId="2" borderId="137" xfId="2" applyFont="1" applyFill="1" applyBorder="1" applyAlignment="1" applyProtection="1">
      <alignment horizontal="center" vertical="center"/>
      <protection hidden="1"/>
    </xf>
    <xf numFmtId="0" fontId="4" fillId="0" borderId="6" xfId="2" applyFont="1" applyFill="1" applyBorder="1" applyAlignment="1">
      <alignment horizontal="left" wrapText="1"/>
    </xf>
    <xf numFmtId="0" fontId="4" fillId="0" borderId="0" xfId="2" applyFont="1" applyFill="1" applyBorder="1" applyAlignment="1">
      <alignment horizontal="left" wrapText="1"/>
    </xf>
    <xf numFmtId="0" fontId="4" fillId="0" borderId="203" xfId="2" applyFont="1" applyFill="1" applyBorder="1" applyAlignment="1">
      <alignment horizontal="left" wrapText="1"/>
    </xf>
    <xf numFmtId="0" fontId="4" fillId="0" borderId="107" xfId="2" applyFont="1" applyFill="1" applyBorder="1" applyAlignment="1">
      <alignment horizontal="left" vertical="top" wrapText="1"/>
    </xf>
    <xf numFmtId="0" fontId="4" fillId="0" borderId="108" xfId="2" applyFont="1" applyFill="1" applyBorder="1" applyAlignment="1">
      <alignment horizontal="left" vertical="top" wrapText="1"/>
    </xf>
    <xf numFmtId="0" fontId="4" fillId="0" borderId="109" xfId="2" applyFont="1" applyFill="1" applyBorder="1" applyAlignment="1">
      <alignment horizontal="left" vertical="top" wrapText="1"/>
    </xf>
    <xf numFmtId="0" fontId="84" fillId="41" borderId="58" xfId="2" applyFont="1" applyFill="1" applyBorder="1" applyAlignment="1" applyProtection="1">
      <alignment horizontal="left"/>
      <protection hidden="1"/>
    </xf>
    <xf numFmtId="4" fontId="84" fillId="6" borderId="59" xfId="2" applyNumberFormat="1" applyFont="1" applyFill="1" applyBorder="1" applyAlignment="1" applyProtection="1">
      <alignment horizontal="left"/>
      <protection hidden="1"/>
    </xf>
    <xf numFmtId="0" fontId="86" fillId="7" borderId="57" xfId="2" applyFont="1" applyFill="1" applyBorder="1" applyAlignment="1" applyProtection="1">
      <alignment horizontal="left"/>
      <protection hidden="1"/>
    </xf>
    <xf numFmtId="0" fontId="86" fillId="7" borderId="58" xfId="2" applyFont="1" applyFill="1" applyBorder="1" applyAlignment="1" applyProtection="1">
      <alignment horizontal="left"/>
      <protection hidden="1"/>
    </xf>
    <xf numFmtId="4" fontId="84" fillId="7" borderId="58" xfId="2" applyNumberFormat="1" applyFont="1" applyFill="1" applyBorder="1" applyAlignment="1" applyProtection="1">
      <alignment horizontal="left"/>
      <protection hidden="1"/>
    </xf>
    <xf numFmtId="0" fontId="84" fillId="7" borderId="58" xfId="2" applyFont="1" applyFill="1" applyBorder="1" applyAlignment="1" applyProtection="1">
      <alignment horizontal="left"/>
      <protection hidden="1"/>
    </xf>
    <xf numFmtId="0" fontId="86" fillId="7" borderId="59" xfId="2" applyFont="1" applyFill="1" applyBorder="1" applyAlignment="1" applyProtection="1">
      <alignment horizontal="left"/>
      <protection hidden="1"/>
    </xf>
    <xf numFmtId="0" fontId="97" fillId="13" borderId="25" xfId="2" applyFont="1" applyFill="1" applyBorder="1" applyAlignment="1">
      <alignment horizontal="left"/>
    </xf>
    <xf numFmtId="0" fontId="86" fillId="0" borderId="2" xfId="2" applyNumberFormat="1" applyFont="1" applyBorder="1" applyAlignment="1" applyProtection="1">
      <alignment horizontal="left"/>
      <protection hidden="1"/>
    </xf>
    <xf numFmtId="0" fontId="86" fillId="0" borderId="51" xfId="2" applyNumberFormat="1" applyFont="1" applyBorder="1" applyAlignment="1" applyProtection="1">
      <alignment horizontal="left"/>
      <protection hidden="1"/>
    </xf>
    <xf numFmtId="0" fontId="86" fillId="0" borderId="33" xfId="2" applyNumberFormat="1" applyFont="1" applyBorder="1" applyAlignment="1" applyProtection="1">
      <alignment horizontal="left"/>
      <protection hidden="1"/>
    </xf>
    <xf numFmtId="0" fontId="86" fillId="0" borderId="2" xfId="2" applyFont="1" applyBorder="1" applyAlignment="1">
      <alignment horizontal="center"/>
    </xf>
    <xf numFmtId="0" fontId="86" fillId="0" borderId="51" xfId="2" applyFont="1" applyBorder="1" applyAlignment="1">
      <alignment horizontal="center"/>
    </xf>
    <xf numFmtId="0" fontId="86" fillId="0" borderId="33" xfId="2" applyFont="1" applyBorder="1" applyAlignment="1">
      <alignment horizontal="center"/>
    </xf>
    <xf numFmtId="0" fontId="86" fillId="2" borderId="2" xfId="2" applyFont="1" applyFill="1" applyBorder="1" applyAlignment="1">
      <alignment horizontal="left"/>
    </xf>
    <xf numFmtId="0" fontId="86" fillId="2" borderId="33" xfId="2" applyFont="1" applyFill="1" applyBorder="1" applyAlignment="1">
      <alignment horizontal="left"/>
    </xf>
    <xf numFmtId="0" fontId="86" fillId="0" borderId="25" xfId="2" applyNumberFormat="1" applyFont="1" applyFill="1" applyBorder="1" applyAlignment="1" applyProtection="1">
      <alignment horizontal="center"/>
      <protection hidden="1"/>
    </xf>
    <xf numFmtId="0" fontId="86" fillId="2" borderId="2" xfId="2" applyFont="1" applyFill="1" applyBorder="1" applyAlignment="1" applyProtection="1">
      <alignment horizontal="left"/>
      <protection locked="0"/>
    </xf>
    <xf numFmtId="0" fontId="86" fillId="2" borderId="33" xfId="2" applyFont="1" applyFill="1" applyBorder="1" applyAlignment="1" applyProtection="1">
      <alignment horizontal="left"/>
      <protection locked="0"/>
    </xf>
    <xf numFmtId="175" fontId="86" fillId="2" borderId="51" xfId="2" applyNumberFormat="1" applyFont="1" applyFill="1" applyBorder="1" applyAlignment="1" applyProtection="1">
      <alignment horizontal="center"/>
    </xf>
    <xf numFmtId="175" fontId="86" fillId="0" borderId="33" xfId="2" applyNumberFormat="1" applyFont="1" applyBorder="1" applyAlignment="1" applyProtection="1">
      <alignment horizontal="center"/>
    </xf>
    <xf numFmtId="0" fontId="7" fillId="42" borderId="0" xfId="0" applyFont="1" applyFill="1" applyAlignment="1" applyProtection="1">
      <alignment horizontal="center" vertical="center"/>
      <protection hidden="1"/>
    </xf>
    <xf numFmtId="0" fontId="36" fillId="8" borderId="2" xfId="0" applyFont="1" applyFill="1" applyBorder="1" applyAlignment="1" applyProtection="1">
      <alignment horizontal="center"/>
      <protection hidden="1"/>
    </xf>
    <xf numFmtId="0" fontId="36" fillId="8" borderId="33" xfId="0" applyFont="1" applyFill="1" applyBorder="1" applyAlignment="1" applyProtection="1">
      <alignment horizontal="center"/>
      <protection hidden="1"/>
    </xf>
    <xf numFmtId="0" fontId="33" fillId="35" borderId="25" xfId="0" applyFont="1" applyFill="1" applyBorder="1" applyAlignment="1" applyProtection="1">
      <alignment horizontal="center"/>
      <protection hidden="1"/>
    </xf>
    <xf numFmtId="0" fontId="0" fillId="34" borderId="71" xfId="0" applyFill="1" applyBorder="1" applyAlignment="1" applyProtection="1">
      <alignment horizontal="center"/>
      <protection hidden="1"/>
    </xf>
    <xf numFmtId="0" fontId="0" fillId="34" borderId="72" xfId="0" applyFill="1" applyBorder="1" applyAlignment="1" applyProtection="1">
      <alignment horizontal="center"/>
      <protection hidden="1"/>
    </xf>
    <xf numFmtId="2" fontId="0" fillId="34" borderId="71" xfId="0" applyNumberFormat="1" applyFill="1" applyBorder="1" applyAlignment="1" applyProtection="1">
      <alignment horizontal="center"/>
      <protection hidden="1"/>
    </xf>
    <xf numFmtId="2" fontId="0" fillId="34" borderId="72" xfId="0" applyNumberFormat="1" applyFill="1" applyBorder="1" applyAlignment="1" applyProtection="1">
      <alignment horizontal="center"/>
      <protection hidden="1"/>
    </xf>
    <xf numFmtId="0" fontId="81" fillId="30" borderId="0" xfId="0" applyFont="1" applyFill="1" applyAlignment="1" applyProtection="1">
      <alignment horizontal="center"/>
      <protection hidden="1"/>
    </xf>
    <xf numFmtId="0" fontId="148" fillId="12" borderId="25" xfId="0" applyFont="1" applyFill="1" applyBorder="1" applyAlignment="1" applyProtection="1">
      <alignment horizontal="center"/>
      <protection hidden="1"/>
    </xf>
    <xf numFmtId="0" fontId="0" fillId="0" borderId="0" xfId="0" applyAlignment="1" applyProtection="1">
      <alignment horizontal="center" vertical="center"/>
    </xf>
    <xf numFmtId="49" fontId="19" fillId="2" borderId="139" xfId="0" applyNumberFormat="1" applyFont="1" applyFill="1" applyBorder="1" applyAlignment="1" applyProtection="1">
      <alignment horizontal="center"/>
      <protection locked="0"/>
    </xf>
    <xf numFmtId="49" fontId="19" fillId="2" borderId="86" xfId="0" applyNumberFormat="1" applyFont="1" applyFill="1" applyBorder="1" applyAlignment="1" applyProtection="1">
      <alignment horizontal="center"/>
      <protection locked="0"/>
    </xf>
    <xf numFmtId="0" fontId="36" fillId="20" borderId="25" xfId="0" applyFont="1" applyFill="1" applyBorder="1" applyAlignment="1" applyProtection="1">
      <alignment horizontal="center"/>
      <protection hidden="1"/>
    </xf>
    <xf numFmtId="0" fontId="0" fillId="45" borderId="102" xfId="0" applyFill="1" applyBorder="1" applyAlignment="1" applyProtection="1">
      <alignment horizontal="center"/>
    </xf>
    <xf numFmtId="0" fontId="35" fillId="18" borderId="2" xfId="0" applyFont="1" applyFill="1" applyBorder="1" applyAlignment="1" applyProtection="1">
      <alignment horizontal="center"/>
      <protection hidden="1"/>
    </xf>
    <xf numFmtId="0" fontId="35" fillId="18" borderId="3" xfId="0" applyFont="1" applyFill="1" applyBorder="1" applyAlignment="1" applyProtection="1">
      <alignment horizontal="center"/>
      <protection hidden="1"/>
    </xf>
    <xf numFmtId="0" fontId="4" fillId="18" borderId="2" xfId="0" applyFont="1" applyFill="1" applyBorder="1" applyAlignment="1" applyProtection="1">
      <alignment horizontal="center"/>
      <protection hidden="1"/>
    </xf>
    <xf numFmtId="0" fontId="4" fillId="18" borderId="3" xfId="0" applyFont="1" applyFill="1" applyBorder="1" applyAlignment="1" applyProtection="1">
      <alignment horizontal="center"/>
      <protection hidden="1"/>
    </xf>
    <xf numFmtId="0" fontId="35" fillId="19" borderId="2" xfId="0" applyFont="1" applyFill="1" applyBorder="1" applyAlignment="1" applyProtection="1">
      <alignment horizontal="center"/>
      <protection hidden="1"/>
    </xf>
    <xf numFmtId="0" fontId="35" fillId="19" borderId="3" xfId="0" applyFont="1" applyFill="1" applyBorder="1" applyAlignment="1" applyProtection="1">
      <alignment horizontal="center"/>
      <protection hidden="1"/>
    </xf>
    <xf numFmtId="0" fontId="33" fillId="48" borderId="102" xfId="0" applyFont="1" applyFill="1" applyBorder="1" applyAlignment="1" applyProtection="1">
      <alignment horizontal="center" vertical="center"/>
    </xf>
    <xf numFmtId="49" fontId="19" fillId="2" borderId="4" xfId="0" applyNumberFormat="1" applyFont="1" applyFill="1" applyBorder="1" applyAlignment="1" applyProtection="1">
      <alignment horizontal="left"/>
    </xf>
    <xf numFmtId="0" fontId="19" fillId="2" borderId="14" xfId="0" applyFont="1" applyFill="1" applyBorder="1" applyAlignment="1" applyProtection="1">
      <alignment horizontal="left"/>
    </xf>
    <xf numFmtId="0" fontId="135" fillId="0" borderId="0" xfId="0" applyFont="1" applyFill="1" applyBorder="1" applyAlignment="1" applyProtection="1">
      <alignment horizontal="center" vertical="center" wrapText="1"/>
      <protection hidden="1"/>
    </xf>
    <xf numFmtId="178" fontId="19" fillId="0" borderId="0" xfId="3" applyNumberFormat="1" applyFont="1" applyFill="1" applyBorder="1" applyAlignment="1" applyProtection="1">
      <alignment horizontal="center" vertical="center" shrinkToFit="1"/>
    </xf>
    <xf numFmtId="49" fontId="19" fillId="2" borderId="4" xfId="0" applyNumberFormat="1" applyFont="1" applyFill="1" applyBorder="1" applyAlignment="1" applyProtection="1">
      <alignment horizontal="left"/>
      <protection locked="0"/>
    </xf>
    <xf numFmtId="0" fontId="19" fillId="2" borderId="14" xfId="0" applyFont="1" applyFill="1" applyBorder="1" applyAlignment="1" applyProtection="1">
      <alignment horizontal="left"/>
      <protection locked="0"/>
    </xf>
    <xf numFmtId="0" fontId="152" fillId="6" borderId="13" xfId="0" applyFont="1" applyFill="1" applyBorder="1" applyAlignment="1" applyProtection="1">
      <alignment horizontal="center"/>
    </xf>
    <xf numFmtId="49" fontId="19" fillId="2" borderId="24" xfId="0" applyNumberFormat="1" applyFont="1" applyFill="1" applyBorder="1" applyAlignment="1" applyProtection="1">
      <alignment horizontal="left"/>
      <protection locked="0"/>
    </xf>
    <xf numFmtId="49" fontId="19" fillId="2" borderId="23" xfId="0" applyNumberFormat="1" applyFont="1" applyFill="1" applyBorder="1" applyAlignment="1" applyProtection="1">
      <alignment horizontal="left"/>
      <protection locked="0"/>
    </xf>
    <xf numFmtId="0" fontId="50" fillId="0" borderId="0" xfId="0" applyFont="1" applyFill="1" applyBorder="1" applyAlignment="1" applyProtection="1">
      <alignment horizontal="center" vertical="center" wrapText="1"/>
      <protection hidden="1"/>
    </xf>
    <xf numFmtId="0" fontId="19" fillId="0" borderId="0" xfId="3" applyNumberFormat="1" applyFont="1" applyFill="1" applyBorder="1" applyAlignment="1" applyProtection="1">
      <alignment horizontal="center" vertical="center" shrinkToFit="1"/>
    </xf>
    <xf numFmtId="9" fontId="29" fillId="9" borderId="21" xfId="1" applyFont="1" applyFill="1" applyBorder="1" applyAlignment="1" applyProtection="1">
      <alignment horizontal="center" vertical="center" shrinkToFit="1"/>
      <protection hidden="1"/>
    </xf>
    <xf numFmtId="14" fontId="3" fillId="0" borderId="0" xfId="0" applyNumberFormat="1" applyFont="1" applyFill="1" applyBorder="1" applyAlignment="1" applyProtection="1">
      <alignment horizontal="center"/>
    </xf>
    <xf numFmtId="0" fontId="3" fillId="0" borderId="0" xfId="0" applyNumberFormat="1" applyFont="1" applyFill="1" applyBorder="1" applyAlignment="1" applyProtection="1">
      <alignment horizontal="center"/>
    </xf>
    <xf numFmtId="0" fontId="20" fillId="2" borderId="150" xfId="0" applyNumberFormat="1" applyFont="1" applyFill="1" applyBorder="1" applyAlignment="1" applyProtection="1">
      <alignment horizontal="center"/>
      <protection locked="0"/>
    </xf>
    <xf numFmtId="0" fontId="14" fillId="6" borderId="13" xfId="0" applyFont="1" applyFill="1" applyBorder="1" applyAlignment="1" applyProtection="1">
      <alignment horizontal="center"/>
    </xf>
    <xf numFmtId="0" fontId="154" fillId="0" borderId="0" xfId="0" applyFont="1" applyFill="1" applyBorder="1" applyAlignment="1" applyProtection="1">
      <alignment horizontal="center" vertical="center" wrapText="1"/>
    </xf>
    <xf numFmtId="0" fontId="18" fillId="0" borderId="0" xfId="0" applyFont="1" applyFill="1" applyBorder="1" applyAlignment="1" applyProtection="1">
      <alignment horizontal="left" vertical="center" wrapText="1"/>
    </xf>
    <xf numFmtId="39" fontId="19" fillId="0" borderId="0" xfId="3" applyNumberFormat="1" applyFont="1" applyFill="1" applyBorder="1" applyAlignment="1" applyProtection="1">
      <alignment horizontal="right" vertical="center" shrinkToFit="1"/>
      <protection hidden="1"/>
    </xf>
    <xf numFmtId="0" fontId="124" fillId="0" borderId="0" xfId="0" applyFont="1" applyBorder="1" applyAlignment="1" applyProtection="1">
      <alignment horizontal="center" vertical="center" wrapText="1"/>
    </xf>
    <xf numFmtId="4" fontId="145" fillId="0" borderId="181" xfId="1" applyNumberFormat="1" applyFont="1" applyFill="1" applyBorder="1" applyAlignment="1" applyProtection="1">
      <alignment horizontal="center" vertical="center" shrinkToFit="1"/>
      <protection hidden="1"/>
    </xf>
    <xf numFmtId="4" fontId="145" fillId="0" borderId="180" xfId="1" applyNumberFormat="1" applyFont="1" applyFill="1" applyBorder="1" applyAlignment="1" applyProtection="1">
      <alignment horizontal="center" vertical="center" shrinkToFit="1"/>
      <protection hidden="1"/>
    </xf>
    <xf numFmtId="0" fontId="146" fillId="19" borderId="0" xfId="0" applyFont="1" applyFill="1" applyBorder="1" applyAlignment="1" applyProtection="1">
      <alignment horizontal="center" vertical="center" wrapText="1"/>
    </xf>
    <xf numFmtId="4" fontId="19" fillId="0" borderId="181" xfId="3" applyNumberFormat="1" applyFont="1" applyFill="1" applyBorder="1" applyAlignment="1" applyProtection="1">
      <alignment horizontal="center" vertical="center" shrinkToFit="1"/>
      <protection hidden="1"/>
    </xf>
    <xf numFmtId="4" fontId="19" fillId="0" borderId="180" xfId="3" applyNumberFormat="1" applyFont="1" applyFill="1" applyBorder="1" applyAlignment="1" applyProtection="1">
      <alignment horizontal="center" vertical="center" shrinkToFit="1"/>
      <protection hidden="1"/>
    </xf>
    <xf numFmtId="0" fontId="144" fillId="0" borderId="0" xfId="0" applyFont="1" applyBorder="1" applyAlignment="1" applyProtection="1">
      <alignment horizontal="center" wrapText="1"/>
    </xf>
    <xf numFmtId="0" fontId="135" fillId="7" borderId="0" xfId="0" applyFont="1" applyFill="1" applyBorder="1" applyAlignment="1" applyProtection="1">
      <alignment horizontal="center" vertical="center" wrapText="1"/>
    </xf>
    <xf numFmtId="0" fontId="2" fillId="2" borderId="0" xfId="0" applyFont="1" applyFill="1" applyBorder="1" applyAlignment="1" applyProtection="1">
      <alignment horizontal="center" wrapText="1"/>
    </xf>
    <xf numFmtId="49" fontId="19" fillId="0" borderId="139" xfId="0" applyNumberFormat="1" applyFont="1" applyFill="1" applyBorder="1" applyAlignment="1" applyProtection="1">
      <alignment horizontal="left" vertical="center"/>
      <protection locked="0"/>
    </xf>
    <xf numFmtId="0" fontId="19" fillId="0" borderId="36" xfId="0" applyFont="1" applyFill="1" applyBorder="1" applyAlignment="1" applyProtection="1">
      <alignment horizontal="left" vertical="center"/>
      <protection locked="0"/>
    </xf>
    <xf numFmtId="14" fontId="19" fillId="0" borderId="138" xfId="3" applyNumberFormat="1" applyFont="1" applyFill="1" applyBorder="1" applyAlignment="1" applyProtection="1">
      <alignment horizontal="left" vertical="center" shrinkToFit="1"/>
      <protection hidden="1"/>
    </xf>
    <xf numFmtId="14" fontId="19" fillId="0" borderId="139" xfId="3" applyNumberFormat="1" applyFont="1" applyFill="1" applyBorder="1" applyAlignment="1" applyProtection="1">
      <alignment horizontal="left" vertical="center" shrinkToFit="1"/>
      <protection hidden="1"/>
    </xf>
    <xf numFmtId="0" fontId="25" fillId="0" borderId="0" xfId="0" applyFont="1" applyFill="1" applyBorder="1" applyAlignment="1" applyProtection="1">
      <alignment horizontal="center" vertical="center" wrapText="1"/>
    </xf>
    <xf numFmtId="39" fontId="145" fillId="0" borderId="181" xfId="0" applyNumberFormat="1" applyFont="1" applyBorder="1" applyAlignment="1" applyProtection="1">
      <alignment horizontal="right" vertical="center"/>
      <protection hidden="1"/>
    </xf>
    <xf numFmtId="39" fontId="145" fillId="0" borderId="180" xfId="0" applyNumberFormat="1" applyFont="1" applyBorder="1" applyAlignment="1" applyProtection="1">
      <alignment horizontal="right" vertical="center"/>
      <protection hidden="1"/>
    </xf>
    <xf numFmtId="10" fontId="145" fillId="0" borderId="181" xfId="1" applyNumberFormat="1" applyFont="1" applyBorder="1" applyAlignment="1" applyProtection="1">
      <alignment horizontal="right" vertical="center"/>
      <protection hidden="1"/>
    </xf>
    <xf numFmtId="10" fontId="145" fillId="0" borderId="180" xfId="1" applyNumberFormat="1" applyFont="1" applyBorder="1" applyAlignment="1" applyProtection="1">
      <alignment horizontal="right" vertical="center"/>
      <protection hidden="1"/>
    </xf>
    <xf numFmtId="4" fontId="145" fillId="0" borderId="181" xfId="0" applyNumberFormat="1" applyFont="1" applyBorder="1" applyAlignment="1" applyProtection="1">
      <alignment horizontal="right" vertical="center"/>
      <protection hidden="1"/>
    </xf>
    <xf numFmtId="4" fontId="145" fillId="0" borderId="180" xfId="0" applyNumberFormat="1" applyFont="1" applyBorder="1" applyAlignment="1" applyProtection="1">
      <alignment horizontal="right" vertical="center"/>
      <protection hidden="1"/>
    </xf>
    <xf numFmtId="0" fontId="19" fillId="0" borderId="181" xfId="3" applyNumberFormat="1" applyFont="1" applyFill="1" applyBorder="1" applyAlignment="1" applyProtection="1">
      <alignment horizontal="center" vertical="center" shrinkToFit="1"/>
      <protection hidden="1"/>
    </xf>
    <xf numFmtId="0" fontId="19" fillId="0" borderId="180" xfId="3" applyNumberFormat="1" applyFont="1" applyFill="1" applyBorder="1" applyAlignment="1" applyProtection="1">
      <alignment horizontal="center" vertical="center" shrinkToFit="1"/>
      <protection hidden="1"/>
    </xf>
    <xf numFmtId="39" fontId="19" fillId="0" borderId="181" xfId="3" applyNumberFormat="1" applyFont="1" applyFill="1" applyBorder="1" applyAlignment="1" applyProtection="1">
      <alignment horizontal="right" vertical="center" shrinkToFit="1"/>
      <protection hidden="1"/>
    </xf>
    <xf numFmtId="39" fontId="19" fillId="0" borderId="180" xfId="3" applyNumberFormat="1" applyFont="1" applyFill="1" applyBorder="1" applyAlignment="1" applyProtection="1">
      <alignment horizontal="right" vertical="center" shrinkToFit="1"/>
      <protection hidden="1"/>
    </xf>
    <xf numFmtId="9" fontId="19" fillId="0" borderId="181" xfId="1" applyFont="1" applyFill="1" applyBorder="1" applyAlignment="1" applyProtection="1">
      <alignment horizontal="right" vertical="center" shrinkToFit="1"/>
      <protection hidden="1"/>
    </xf>
    <xf numFmtId="9" fontId="19" fillId="0" borderId="180" xfId="1" applyFont="1" applyFill="1" applyBorder="1" applyAlignment="1" applyProtection="1">
      <alignment horizontal="right" vertical="center" shrinkToFit="1"/>
      <protection hidden="1"/>
    </xf>
    <xf numFmtId="0" fontId="99" fillId="2" borderId="0" xfId="2" applyFont="1" applyFill="1" applyBorder="1" applyAlignment="1">
      <alignment horizontal="left"/>
    </xf>
    <xf numFmtId="0" fontId="4" fillId="0" borderId="7" xfId="2" applyFont="1" applyFill="1" applyBorder="1" applyAlignment="1">
      <alignment horizontal="left" wrapText="1"/>
    </xf>
    <xf numFmtId="0" fontId="4" fillId="0" borderId="8" xfId="2" applyFont="1" applyFill="1" applyBorder="1" applyAlignment="1">
      <alignment horizontal="left" wrapText="1"/>
    </xf>
    <xf numFmtId="0" fontId="4" fillId="0" borderId="9" xfId="2" applyFont="1" applyFill="1" applyBorder="1" applyAlignment="1">
      <alignment horizontal="left" wrapText="1"/>
    </xf>
    <xf numFmtId="0" fontId="4" fillId="0" borderId="45" xfId="2" applyFont="1" applyFill="1" applyBorder="1" applyAlignment="1">
      <alignment horizontal="left" wrapText="1"/>
    </xf>
    <xf numFmtId="0" fontId="84" fillId="0" borderId="58" xfId="2" applyFont="1" applyFill="1" applyBorder="1" applyAlignment="1">
      <alignment horizontal="left"/>
    </xf>
    <xf numFmtId="0" fontId="150" fillId="25" borderId="173" xfId="5" applyFont="1" applyFill="1" applyBorder="1" applyAlignment="1">
      <alignment horizontal="center" vertical="center"/>
    </xf>
    <xf numFmtId="0" fontId="150" fillId="25" borderId="174" xfId="5" applyFont="1" applyFill="1" applyBorder="1" applyAlignment="1">
      <alignment horizontal="center" vertical="center"/>
    </xf>
    <xf numFmtId="0" fontId="150" fillId="25" borderId="175" xfId="5" applyFont="1" applyFill="1" applyBorder="1" applyAlignment="1">
      <alignment horizontal="center" vertical="center"/>
    </xf>
    <xf numFmtId="0" fontId="84" fillId="7" borderId="0" xfId="2" applyFont="1" applyFill="1" applyBorder="1" applyAlignment="1">
      <alignment horizontal="left"/>
    </xf>
    <xf numFmtId="1" fontId="88" fillId="13" borderId="173" xfId="2" applyNumberFormat="1" applyFont="1" applyFill="1" applyBorder="1" applyAlignment="1" applyProtection="1">
      <alignment horizontal="center"/>
      <protection locked="0"/>
    </xf>
    <xf numFmtId="1" fontId="88" fillId="13" borderId="174" xfId="2" applyNumberFormat="1" applyFont="1" applyFill="1" applyBorder="1" applyAlignment="1" applyProtection="1">
      <alignment horizontal="center"/>
      <protection locked="0"/>
    </xf>
    <xf numFmtId="1" fontId="88" fillId="13" borderId="175" xfId="2" applyNumberFormat="1" applyFont="1" applyFill="1" applyBorder="1" applyAlignment="1" applyProtection="1">
      <alignment horizontal="center"/>
      <protection locked="0"/>
    </xf>
    <xf numFmtId="0" fontId="84" fillId="2" borderId="0" xfId="2" applyNumberFormat="1" applyFont="1" applyFill="1" applyBorder="1" applyAlignment="1" applyProtection="1">
      <alignment horizontal="right"/>
      <protection hidden="1"/>
    </xf>
    <xf numFmtId="0" fontId="162" fillId="13" borderId="0" xfId="0" applyFont="1" applyFill="1" applyAlignment="1">
      <alignment horizontal="center" vertical="center"/>
    </xf>
    <xf numFmtId="0" fontId="6" fillId="4" borderId="0" xfId="2" applyFont="1" applyFill="1" applyAlignment="1" applyProtection="1">
      <alignment horizontal="center"/>
      <protection hidden="1"/>
    </xf>
    <xf numFmtId="0" fontId="5" fillId="3" borderId="28" xfId="2" applyFont="1" applyFill="1" applyBorder="1" applyAlignment="1" applyProtection="1">
      <alignment horizontal="center"/>
      <protection hidden="1"/>
    </xf>
    <xf numFmtId="0" fontId="5" fillId="3" borderId="29" xfId="2" applyFont="1" applyFill="1" applyBorder="1" applyAlignment="1" applyProtection="1">
      <alignment horizontal="center"/>
      <protection hidden="1"/>
    </xf>
    <xf numFmtId="0" fontId="7" fillId="3" borderId="18" xfId="2" applyFont="1" applyFill="1" applyBorder="1" applyAlignment="1" applyProtection="1">
      <alignment horizontal="center" vertical="center"/>
      <protection hidden="1"/>
    </xf>
    <xf numFmtId="0" fontId="7" fillId="3" borderId="32" xfId="2" applyFont="1" applyFill="1" applyBorder="1" applyAlignment="1" applyProtection="1">
      <alignment horizontal="center" vertical="center"/>
      <protection hidden="1"/>
    </xf>
    <xf numFmtId="0" fontId="6" fillId="4" borderId="2" xfId="2" applyFont="1" applyFill="1" applyBorder="1" applyAlignment="1" applyProtection="1">
      <alignment horizontal="center" vertical="center" wrapText="1"/>
      <protection hidden="1"/>
    </xf>
    <xf numFmtId="0" fontId="6" fillId="4" borderId="3" xfId="2" applyFont="1" applyFill="1" applyBorder="1" applyAlignment="1" applyProtection="1">
      <alignment horizontal="center" vertical="center" wrapText="1"/>
      <protection hidden="1"/>
    </xf>
    <xf numFmtId="0" fontId="5" fillId="5" borderId="18" xfId="2" applyFont="1" applyFill="1" applyBorder="1" applyAlignment="1" applyProtection="1">
      <alignment horizontal="center"/>
      <protection hidden="1"/>
    </xf>
    <xf numFmtId="0" fontId="5" fillId="5" borderId="19" xfId="2" applyFont="1" applyFill="1" applyBorder="1" applyAlignment="1" applyProtection="1">
      <alignment horizontal="center"/>
      <protection hidden="1"/>
    </xf>
    <xf numFmtId="0" fontId="5" fillId="5" borderId="2" xfId="2" applyFont="1" applyFill="1" applyBorder="1" applyAlignment="1" applyProtection="1">
      <alignment horizontal="center"/>
      <protection hidden="1"/>
    </xf>
    <xf numFmtId="0" fontId="5" fillId="5" borderId="3" xfId="2" applyFont="1" applyFill="1" applyBorder="1" applyAlignment="1" applyProtection="1">
      <alignment horizontal="center"/>
      <protection hidden="1"/>
    </xf>
    <xf numFmtId="0" fontId="33" fillId="3" borderId="6" xfId="0" applyFont="1" applyFill="1" applyBorder="1" applyAlignment="1" applyProtection="1">
      <alignment horizontal="center"/>
      <protection hidden="1"/>
    </xf>
    <xf numFmtId="0" fontId="33" fillId="3" borderId="0" xfId="0" applyFont="1" applyFill="1" applyBorder="1" applyAlignment="1" applyProtection="1">
      <alignment horizontal="center"/>
      <protection hidden="1"/>
    </xf>
    <xf numFmtId="0" fontId="6" fillId="4" borderId="6" xfId="2" applyFont="1" applyFill="1" applyBorder="1" applyAlignment="1" applyProtection="1">
      <alignment horizontal="center" vertical="center" wrapText="1"/>
      <protection hidden="1"/>
    </xf>
    <xf numFmtId="0" fontId="6" fillId="4" borderId="7" xfId="2" applyFont="1" applyFill="1" applyBorder="1" applyAlignment="1" applyProtection="1">
      <alignment horizontal="center" vertical="center" wrapText="1"/>
      <protection hidden="1"/>
    </xf>
    <xf numFmtId="0" fontId="7" fillId="3" borderId="8" xfId="2" applyFont="1" applyFill="1" applyBorder="1" applyAlignment="1" applyProtection="1">
      <alignment horizontal="center"/>
      <protection hidden="1"/>
    </xf>
    <xf numFmtId="0" fontId="7" fillId="3" borderId="9" xfId="2" applyFont="1" applyFill="1" applyBorder="1" applyAlignment="1" applyProtection="1">
      <alignment horizontal="center"/>
      <protection hidden="1"/>
    </xf>
    <xf numFmtId="0" fontId="8" fillId="3" borderId="8" xfId="2" applyFont="1" applyFill="1" applyBorder="1" applyAlignment="1" applyProtection="1">
      <alignment horizontal="center"/>
      <protection hidden="1"/>
    </xf>
    <xf numFmtId="0" fontId="8" fillId="3" borderId="9" xfId="2" applyFont="1" applyFill="1" applyBorder="1" applyAlignment="1" applyProtection="1">
      <alignment horizontal="center"/>
      <protection hidden="1"/>
    </xf>
    <xf numFmtId="0" fontId="5" fillId="12" borderId="8" xfId="0" applyFont="1" applyFill="1" applyBorder="1" applyAlignment="1" applyProtection="1">
      <alignment horizontal="center" vertical="center"/>
      <protection hidden="1"/>
    </xf>
    <xf numFmtId="0" fontId="5" fillId="12" borderId="134" xfId="0" applyFont="1" applyFill="1" applyBorder="1" applyAlignment="1" applyProtection="1">
      <alignment horizontal="center" vertical="center"/>
      <protection hidden="1"/>
    </xf>
    <xf numFmtId="0" fontId="5" fillId="12" borderId="8" xfId="0" applyFont="1" applyFill="1" applyBorder="1" applyAlignment="1" applyProtection="1">
      <alignment horizontal="center"/>
      <protection hidden="1"/>
    </xf>
    <xf numFmtId="0" fontId="5" fillId="12" borderId="9" xfId="0" applyFont="1" applyFill="1" applyBorder="1" applyAlignment="1" applyProtection="1">
      <alignment horizontal="center"/>
      <protection hidden="1"/>
    </xf>
    <xf numFmtId="0" fontId="5" fillId="5" borderId="8" xfId="0" applyFont="1" applyFill="1" applyBorder="1" applyAlignment="1" applyProtection="1">
      <alignment horizontal="center"/>
      <protection hidden="1"/>
    </xf>
    <xf numFmtId="0" fontId="5" fillId="5" borderId="32" xfId="0" applyFont="1" applyFill="1" applyBorder="1" applyAlignment="1" applyProtection="1">
      <alignment horizontal="center"/>
      <protection hidden="1"/>
    </xf>
    <xf numFmtId="0" fontId="33" fillId="48" borderId="120" xfId="0" applyFont="1" applyFill="1" applyBorder="1" applyAlignment="1" applyProtection="1">
      <alignment horizontal="center"/>
      <protection hidden="1"/>
    </xf>
    <xf numFmtId="0" fontId="33" fillId="48" borderId="121" xfId="0" applyFont="1" applyFill="1" applyBorder="1" applyAlignment="1" applyProtection="1">
      <alignment horizontal="center"/>
      <protection hidden="1"/>
    </xf>
    <xf numFmtId="0" fontId="120" fillId="5" borderId="120" xfId="0" applyFont="1" applyFill="1" applyBorder="1" applyAlignment="1" applyProtection="1">
      <alignment horizontal="center" vertical="center"/>
      <protection hidden="1"/>
    </xf>
    <xf numFmtId="0" fontId="120" fillId="5" borderId="121" xfId="0" applyFont="1" applyFill="1" applyBorder="1" applyAlignment="1" applyProtection="1">
      <alignment horizontal="center" vertical="center"/>
      <protection hidden="1"/>
    </xf>
    <xf numFmtId="0" fontId="0" fillId="0" borderId="0" xfId="0" applyBorder="1" applyAlignment="1" applyProtection="1">
      <alignment horizontal="center" wrapText="1"/>
      <protection hidden="1"/>
    </xf>
    <xf numFmtId="0" fontId="0" fillId="0" borderId="6" xfId="0" applyBorder="1" applyAlignment="1" applyProtection="1">
      <alignment horizontal="center" wrapText="1"/>
      <protection hidden="1"/>
    </xf>
    <xf numFmtId="0" fontId="5" fillId="5" borderId="18" xfId="0" applyFont="1" applyFill="1" applyBorder="1" applyAlignment="1" applyProtection="1">
      <alignment horizontal="center"/>
      <protection hidden="1"/>
    </xf>
    <xf numFmtId="0" fontId="61" fillId="3" borderId="0" xfId="0" applyFont="1" applyFill="1" applyBorder="1" applyAlignment="1" applyProtection="1">
      <alignment horizontal="center" vertical="center"/>
      <protection hidden="1"/>
    </xf>
    <xf numFmtId="0" fontId="36" fillId="12" borderId="8" xfId="0" applyFont="1" applyFill="1" applyBorder="1" applyAlignment="1" applyProtection="1">
      <alignment horizontal="center"/>
      <protection hidden="1"/>
    </xf>
    <xf numFmtId="0" fontId="36" fillId="12" borderId="9" xfId="0" applyFont="1" applyFill="1" applyBorder="1" applyAlignment="1" applyProtection="1">
      <alignment horizontal="center"/>
      <protection hidden="1"/>
    </xf>
    <xf numFmtId="0" fontId="26" fillId="8" borderId="9" xfId="0" applyFont="1" applyFill="1" applyBorder="1" applyAlignment="1" applyProtection="1">
      <alignment horizontal="left"/>
      <protection hidden="1"/>
    </xf>
    <xf numFmtId="0" fontId="26" fillId="8" borderId="20" xfId="0" applyFont="1" applyFill="1" applyBorder="1" applyAlignment="1" applyProtection="1">
      <alignment horizontal="left"/>
      <protection hidden="1"/>
    </xf>
    <xf numFmtId="0" fontId="7" fillId="23" borderId="25" xfId="0" applyFont="1" applyFill="1" applyBorder="1" applyAlignment="1" applyProtection="1">
      <alignment horizontal="center"/>
      <protection hidden="1"/>
    </xf>
    <xf numFmtId="0" fontId="7" fillId="19" borderId="6" xfId="0" applyFont="1" applyFill="1" applyBorder="1" applyAlignment="1" applyProtection="1">
      <alignment horizontal="center"/>
      <protection hidden="1"/>
    </xf>
    <xf numFmtId="0" fontId="7" fillId="19" borderId="0" xfId="0" applyFont="1" applyFill="1" applyBorder="1" applyAlignment="1" applyProtection="1">
      <alignment horizontal="center"/>
      <protection hidden="1"/>
    </xf>
    <xf numFmtId="0" fontId="36" fillId="23" borderId="2" xfId="0" applyFont="1" applyFill="1" applyBorder="1" applyAlignment="1" applyProtection="1">
      <alignment horizontal="center"/>
      <protection hidden="1"/>
    </xf>
    <xf numFmtId="0" fontId="36" fillId="23" borderId="3" xfId="0" applyFont="1" applyFill="1" applyBorder="1" applyAlignment="1" applyProtection="1">
      <alignment horizontal="center"/>
      <protection hidden="1"/>
    </xf>
    <xf numFmtId="0" fontId="79" fillId="12" borderId="0" xfId="0" applyFont="1" applyFill="1" applyAlignment="1" applyProtection="1">
      <alignment horizontal="center"/>
      <protection hidden="1"/>
    </xf>
    <xf numFmtId="0" fontId="56" fillId="29" borderId="2" xfId="0" applyFont="1" applyFill="1" applyBorder="1" applyAlignment="1" applyProtection="1">
      <alignment horizontal="center"/>
      <protection hidden="1"/>
    </xf>
    <xf numFmtId="0" fontId="56" fillId="29" borderId="30" xfId="0" applyFont="1" applyFill="1" applyBorder="1" applyAlignment="1" applyProtection="1">
      <alignment horizontal="center"/>
      <protection hidden="1"/>
    </xf>
    <xf numFmtId="0" fontId="56" fillId="29" borderId="3" xfId="0" applyFont="1" applyFill="1" applyBorder="1" applyAlignment="1" applyProtection="1">
      <alignment horizontal="center"/>
      <protection hidden="1"/>
    </xf>
    <xf numFmtId="0" fontId="35" fillId="12" borderId="25" xfId="0" applyFont="1" applyFill="1" applyBorder="1" applyAlignment="1" applyProtection="1">
      <alignment horizontal="center"/>
      <protection hidden="1"/>
    </xf>
    <xf numFmtId="0" fontId="83" fillId="35" borderId="0" xfId="0" applyFont="1" applyFill="1" applyAlignment="1" applyProtection="1">
      <alignment horizontal="center"/>
      <protection hidden="1"/>
    </xf>
    <xf numFmtId="0" fontId="7" fillId="42" borderId="0" xfId="0" applyFont="1" applyFill="1" applyAlignment="1" applyProtection="1">
      <alignment horizontal="center"/>
      <protection hidden="1"/>
    </xf>
    <xf numFmtId="0" fontId="35" fillId="32" borderId="2" xfId="0" applyFont="1" applyFill="1" applyBorder="1" applyAlignment="1" applyProtection="1">
      <alignment horizontal="center"/>
      <protection hidden="1"/>
    </xf>
    <xf numFmtId="0" fontId="35" fillId="32" borderId="3" xfId="0" applyFont="1" applyFill="1" applyBorder="1" applyAlignment="1" applyProtection="1">
      <alignment horizontal="center"/>
      <protection hidden="1"/>
    </xf>
    <xf numFmtId="0" fontId="80" fillId="8" borderId="2" xfId="0" applyFont="1" applyFill="1" applyBorder="1" applyAlignment="1" applyProtection="1">
      <alignment horizontal="center"/>
      <protection hidden="1"/>
    </xf>
    <xf numFmtId="0" fontId="80" fillId="8" borderId="3" xfId="0" applyFont="1" applyFill="1" applyBorder="1" applyAlignment="1" applyProtection="1">
      <alignment horizontal="center"/>
      <protection hidden="1"/>
    </xf>
    <xf numFmtId="0" fontId="7" fillId="35" borderId="0" xfId="0" applyFont="1" applyFill="1" applyAlignment="1" applyProtection="1">
      <alignment horizontal="center"/>
      <protection hidden="1"/>
    </xf>
    <xf numFmtId="0" fontId="35" fillId="0" borderId="2" xfId="0" applyFont="1" applyFill="1" applyBorder="1" applyAlignment="1" applyProtection="1">
      <alignment horizontal="center"/>
      <protection hidden="1"/>
    </xf>
    <xf numFmtId="0" fontId="35" fillId="0" borderId="3" xfId="0" applyFont="1" applyFill="1" applyBorder="1" applyAlignment="1" applyProtection="1">
      <alignment horizontal="center"/>
      <protection hidden="1"/>
    </xf>
    <xf numFmtId="0" fontId="36" fillId="17" borderId="6" xfId="0" applyFont="1" applyFill="1" applyBorder="1" applyAlignment="1" applyProtection="1">
      <alignment horizontal="center"/>
      <protection hidden="1"/>
    </xf>
    <xf numFmtId="0" fontId="36" fillId="17" borderId="0" xfId="0" applyFont="1" applyFill="1" applyBorder="1" applyAlignment="1" applyProtection="1">
      <alignment horizontal="center"/>
      <protection hidden="1"/>
    </xf>
    <xf numFmtId="0" fontId="55" fillId="0" borderId="11" xfId="0" applyFont="1" applyFill="1" applyBorder="1" applyAlignment="1" applyProtection="1">
      <alignment horizontal="center" vertical="top" textRotation="90"/>
      <protection hidden="1"/>
    </xf>
    <xf numFmtId="0" fontId="55" fillId="0" borderId="7" xfId="0" applyFont="1" applyFill="1" applyBorder="1" applyAlignment="1" applyProtection="1">
      <alignment horizontal="center" vertical="top" textRotation="90"/>
      <protection hidden="1"/>
    </xf>
    <xf numFmtId="0" fontId="52" fillId="28" borderId="25" xfId="0" applyFont="1" applyFill="1" applyBorder="1" applyAlignment="1" applyProtection="1">
      <alignment horizontal="center" vertical="top" textRotation="90"/>
      <protection hidden="1"/>
    </xf>
    <xf numFmtId="0" fontId="61" fillId="20" borderId="11" xfId="0" applyFont="1" applyFill="1" applyBorder="1" applyAlignment="1" applyProtection="1">
      <alignment horizontal="center" vertical="center" textRotation="90"/>
      <protection hidden="1"/>
    </xf>
    <xf numFmtId="0" fontId="61" fillId="20" borderId="7" xfId="0" applyFont="1" applyFill="1" applyBorder="1" applyAlignment="1" applyProtection="1">
      <alignment horizontal="center" vertical="center" textRotation="90"/>
      <protection hidden="1"/>
    </xf>
    <xf numFmtId="0" fontId="61" fillId="30" borderId="7" xfId="0" applyFont="1" applyFill="1" applyBorder="1" applyAlignment="1" applyProtection="1">
      <alignment horizontal="center" vertical="center" textRotation="90"/>
      <protection hidden="1"/>
    </xf>
    <xf numFmtId="0" fontId="62" fillId="17" borderId="25" xfId="0" applyFont="1" applyFill="1" applyBorder="1" applyAlignment="1" applyProtection="1">
      <alignment horizontal="center" vertical="top" textRotation="90"/>
      <protection hidden="1"/>
    </xf>
    <xf numFmtId="0" fontId="27" fillId="18" borderId="6" xfId="0" applyFont="1" applyFill="1" applyBorder="1" applyAlignment="1" applyProtection="1">
      <alignment horizontal="center" textRotation="90"/>
      <protection hidden="1"/>
    </xf>
    <xf numFmtId="0" fontId="61" fillId="12" borderId="6" xfId="0" applyFont="1" applyFill="1" applyBorder="1" applyAlignment="1" applyProtection="1">
      <alignment horizontal="center" textRotation="90"/>
      <protection hidden="1"/>
    </xf>
    <xf numFmtId="0" fontId="52" fillId="52" borderId="137" xfId="0" applyFont="1" applyFill="1" applyBorder="1" applyAlignment="1" applyProtection="1">
      <alignment horizontal="center" vertical="top" textRotation="90"/>
      <protection hidden="1"/>
    </xf>
    <xf numFmtId="0" fontId="52" fillId="52" borderId="203" xfId="0" applyFont="1" applyFill="1" applyBorder="1" applyAlignment="1" applyProtection="1">
      <alignment horizontal="center" vertical="top" textRotation="90"/>
      <protection hidden="1"/>
    </xf>
    <xf numFmtId="0" fontId="52" fillId="52" borderId="109" xfId="0" applyFont="1" applyFill="1" applyBorder="1" applyAlignment="1" applyProtection="1">
      <alignment horizontal="center" vertical="top" textRotation="90"/>
      <protection hidden="1"/>
    </xf>
    <xf numFmtId="0" fontId="62" fillId="17" borderId="200" xfId="0" applyFont="1" applyFill="1" applyBorder="1" applyAlignment="1" applyProtection="1">
      <alignment horizontal="center" vertical="center" textRotation="90"/>
      <protection hidden="1"/>
    </xf>
    <xf numFmtId="0" fontId="62" fillId="17" borderId="41" xfId="0" applyFont="1" applyFill="1" applyBorder="1" applyAlignment="1" applyProtection="1">
      <alignment horizontal="center" vertical="center" textRotation="90"/>
      <protection hidden="1"/>
    </xf>
    <xf numFmtId="0" fontId="27" fillId="0" borderId="0" xfId="0" applyFont="1" applyAlignment="1" applyProtection="1">
      <alignment horizontal="center"/>
      <protection hidden="1"/>
    </xf>
    <xf numFmtId="0" fontId="71" fillId="35" borderId="25" xfId="0" applyFont="1" applyFill="1" applyBorder="1" applyAlignment="1" applyProtection="1">
      <alignment horizontal="center" vertical="top" textRotation="90" wrapText="1"/>
      <protection hidden="1"/>
    </xf>
    <xf numFmtId="0" fontId="71" fillId="35" borderId="2" xfId="0" applyFont="1" applyFill="1" applyBorder="1" applyAlignment="1" applyProtection="1">
      <alignment horizontal="center" vertical="top" textRotation="90" wrapText="1"/>
      <protection hidden="1"/>
    </xf>
    <xf numFmtId="0" fontId="71" fillId="8" borderId="6" xfId="0" applyFont="1" applyFill="1" applyBorder="1" applyAlignment="1" applyProtection="1">
      <alignment horizontal="center" textRotation="90" wrapText="1"/>
      <protection hidden="1"/>
    </xf>
    <xf numFmtId="0" fontId="71" fillId="12" borderId="0" xfId="0" applyFont="1" applyFill="1" applyBorder="1" applyAlignment="1" applyProtection="1">
      <alignment horizontal="center" textRotation="90" wrapText="1"/>
      <protection hidden="1"/>
    </xf>
    <xf numFmtId="0" fontId="72" fillId="3" borderId="25" xfId="0" applyFont="1" applyFill="1" applyBorder="1" applyAlignment="1" applyProtection="1">
      <alignment horizontal="center" vertical="center" textRotation="90" wrapText="1"/>
      <protection hidden="1"/>
    </xf>
    <xf numFmtId="0" fontId="72" fillId="3" borderId="2" xfId="0" applyFont="1" applyFill="1" applyBorder="1" applyAlignment="1" applyProtection="1">
      <alignment horizontal="center" vertical="center" textRotation="90" wrapText="1"/>
      <protection hidden="1"/>
    </xf>
    <xf numFmtId="2" fontId="27" fillId="4" borderId="6" xfId="0" applyNumberFormat="1" applyFont="1" applyFill="1" applyBorder="1" applyAlignment="1" applyProtection="1">
      <alignment horizontal="center" textRotation="90"/>
      <protection hidden="1"/>
    </xf>
    <xf numFmtId="0" fontId="71" fillId="12" borderId="6" xfId="0" applyFont="1" applyFill="1" applyBorder="1" applyAlignment="1" applyProtection="1">
      <alignment horizontal="center" textRotation="90" wrapText="1"/>
      <protection hidden="1"/>
    </xf>
    <xf numFmtId="0" fontId="62" fillId="5" borderId="101" xfId="0" applyFont="1" applyFill="1" applyBorder="1" applyAlignment="1" applyProtection="1">
      <alignment horizontal="center" vertical="center" textRotation="90"/>
      <protection hidden="1"/>
    </xf>
    <xf numFmtId="0" fontId="54" fillId="4" borderId="101" xfId="0" applyFont="1" applyFill="1" applyBorder="1" applyAlignment="1" applyProtection="1">
      <alignment horizontal="center" vertical="center" textRotation="90" wrapText="1"/>
      <protection hidden="1"/>
    </xf>
    <xf numFmtId="0" fontId="62" fillId="30" borderId="101" xfId="0" applyFont="1" applyFill="1" applyBorder="1" applyAlignment="1" applyProtection="1">
      <alignment horizontal="center" vertical="center" textRotation="90" wrapText="1"/>
      <protection hidden="1"/>
    </xf>
    <xf numFmtId="0" fontId="62" fillId="5" borderId="101" xfId="0" applyFont="1" applyFill="1" applyBorder="1" applyAlignment="1" applyProtection="1">
      <alignment horizontal="center" vertical="center" textRotation="90" wrapText="1"/>
      <protection hidden="1"/>
    </xf>
    <xf numFmtId="0" fontId="62" fillId="5" borderId="102" xfId="0" applyFont="1" applyFill="1" applyBorder="1" applyAlignment="1" applyProtection="1">
      <alignment horizontal="center" vertical="center" textRotation="90" wrapText="1"/>
      <protection hidden="1"/>
    </xf>
    <xf numFmtId="0" fontId="62" fillId="30" borderId="102" xfId="0" applyFont="1" applyFill="1" applyBorder="1" applyAlignment="1" applyProtection="1">
      <alignment horizontal="center" vertical="center" textRotation="90" wrapText="1"/>
      <protection hidden="1"/>
    </xf>
    <xf numFmtId="0" fontId="35" fillId="34" borderId="2" xfId="2" applyFont="1" applyFill="1" applyBorder="1" applyAlignment="1" applyProtection="1">
      <alignment horizontal="center" vertical="center" wrapText="1"/>
      <protection hidden="1"/>
    </xf>
    <xf numFmtId="0" fontId="35" fillId="34" borderId="3" xfId="2" applyFont="1" applyFill="1" applyBorder="1" applyAlignment="1" applyProtection="1">
      <alignment horizontal="center" vertical="center" wrapText="1"/>
      <protection hidden="1"/>
    </xf>
    <xf numFmtId="0" fontId="35" fillId="9" borderId="2" xfId="2" applyFont="1" applyFill="1" applyBorder="1" applyAlignment="1" applyProtection="1">
      <alignment horizontal="center" wrapText="1"/>
      <protection hidden="1"/>
    </xf>
    <xf numFmtId="0" fontId="35" fillId="9" borderId="3" xfId="2" applyFont="1" applyFill="1" applyBorder="1" applyAlignment="1" applyProtection="1">
      <alignment horizontal="center" wrapText="1"/>
      <protection hidden="1"/>
    </xf>
    <xf numFmtId="0" fontId="35" fillId="34" borderId="2" xfId="2" quotePrefix="1" applyFont="1" applyFill="1" applyBorder="1" applyAlignment="1" applyProtection="1">
      <alignment horizontal="center" vertical="center" wrapText="1"/>
      <protection hidden="1"/>
    </xf>
    <xf numFmtId="0" fontId="35" fillId="34" borderId="3" xfId="2" quotePrefix="1" applyFont="1" applyFill="1" applyBorder="1" applyAlignment="1" applyProtection="1">
      <alignment horizontal="center" vertical="center" wrapText="1"/>
      <protection hidden="1"/>
    </xf>
    <xf numFmtId="0" fontId="4" fillId="34" borderId="25" xfId="2" applyFill="1" applyBorder="1" applyAlignment="1" applyProtection="1">
      <alignment horizontal="center" vertical="center" textRotation="90"/>
      <protection hidden="1"/>
    </xf>
    <xf numFmtId="0" fontId="4" fillId="34" borderId="31" xfId="2" applyFill="1" applyBorder="1" applyAlignment="1" applyProtection="1">
      <alignment horizontal="center" vertical="center" textRotation="90"/>
      <protection hidden="1"/>
    </xf>
    <xf numFmtId="0" fontId="4" fillId="34" borderId="41" xfId="2" applyFill="1" applyBorder="1" applyAlignment="1" applyProtection="1">
      <alignment horizontal="center" vertical="center" textRotation="90"/>
      <protection hidden="1"/>
    </xf>
    <xf numFmtId="0" fontId="4" fillId="34" borderId="42" xfId="2" applyFill="1" applyBorder="1" applyAlignment="1" applyProtection="1">
      <alignment horizontal="center" vertical="center" textRotation="90"/>
      <protection hidden="1"/>
    </xf>
    <xf numFmtId="0" fontId="56" fillId="28" borderId="25" xfId="2" applyFont="1" applyFill="1" applyBorder="1" applyAlignment="1" applyProtection="1">
      <alignment horizontal="center" wrapText="1"/>
      <protection hidden="1"/>
    </xf>
    <xf numFmtId="0" fontId="56" fillId="28" borderId="2" xfId="2" applyFont="1" applyFill="1" applyBorder="1" applyAlignment="1" applyProtection="1">
      <alignment horizontal="center" wrapText="1"/>
      <protection hidden="1"/>
    </xf>
    <xf numFmtId="0" fontId="56" fillId="28" borderId="3" xfId="2" applyFont="1" applyFill="1" applyBorder="1" applyAlignment="1" applyProtection="1">
      <alignment horizontal="center" wrapText="1"/>
      <protection hidden="1"/>
    </xf>
    <xf numFmtId="0" fontId="70" fillId="27" borderId="2" xfId="2" applyFont="1" applyFill="1" applyBorder="1" applyAlignment="1" applyProtection="1">
      <alignment horizontal="center" wrapText="1"/>
      <protection hidden="1"/>
    </xf>
    <xf numFmtId="0" fontId="70" fillId="27" borderId="3" xfId="2" applyFont="1" applyFill="1" applyBorder="1" applyAlignment="1" applyProtection="1">
      <alignment horizontal="center" wrapText="1"/>
      <protection hidden="1"/>
    </xf>
    <xf numFmtId="0" fontId="78" fillId="21" borderId="0" xfId="2" applyFont="1" applyFill="1" applyAlignment="1" applyProtection="1">
      <alignment horizontal="center" wrapText="1"/>
      <protection hidden="1"/>
    </xf>
    <xf numFmtId="0" fontId="77" fillId="21" borderId="0" xfId="2" applyFont="1" applyFill="1" applyAlignment="1" applyProtection="1">
      <alignment horizontal="center" wrapText="1"/>
      <protection hidden="1"/>
    </xf>
    <xf numFmtId="167" fontId="0" fillId="0" borderId="191" xfId="0" applyNumberFormat="1" applyBorder="1" applyAlignment="1">
      <alignment horizontal="center" vertical="center" wrapText="1"/>
    </xf>
    <xf numFmtId="9" fontId="0" fillId="0" borderId="191" xfId="0" applyNumberFormat="1" applyFont="1" applyBorder="1" applyAlignment="1">
      <alignment horizontal="center" vertical="center"/>
    </xf>
    <xf numFmtId="0" fontId="0" fillId="0" borderId="191" xfId="0" applyFont="1" applyBorder="1" applyAlignment="1">
      <alignment horizontal="center" vertical="center"/>
    </xf>
    <xf numFmtId="9" fontId="0" fillId="0" borderId="191" xfId="0" applyNumberFormat="1" applyBorder="1" applyAlignment="1">
      <alignment horizontal="center" vertical="center"/>
    </xf>
    <xf numFmtId="10" fontId="0" fillId="0" borderId="191" xfId="0" applyNumberFormat="1" applyBorder="1" applyAlignment="1">
      <alignment horizontal="center" vertical="center"/>
    </xf>
    <xf numFmtId="0" fontId="0" fillId="0" borderId="0" xfId="0" applyBorder="1" applyAlignment="1">
      <alignment horizontal="left" vertical="center" wrapText="1"/>
    </xf>
    <xf numFmtId="10" fontId="0" fillId="0" borderId="191" xfId="0" applyNumberFormat="1" applyBorder="1" applyAlignment="1">
      <alignment horizontal="center" vertical="center" wrapText="1"/>
    </xf>
    <xf numFmtId="0" fontId="0" fillId="0" borderId="191" xfId="0" applyBorder="1" applyAlignment="1">
      <alignment horizontal="center" vertical="center" wrapText="1"/>
    </xf>
    <xf numFmtId="164" fontId="0" fillId="0" borderId="200" xfId="0" applyNumberFormat="1" applyBorder="1" applyAlignment="1">
      <alignment horizontal="center" vertical="center"/>
    </xf>
    <xf numFmtId="164" fontId="0" fillId="0" borderId="41" xfId="0" applyNumberFormat="1" applyBorder="1" applyAlignment="1">
      <alignment horizontal="center" vertical="center"/>
    </xf>
    <xf numFmtId="164" fontId="0" fillId="0" borderId="42" xfId="0" applyNumberFormat="1" applyBorder="1" applyAlignment="1">
      <alignment horizontal="center" vertical="center"/>
    </xf>
    <xf numFmtId="10" fontId="108" fillId="7" borderId="200" xfId="0" applyNumberFormat="1" applyFont="1" applyFill="1" applyBorder="1" applyAlignment="1">
      <alignment horizontal="center" vertical="center" wrapText="1"/>
    </xf>
    <xf numFmtId="10" fontId="108" fillId="7" borderId="41" xfId="0" applyNumberFormat="1" applyFont="1" applyFill="1" applyBorder="1" applyAlignment="1">
      <alignment horizontal="center" vertical="center" wrapText="1"/>
    </xf>
    <xf numFmtId="10" fontId="108" fillId="7" borderId="42" xfId="0" applyNumberFormat="1" applyFont="1" applyFill="1" applyBorder="1" applyAlignment="1">
      <alignment horizontal="center" vertical="center" wrapText="1"/>
    </xf>
    <xf numFmtId="0" fontId="0" fillId="0" borderId="200"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10" fontId="0" fillId="0" borderId="191" xfId="0" applyNumberFormat="1" applyFont="1" applyBorder="1" applyAlignment="1">
      <alignment horizontal="center" vertical="center" wrapText="1"/>
    </xf>
    <xf numFmtId="167" fontId="0" fillId="0" borderId="200" xfId="0" applyNumberFormat="1" applyBorder="1" applyAlignment="1">
      <alignment horizontal="center" vertical="center" wrapText="1"/>
    </xf>
    <xf numFmtId="167" fontId="0" fillId="0" borderId="41" xfId="0" applyNumberFormat="1" applyBorder="1" applyAlignment="1">
      <alignment horizontal="center" vertical="center" wrapText="1"/>
    </xf>
    <xf numFmtId="167" fontId="0" fillId="0" borderId="42" xfId="0" applyNumberFormat="1" applyBorder="1"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top" wrapText="1"/>
    </xf>
    <xf numFmtId="0" fontId="183" fillId="58" borderId="115" xfId="0" applyFont="1" applyFill="1" applyBorder="1" applyAlignment="1">
      <alignment horizontal="center"/>
    </xf>
    <xf numFmtId="0" fontId="183" fillId="58" borderId="0" xfId="0" applyFont="1" applyFill="1" applyBorder="1" applyAlignment="1">
      <alignment horizontal="center"/>
    </xf>
    <xf numFmtId="10" fontId="108" fillId="0" borderId="191" xfId="0" applyNumberFormat="1" applyFont="1" applyBorder="1" applyAlignment="1">
      <alignment horizontal="left" vertical="center" wrapText="1"/>
    </xf>
    <xf numFmtId="0" fontId="0" fillId="0" borderId="191" xfId="0"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left" vertical="top" wrapText="1"/>
    </xf>
    <xf numFmtId="9" fontId="0" fillId="0" borderId="0" xfId="0" applyNumberFormat="1" applyBorder="1" applyAlignment="1">
      <alignment horizontal="left" vertical="top" wrapText="1"/>
    </xf>
    <xf numFmtId="0" fontId="108" fillId="0" borderId="191" xfId="0" applyFont="1" applyFill="1" applyBorder="1" applyAlignment="1">
      <alignment horizontal="center" vertical="center"/>
    </xf>
    <xf numFmtId="0" fontId="0" fillId="0" borderId="200"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42" xfId="0" applyFont="1" applyFill="1" applyBorder="1" applyAlignment="1">
      <alignment horizontal="center" vertical="center" wrapText="1"/>
    </xf>
    <xf numFmtId="164" fontId="0" fillId="0" borderId="200" xfId="0" applyNumberFormat="1" applyFont="1" applyBorder="1" applyAlignment="1">
      <alignment horizontal="center" vertical="center"/>
    </xf>
    <xf numFmtId="164" fontId="0" fillId="0" borderId="41" xfId="0" applyNumberFormat="1" applyFont="1" applyBorder="1" applyAlignment="1">
      <alignment horizontal="center" vertical="center"/>
    </xf>
    <xf numFmtId="164" fontId="0" fillId="0" borderId="42" xfId="0" applyNumberFormat="1" applyFont="1" applyBorder="1" applyAlignment="1">
      <alignment horizontal="center" vertical="center"/>
    </xf>
    <xf numFmtId="10" fontId="108" fillId="0" borderId="200" xfId="0" applyNumberFormat="1" applyFont="1" applyFill="1" applyBorder="1" applyAlignment="1">
      <alignment horizontal="center" vertical="center"/>
    </xf>
    <xf numFmtId="10" fontId="108" fillId="0" borderId="41" xfId="0" applyNumberFormat="1" applyFont="1" applyFill="1" applyBorder="1" applyAlignment="1">
      <alignment horizontal="center" vertical="center"/>
    </xf>
    <xf numFmtId="10" fontId="108" fillId="0" borderId="42" xfId="0" applyNumberFormat="1" applyFont="1" applyFill="1" applyBorder="1" applyAlignment="1">
      <alignment horizontal="center" vertical="center"/>
    </xf>
    <xf numFmtId="10" fontId="108" fillId="7" borderId="191" xfId="0" applyNumberFormat="1" applyFont="1" applyFill="1" applyBorder="1" applyAlignment="1">
      <alignment horizontal="center" vertical="center" wrapText="1"/>
    </xf>
    <xf numFmtId="0" fontId="0" fillId="0" borderId="191" xfId="0" applyBorder="1" applyAlignment="1">
      <alignment horizontal="center" vertical="center"/>
    </xf>
    <xf numFmtId="0" fontId="183" fillId="8" borderId="191" xfId="0" applyFont="1" applyFill="1" applyBorder="1" applyAlignment="1">
      <alignment horizontal="center"/>
    </xf>
    <xf numFmtId="9" fontId="0" fillId="0" borderId="191" xfId="0" applyNumberFormat="1" applyBorder="1" applyAlignment="1">
      <alignment horizontal="center" vertical="center" wrapText="1"/>
    </xf>
    <xf numFmtId="0" fontId="0" fillId="7" borderId="191" xfId="0" applyFill="1" applyBorder="1" applyAlignment="1">
      <alignment horizontal="left" vertical="center" wrapText="1"/>
    </xf>
    <xf numFmtId="10" fontId="108" fillId="0" borderId="191" xfId="0" applyNumberFormat="1" applyFont="1" applyFill="1" applyBorder="1" applyAlignment="1">
      <alignment horizontal="center" vertical="center" wrapText="1"/>
    </xf>
    <xf numFmtId="10" fontId="0" fillId="0" borderId="200" xfId="0" applyNumberFormat="1" applyBorder="1" applyAlignment="1">
      <alignment horizontal="center" vertical="center" wrapText="1"/>
    </xf>
    <xf numFmtId="10" fontId="0" fillId="0" borderId="41" xfId="0" applyNumberFormat="1" applyBorder="1" applyAlignment="1">
      <alignment horizontal="center" vertical="center" wrapText="1"/>
    </xf>
    <xf numFmtId="10" fontId="0" fillId="0" borderId="42" xfId="0" applyNumberFormat="1" applyBorder="1" applyAlignment="1">
      <alignment horizontal="center" vertical="center" wrapText="1"/>
    </xf>
    <xf numFmtId="164" fontId="0" fillId="0" borderId="191" xfId="0" applyNumberFormat="1" applyBorder="1" applyAlignment="1">
      <alignment horizontal="center" vertical="center"/>
    </xf>
    <xf numFmtId="0" fontId="183" fillId="57" borderId="191" xfId="0" applyFont="1" applyFill="1" applyBorder="1" applyAlignment="1">
      <alignment horizontal="center" vertical="center"/>
    </xf>
    <xf numFmtId="0" fontId="105" fillId="0" borderId="191" xfId="0" applyFont="1" applyBorder="1" applyAlignment="1">
      <alignment horizontal="left" vertical="center" wrapText="1"/>
    </xf>
    <xf numFmtId="168" fontId="0" fillId="0" borderId="191" xfId="0" applyNumberFormat="1" applyBorder="1" applyAlignment="1">
      <alignment horizontal="center" vertical="center" wrapText="1"/>
    </xf>
    <xf numFmtId="10" fontId="108" fillId="0" borderId="200" xfId="0" applyNumberFormat="1" applyFont="1" applyFill="1" applyBorder="1" applyAlignment="1">
      <alignment horizontal="center" vertical="center" wrapText="1"/>
    </xf>
    <xf numFmtId="10" fontId="108" fillId="0" borderId="41" xfId="0" applyNumberFormat="1" applyFont="1" applyFill="1" applyBorder="1" applyAlignment="1">
      <alignment horizontal="center" vertical="center" wrapText="1"/>
    </xf>
    <xf numFmtId="10" fontId="108" fillId="0" borderId="42" xfId="0" applyNumberFormat="1" applyFont="1" applyFill="1" applyBorder="1" applyAlignment="1">
      <alignment horizontal="center" vertical="center" wrapText="1"/>
    </xf>
    <xf numFmtId="10" fontId="0" fillId="0" borderId="191" xfId="0" applyNumberFormat="1" applyBorder="1" applyAlignment="1">
      <alignment horizontal="left" vertical="center" wrapText="1"/>
    </xf>
    <xf numFmtId="164" fontId="0" fillId="0" borderId="191" xfId="0" applyNumberFormat="1" applyFont="1" applyBorder="1" applyAlignment="1">
      <alignment horizontal="center" vertical="center"/>
    </xf>
    <xf numFmtId="0" fontId="0" fillId="7" borderId="191" xfId="0" applyFill="1" applyBorder="1" applyAlignment="1">
      <alignment horizontal="center" vertical="center" wrapText="1"/>
    </xf>
    <xf numFmtId="179" fontId="0" fillId="0" borderId="191" xfId="0" applyNumberFormat="1" applyBorder="1" applyAlignment="1">
      <alignment horizontal="center" vertical="center"/>
    </xf>
    <xf numFmtId="9" fontId="0" fillId="0" borderId="191" xfId="0" applyNumberFormat="1" applyFont="1" applyBorder="1" applyAlignment="1">
      <alignment horizontal="center" vertical="center" wrapText="1"/>
    </xf>
    <xf numFmtId="10" fontId="108" fillId="0" borderId="191" xfId="0" applyNumberFormat="1" applyFont="1" applyFill="1" applyBorder="1" applyAlignment="1">
      <alignment horizontal="center" vertical="center"/>
    </xf>
    <xf numFmtId="0" fontId="183" fillId="57" borderId="88" xfId="0" applyFont="1" applyFill="1" applyBorder="1" applyAlignment="1">
      <alignment horizontal="center" vertical="center"/>
    </xf>
    <xf numFmtId="0" fontId="183" fillId="57" borderId="89" xfId="0" applyFont="1" applyFill="1" applyBorder="1" applyAlignment="1">
      <alignment horizontal="center" vertical="center"/>
    </xf>
    <xf numFmtId="0" fontId="183" fillId="57" borderId="90" xfId="0" applyFont="1" applyFill="1" applyBorder="1" applyAlignment="1">
      <alignment horizontal="center" vertical="center"/>
    </xf>
    <xf numFmtId="10" fontId="186" fillId="0" borderId="191" xfId="0" applyNumberFormat="1" applyFont="1" applyBorder="1" applyAlignment="1">
      <alignment horizontal="center" vertical="center" wrapText="1"/>
    </xf>
    <xf numFmtId="0" fontId="0" fillId="7" borderId="200" xfId="0" applyFill="1" applyBorder="1" applyAlignment="1">
      <alignment horizontal="left" vertical="center" wrapText="1"/>
    </xf>
    <xf numFmtId="0" fontId="0" fillId="7" borderId="41" xfId="0" applyFill="1" applyBorder="1" applyAlignment="1">
      <alignment horizontal="left" vertical="center" wrapText="1"/>
    </xf>
    <xf numFmtId="0" fontId="0" fillId="7" borderId="42" xfId="0" applyFill="1" applyBorder="1" applyAlignment="1">
      <alignment horizontal="left" vertical="center" wrapText="1"/>
    </xf>
    <xf numFmtId="10" fontId="183" fillId="62" borderId="191" xfId="0" applyNumberFormat="1" applyFont="1" applyFill="1" applyBorder="1" applyAlignment="1">
      <alignment horizontal="center" vertical="center"/>
    </xf>
    <xf numFmtId="10" fontId="0" fillId="0" borderId="221" xfId="0" applyNumberFormat="1" applyFill="1" applyBorder="1" applyAlignment="1">
      <alignment horizontal="center" vertical="center"/>
    </xf>
    <xf numFmtId="10" fontId="0" fillId="0" borderId="220" xfId="0" applyNumberFormat="1" applyFill="1" applyBorder="1" applyAlignment="1">
      <alignment horizontal="center" vertical="center"/>
    </xf>
    <xf numFmtId="10" fontId="0" fillId="0" borderId="219" xfId="0" applyNumberFormat="1" applyFill="1" applyBorder="1" applyAlignment="1">
      <alignment horizontal="center" vertical="center"/>
    </xf>
    <xf numFmtId="10" fontId="108" fillId="0" borderId="199" xfId="0" applyNumberFormat="1" applyFont="1" applyFill="1" applyBorder="1" applyAlignment="1">
      <alignment horizontal="center" vertical="center" wrapText="1"/>
    </xf>
    <xf numFmtId="10" fontId="108" fillId="0" borderId="226" xfId="0" applyNumberFormat="1" applyFont="1" applyFill="1" applyBorder="1" applyAlignment="1">
      <alignment horizontal="center" vertical="center" wrapText="1"/>
    </xf>
    <xf numFmtId="0" fontId="0" fillId="7" borderId="130" xfId="0" applyFill="1" applyBorder="1" applyAlignment="1">
      <alignment horizontal="left" vertical="center" wrapText="1"/>
    </xf>
    <xf numFmtId="0" fontId="0" fillId="7" borderId="223" xfId="0" applyFill="1" applyBorder="1" applyAlignment="1">
      <alignment horizontal="left" vertical="center" wrapText="1"/>
    </xf>
    <xf numFmtId="10" fontId="108" fillId="0" borderId="216" xfId="0" applyNumberFormat="1" applyFont="1" applyFill="1" applyBorder="1" applyAlignment="1">
      <alignment horizontal="center" vertical="center"/>
    </xf>
    <xf numFmtId="10" fontId="108" fillId="0" borderId="208" xfId="0" applyNumberFormat="1" applyFont="1" applyFill="1" applyBorder="1" applyAlignment="1">
      <alignment horizontal="center" vertical="center"/>
    </xf>
    <xf numFmtId="10" fontId="108" fillId="0" borderId="211" xfId="0" applyNumberFormat="1" applyFont="1" applyFill="1" applyBorder="1" applyAlignment="1">
      <alignment horizontal="center" vertical="center"/>
    </xf>
    <xf numFmtId="164" fontId="108" fillId="0" borderId="113" xfId="0" applyNumberFormat="1" applyFont="1" applyFill="1" applyBorder="1" applyAlignment="1">
      <alignment horizontal="center" vertical="center"/>
    </xf>
    <xf numFmtId="164" fontId="108" fillId="0" borderId="114" xfId="0" applyNumberFormat="1" applyFont="1" applyFill="1" applyBorder="1" applyAlignment="1">
      <alignment horizontal="center" vertical="center"/>
    </xf>
    <xf numFmtId="164" fontId="108" fillId="0" borderId="81" xfId="0" applyNumberFormat="1" applyFont="1" applyFill="1" applyBorder="1" applyAlignment="1">
      <alignment horizontal="center" vertical="center"/>
    </xf>
    <xf numFmtId="10" fontId="108" fillId="0" borderId="113" xfId="0" applyNumberFormat="1" applyFont="1" applyFill="1" applyBorder="1" applyAlignment="1">
      <alignment horizontal="center" vertical="center" wrapText="1"/>
    </xf>
    <xf numFmtId="10" fontId="108" fillId="0" borderId="114" xfId="0" applyNumberFormat="1" applyFont="1" applyFill="1" applyBorder="1" applyAlignment="1">
      <alignment horizontal="center" vertical="center" wrapText="1"/>
    </xf>
    <xf numFmtId="10" fontId="108" fillId="0" borderId="81" xfId="0" applyNumberFormat="1" applyFont="1" applyFill="1" applyBorder="1" applyAlignment="1">
      <alignment horizontal="center" vertical="center" wrapText="1"/>
    </xf>
    <xf numFmtId="0" fontId="183" fillId="59" borderId="191" xfId="0" applyFont="1" applyFill="1" applyBorder="1" applyAlignment="1">
      <alignment horizontal="center"/>
    </xf>
    <xf numFmtId="164" fontId="108" fillId="0" borderId="191" xfId="0" applyNumberFormat="1" applyFont="1" applyBorder="1" applyAlignment="1">
      <alignment horizontal="center" vertical="center"/>
    </xf>
    <xf numFmtId="10" fontId="108" fillId="0" borderId="191" xfId="0" applyNumberFormat="1" applyFont="1" applyBorder="1" applyAlignment="1">
      <alignment horizontal="center" vertical="center"/>
    </xf>
    <xf numFmtId="10" fontId="0" fillId="7" borderId="191" xfId="0" applyNumberFormat="1" applyFill="1" applyBorder="1" applyAlignment="1">
      <alignment horizontal="center" vertical="center" wrapText="1"/>
    </xf>
    <xf numFmtId="0" fontId="183" fillId="55" borderId="88" xfId="0" applyFont="1" applyFill="1" applyBorder="1" applyAlignment="1">
      <alignment horizontal="center" vertical="center"/>
    </xf>
    <xf numFmtId="0" fontId="183" fillId="55" borderId="89" xfId="0" applyFont="1" applyFill="1" applyBorder="1" applyAlignment="1">
      <alignment horizontal="center" vertical="center"/>
    </xf>
    <xf numFmtId="0" fontId="183" fillId="55" borderId="90" xfId="0" applyFont="1" applyFill="1" applyBorder="1" applyAlignment="1">
      <alignment horizontal="center" vertical="center"/>
    </xf>
    <xf numFmtId="0" fontId="183" fillId="58" borderId="207" xfId="0" applyFont="1" applyFill="1" applyBorder="1" applyAlignment="1">
      <alignment horizontal="center"/>
    </xf>
    <xf numFmtId="0" fontId="183" fillId="58" borderId="229" xfId="0" applyFont="1" applyFill="1" applyBorder="1" applyAlignment="1">
      <alignment horizontal="center"/>
    </xf>
    <xf numFmtId="0" fontId="183" fillId="58" borderId="228" xfId="0" applyFont="1" applyFill="1" applyBorder="1" applyAlignment="1">
      <alignment horizontal="center"/>
    </xf>
    <xf numFmtId="10" fontId="0" fillId="0" borderId="200" xfId="0" applyNumberFormat="1" applyFont="1" applyBorder="1" applyAlignment="1">
      <alignment horizontal="left" vertical="center" wrapText="1"/>
    </xf>
    <xf numFmtId="10" fontId="0" fillId="0" borderId="41" xfId="0" applyNumberFormat="1" applyFont="1" applyBorder="1" applyAlignment="1">
      <alignment horizontal="left" vertical="center" wrapText="1"/>
    </xf>
    <xf numFmtId="10" fontId="0" fillId="0" borderId="42" xfId="0" applyNumberFormat="1" applyFont="1" applyBorder="1" applyAlignment="1">
      <alignment horizontal="left" vertical="center" wrapText="1"/>
    </xf>
    <xf numFmtId="0" fontId="199" fillId="0" borderId="191" xfId="0" applyFont="1" applyFill="1" applyBorder="1" applyAlignment="1">
      <alignment horizontal="center"/>
    </xf>
    <xf numFmtId="0" fontId="183" fillId="56" borderId="116" xfId="0" applyFont="1" applyFill="1" applyBorder="1" applyAlignment="1">
      <alignment horizontal="center"/>
    </xf>
    <xf numFmtId="0" fontId="183" fillId="56" borderId="117" xfId="0" applyFont="1" applyFill="1" applyBorder="1" applyAlignment="1">
      <alignment horizontal="center"/>
    </xf>
    <xf numFmtId="0" fontId="183" fillId="56" borderId="126" xfId="0" applyFont="1" applyFill="1" applyBorder="1" applyAlignment="1">
      <alignment horizontal="center"/>
    </xf>
    <xf numFmtId="10" fontId="0" fillId="0" borderId="221" xfId="0" applyNumberFormat="1" applyBorder="1" applyAlignment="1">
      <alignment horizontal="center" vertical="center"/>
    </xf>
    <xf numFmtId="10" fontId="0" fillId="0" borderId="220" xfId="0" applyNumberFormat="1" applyFont="1" applyBorder="1" applyAlignment="1">
      <alignment horizontal="center" vertical="center"/>
    </xf>
    <xf numFmtId="10" fontId="0" fillId="0" borderId="219" xfId="0" applyNumberFormat="1" applyFont="1" applyBorder="1" applyAlignment="1">
      <alignment horizontal="center" vertical="center"/>
    </xf>
    <xf numFmtId="9" fontId="108" fillId="0" borderId="191" xfId="0" applyNumberFormat="1" applyFont="1" applyBorder="1" applyAlignment="1">
      <alignment horizontal="center" vertical="center"/>
    </xf>
    <xf numFmtId="10" fontId="0" fillId="0" borderId="200" xfId="0" applyNumberFormat="1" applyBorder="1" applyAlignment="1">
      <alignment horizontal="left" vertical="center" wrapText="1"/>
    </xf>
    <xf numFmtId="10" fontId="0" fillId="0" borderId="41" xfId="0" applyNumberFormat="1" applyBorder="1" applyAlignment="1">
      <alignment horizontal="left" vertical="center" wrapText="1"/>
    </xf>
    <xf numFmtId="10" fontId="0" fillId="0" borderId="42" xfId="0" applyNumberFormat="1" applyBorder="1" applyAlignment="1">
      <alignment horizontal="left" vertical="center" wrapText="1"/>
    </xf>
    <xf numFmtId="0" fontId="108" fillId="7" borderId="137" xfId="0" applyFont="1" applyFill="1" applyBorder="1" applyAlignment="1">
      <alignment horizontal="left" vertical="center" wrapText="1"/>
    </xf>
    <xf numFmtId="0" fontId="108" fillId="7" borderId="135" xfId="0" applyFont="1" applyFill="1" applyBorder="1" applyAlignment="1">
      <alignment horizontal="left" vertical="center" wrapText="1"/>
    </xf>
    <xf numFmtId="10" fontId="108" fillId="0" borderId="201" xfId="0" applyNumberFormat="1" applyFont="1" applyBorder="1" applyAlignment="1">
      <alignment horizontal="center" vertical="center"/>
    </xf>
    <xf numFmtId="10" fontId="108" fillId="0" borderId="81" xfId="0" applyNumberFormat="1" applyFont="1" applyBorder="1" applyAlignment="1">
      <alignment horizontal="center" vertical="center"/>
    </xf>
    <xf numFmtId="0" fontId="0" fillId="0" borderId="222" xfId="0" applyFill="1" applyBorder="1" applyAlignment="1">
      <alignment horizontal="center" vertical="center"/>
    </xf>
    <xf numFmtId="0" fontId="0" fillId="0" borderId="223" xfId="0" applyFill="1" applyBorder="1" applyAlignment="1">
      <alignment horizontal="center" vertical="center"/>
    </xf>
    <xf numFmtId="9" fontId="108" fillId="0" borderId="200" xfId="0" applyNumberFormat="1" applyFont="1" applyBorder="1" applyAlignment="1">
      <alignment horizontal="center" vertical="center"/>
    </xf>
    <xf numFmtId="9" fontId="108" fillId="0" borderId="218" xfId="0" applyNumberFormat="1" applyFont="1" applyBorder="1" applyAlignment="1">
      <alignment horizontal="center" vertical="center"/>
    </xf>
    <xf numFmtId="10" fontId="196" fillId="62" borderId="191" xfId="0" applyNumberFormat="1" applyFont="1" applyFill="1" applyBorder="1" applyAlignment="1">
      <alignment horizontal="center" vertical="center"/>
    </xf>
    <xf numFmtId="10" fontId="0" fillId="0" borderId="215" xfId="0" applyNumberFormat="1" applyFill="1" applyBorder="1" applyAlignment="1">
      <alignment horizontal="center" vertical="center"/>
    </xf>
    <xf numFmtId="9" fontId="0" fillId="0" borderId="200" xfId="1" applyFont="1" applyBorder="1" applyAlignment="1">
      <alignment horizontal="center" vertical="center"/>
    </xf>
    <xf numFmtId="9" fontId="0" fillId="0" borderId="41" xfId="1" applyFont="1" applyBorder="1" applyAlignment="1">
      <alignment horizontal="center" vertical="center"/>
    </xf>
    <xf numFmtId="9" fontId="0" fillId="0" borderId="42" xfId="1" applyFont="1" applyBorder="1" applyAlignment="1">
      <alignment horizontal="center" vertical="center"/>
    </xf>
    <xf numFmtId="0" fontId="183" fillId="54" borderId="116" xfId="0" applyFont="1" applyFill="1" applyBorder="1" applyAlignment="1">
      <alignment horizontal="center"/>
    </xf>
    <xf numFmtId="0" fontId="183" fillId="54" borderId="117" xfId="0" applyFont="1" applyFill="1" applyBorder="1" applyAlignment="1">
      <alignment horizontal="center"/>
    </xf>
    <xf numFmtId="0" fontId="183" fillId="54" borderId="126" xfId="0" applyFont="1" applyFill="1" applyBorder="1" applyAlignment="1">
      <alignment horizontal="center"/>
    </xf>
    <xf numFmtId="0" fontId="183" fillId="55" borderId="116" xfId="0" applyFont="1" applyFill="1" applyBorder="1" applyAlignment="1">
      <alignment horizontal="center"/>
    </xf>
    <xf numFmtId="0" fontId="183" fillId="55" borderId="117" xfId="0" applyFont="1" applyFill="1" applyBorder="1" applyAlignment="1">
      <alignment horizontal="center"/>
    </xf>
    <xf numFmtId="0" fontId="183" fillId="55" borderId="126" xfId="0" applyFont="1" applyFill="1" applyBorder="1" applyAlignment="1">
      <alignment horizontal="center"/>
    </xf>
    <xf numFmtId="0" fontId="0" fillId="0" borderId="191" xfId="0" applyFont="1" applyBorder="1" applyAlignment="1">
      <alignment horizontal="center" vertical="center" wrapText="1"/>
    </xf>
    <xf numFmtId="168" fontId="0" fillId="0" borderId="214" xfId="0" applyNumberFormat="1" applyBorder="1" applyAlignment="1">
      <alignment horizontal="center" vertical="center"/>
    </xf>
    <xf numFmtId="168" fontId="0" fillId="0" borderId="41" xfId="0" applyNumberFormat="1" applyBorder="1" applyAlignment="1">
      <alignment horizontal="center" vertical="center"/>
    </xf>
    <xf numFmtId="168" fontId="0" fillId="0" borderId="218" xfId="0" applyNumberFormat="1" applyBorder="1" applyAlignment="1">
      <alignment horizontal="center" vertical="center"/>
    </xf>
    <xf numFmtId="0" fontId="0" fillId="0" borderId="200"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200" xfId="0" applyFill="1" applyBorder="1" applyAlignment="1">
      <alignment horizontal="center" vertical="center" wrapText="1"/>
    </xf>
    <xf numFmtId="0" fontId="0" fillId="0" borderId="41" xfId="0" applyFill="1" applyBorder="1" applyAlignment="1">
      <alignment horizontal="center" vertical="center" wrapText="1"/>
    </xf>
    <xf numFmtId="0" fontId="0" fillId="0" borderId="42" xfId="0" applyFill="1" applyBorder="1" applyAlignment="1">
      <alignment horizontal="center" vertical="center" wrapText="1"/>
    </xf>
    <xf numFmtId="9" fontId="0" fillId="0" borderId="200" xfId="0" applyNumberFormat="1" applyBorder="1" applyAlignment="1">
      <alignment horizontal="center" vertical="center"/>
    </xf>
    <xf numFmtId="9" fontId="0" fillId="0" borderId="41" xfId="0" applyNumberFormat="1" applyBorder="1" applyAlignment="1">
      <alignment horizontal="center" vertical="center"/>
    </xf>
    <xf numFmtId="9" fontId="0" fillId="0" borderId="42" xfId="0" applyNumberFormat="1" applyBorder="1" applyAlignment="1">
      <alignment horizontal="center" vertical="center"/>
    </xf>
    <xf numFmtId="10" fontId="0" fillId="0" borderId="201" xfId="0" applyNumberFormat="1" applyBorder="1" applyAlignment="1">
      <alignment horizontal="left" vertical="center" wrapText="1"/>
    </xf>
    <xf numFmtId="10" fontId="0" fillId="0" borderId="81" xfId="0" applyNumberFormat="1" applyBorder="1" applyAlignment="1">
      <alignment horizontal="left" vertical="center" wrapText="1"/>
    </xf>
    <xf numFmtId="9" fontId="0" fillId="0" borderId="210" xfId="0" applyNumberFormat="1" applyBorder="1" applyAlignment="1">
      <alignment horizontal="center" vertical="center"/>
    </xf>
    <xf numFmtId="10" fontId="0" fillId="0" borderId="233" xfId="0" applyNumberFormat="1" applyBorder="1" applyAlignment="1">
      <alignment horizontal="center" vertical="center" wrapText="1"/>
    </xf>
    <xf numFmtId="10" fontId="0" fillId="0" borderId="208" xfId="0" applyNumberFormat="1" applyBorder="1" applyAlignment="1">
      <alignment horizontal="center" vertical="center" wrapText="1"/>
    </xf>
    <xf numFmtId="10" fontId="0" fillId="0" borderId="211" xfId="0" applyNumberFormat="1" applyBorder="1" applyAlignment="1">
      <alignment horizontal="center" vertical="center" wrapText="1"/>
    </xf>
    <xf numFmtId="9" fontId="0" fillId="0" borderId="214" xfId="0" applyNumberFormat="1" applyFont="1" applyFill="1" applyBorder="1" applyAlignment="1">
      <alignment horizontal="center" vertical="center"/>
    </xf>
    <xf numFmtId="9" fontId="0" fillId="0" borderId="42" xfId="0" applyNumberFormat="1" applyFont="1" applyFill="1" applyBorder="1" applyAlignment="1">
      <alignment horizontal="center" vertical="center"/>
    </xf>
    <xf numFmtId="10" fontId="186" fillId="0" borderId="191" xfId="0" applyNumberFormat="1" applyFont="1" applyBorder="1" applyAlignment="1">
      <alignment horizontal="center" vertical="center"/>
    </xf>
    <xf numFmtId="0" fontId="0" fillId="0" borderId="191" xfId="0" applyFill="1" applyBorder="1" applyAlignment="1">
      <alignment horizontal="center" vertical="center"/>
    </xf>
    <xf numFmtId="10" fontId="0" fillId="0" borderId="201" xfId="0" applyNumberFormat="1" applyBorder="1" applyAlignment="1">
      <alignment horizontal="center" vertical="center"/>
    </xf>
    <xf numFmtId="10" fontId="0" fillId="0" borderId="81" xfId="0" applyNumberFormat="1" applyBorder="1" applyAlignment="1">
      <alignment horizontal="center" vertical="center"/>
    </xf>
    <xf numFmtId="9" fontId="0" fillId="0" borderId="200" xfId="0" applyNumberFormat="1" applyFont="1" applyBorder="1" applyAlignment="1">
      <alignment horizontal="center" vertical="center"/>
    </xf>
    <xf numFmtId="9" fontId="0" fillId="0" borderId="218" xfId="0" applyNumberFormat="1" applyFont="1" applyBorder="1" applyAlignment="1">
      <alignment horizontal="center" vertical="center"/>
    </xf>
    <xf numFmtId="0" fontId="0" fillId="0" borderId="213" xfId="0" applyBorder="1" applyAlignment="1">
      <alignment horizontal="center" vertical="center" wrapText="1"/>
    </xf>
    <xf numFmtId="0" fontId="0" fillId="0" borderId="130" xfId="0" applyBorder="1" applyAlignment="1">
      <alignment horizontal="center" vertical="center" wrapText="1"/>
    </xf>
    <xf numFmtId="0" fontId="0" fillId="0" borderId="223" xfId="0" applyBorder="1" applyAlignment="1">
      <alignment horizontal="center" vertical="center" wrapText="1"/>
    </xf>
    <xf numFmtId="9" fontId="0" fillId="0" borderId="214" xfId="0" applyNumberFormat="1" applyFont="1" applyBorder="1" applyAlignment="1">
      <alignment horizontal="center" vertical="center"/>
    </xf>
    <xf numFmtId="9" fontId="0" fillId="0" borderId="41" xfId="0" applyNumberFormat="1" applyFont="1" applyBorder="1" applyAlignment="1">
      <alignment horizontal="center" vertical="center"/>
    </xf>
    <xf numFmtId="0" fontId="0" fillId="0" borderId="0" xfId="0" applyFill="1" applyBorder="1" applyAlignment="1">
      <alignment horizontal="center" vertical="center" wrapText="1"/>
    </xf>
    <xf numFmtId="0" fontId="0" fillId="0" borderId="113" xfId="0" applyBorder="1" applyAlignment="1">
      <alignment horizontal="center" vertical="center" wrapText="1"/>
    </xf>
    <xf numFmtId="0" fontId="0" fillId="0" borderId="114" xfId="0" applyBorder="1" applyAlignment="1">
      <alignment horizontal="center" vertical="center" wrapText="1"/>
    </xf>
    <xf numFmtId="0" fontId="0" fillId="0" borderId="81" xfId="0" applyBorder="1" applyAlignment="1">
      <alignment horizontal="center" vertical="center" wrapText="1"/>
    </xf>
    <xf numFmtId="9" fontId="0" fillId="0" borderId="0" xfId="0" applyNumberFormat="1" applyFont="1" applyFill="1" applyBorder="1" applyAlignment="1">
      <alignment horizontal="center" vertical="center"/>
    </xf>
    <xf numFmtId="10" fontId="0" fillId="0" borderId="0" xfId="0" applyNumberFormat="1" applyFill="1" applyBorder="1" applyAlignment="1">
      <alignment horizontal="center" vertical="center"/>
    </xf>
    <xf numFmtId="0" fontId="0" fillId="0" borderId="0" xfId="0" applyNumberFormat="1" applyFill="1" applyBorder="1" applyAlignment="1">
      <alignment horizontal="center" vertical="center"/>
    </xf>
    <xf numFmtId="10" fontId="0" fillId="0" borderId="215" xfId="0" applyNumberFormat="1" applyBorder="1" applyAlignment="1">
      <alignment horizontal="center" vertical="center"/>
    </xf>
    <xf numFmtId="10" fontId="0" fillId="0" borderId="220" xfId="0" applyNumberFormat="1" applyBorder="1" applyAlignment="1">
      <alignment horizontal="center" vertical="center"/>
    </xf>
    <xf numFmtId="10" fontId="0" fillId="0" borderId="219" xfId="0" applyNumberFormat="1" applyBorder="1" applyAlignment="1">
      <alignment horizontal="center" vertical="center"/>
    </xf>
    <xf numFmtId="10" fontId="108" fillId="0" borderId="210" xfId="0" applyNumberFormat="1" applyFont="1" applyFill="1" applyBorder="1" applyAlignment="1">
      <alignment horizontal="center" vertical="center" wrapText="1"/>
    </xf>
    <xf numFmtId="10" fontId="0" fillId="0" borderId="201" xfId="0" applyNumberFormat="1" applyBorder="1" applyAlignment="1">
      <alignment horizontal="center" vertical="center" wrapText="1"/>
    </xf>
    <xf numFmtId="10" fontId="0" fillId="0" borderId="81" xfId="0" applyNumberFormat="1" applyBorder="1" applyAlignment="1">
      <alignment horizontal="center" vertical="center" wrapText="1"/>
    </xf>
    <xf numFmtId="10" fontId="108" fillId="0" borderId="236" xfId="0" applyNumberFormat="1" applyFont="1" applyFill="1" applyBorder="1" applyAlignment="1">
      <alignment horizontal="center" vertical="center"/>
    </xf>
    <xf numFmtId="10" fontId="108" fillId="0" borderId="207" xfId="0" applyNumberFormat="1" applyFont="1" applyFill="1" applyBorder="1" applyAlignment="1">
      <alignment horizontal="center" vertical="center"/>
    </xf>
    <xf numFmtId="10" fontId="108" fillId="0" borderId="231" xfId="0" applyNumberFormat="1" applyFont="1" applyFill="1" applyBorder="1" applyAlignment="1">
      <alignment horizontal="center" vertical="center"/>
    </xf>
    <xf numFmtId="164" fontId="108" fillId="0" borderId="214" xfId="0" applyNumberFormat="1" applyFont="1" applyFill="1" applyBorder="1" applyAlignment="1">
      <alignment horizontal="center" vertical="center"/>
    </xf>
    <xf numFmtId="164" fontId="108" fillId="0" borderId="41" xfId="0" applyNumberFormat="1" applyFont="1" applyFill="1" applyBorder="1" applyAlignment="1">
      <alignment horizontal="center" vertical="center"/>
    </xf>
    <xf numFmtId="164" fontId="108" fillId="0" borderId="218" xfId="0" applyNumberFormat="1" applyFont="1" applyFill="1" applyBorder="1" applyAlignment="1">
      <alignment horizontal="center" vertical="center"/>
    </xf>
    <xf numFmtId="10" fontId="108" fillId="0" borderId="90" xfId="0" applyNumberFormat="1" applyFont="1" applyFill="1" applyBorder="1" applyAlignment="1">
      <alignment horizontal="center" vertical="center" wrapText="1"/>
    </xf>
    <xf numFmtId="10" fontId="108" fillId="0" borderId="127" xfId="0" applyNumberFormat="1" applyFont="1" applyFill="1" applyBorder="1" applyAlignment="1">
      <alignment horizontal="center" vertical="center" wrapText="1"/>
    </xf>
    <xf numFmtId="10" fontId="108" fillId="0" borderId="93" xfId="0" applyNumberFormat="1" applyFont="1" applyFill="1" applyBorder="1" applyAlignment="1">
      <alignment horizontal="center" vertical="center" wrapText="1"/>
    </xf>
    <xf numFmtId="9" fontId="0" fillId="0" borderId="210" xfId="0" applyNumberFormat="1" applyFont="1" applyBorder="1" applyAlignment="1">
      <alignment horizontal="center" vertical="center"/>
    </xf>
    <xf numFmtId="2" fontId="0" fillId="0" borderId="200" xfId="0" applyNumberFormat="1" applyBorder="1" applyAlignment="1">
      <alignment horizontal="center" vertical="center"/>
    </xf>
    <xf numFmtId="2" fontId="0" fillId="0" borderId="41" xfId="0" applyNumberFormat="1" applyBorder="1" applyAlignment="1">
      <alignment horizontal="center" vertical="center"/>
    </xf>
    <xf numFmtId="2" fontId="0" fillId="0" borderId="218" xfId="0" applyNumberFormat="1" applyBorder="1" applyAlignment="1">
      <alignment horizontal="center" vertical="center"/>
    </xf>
    <xf numFmtId="0" fontId="0" fillId="0" borderId="221" xfId="0" applyBorder="1" applyAlignment="1">
      <alignment horizontal="center" vertical="center" wrapText="1"/>
    </xf>
    <xf numFmtId="0" fontId="0" fillId="0" borderId="220" xfId="0" applyBorder="1" applyAlignment="1">
      <alignment horizontal="center" vertical="center" wrapText="1"/>
    </xf>
    <xf numFmtId="0" fontId="0" fillId="0" borderId="219" xfId="0" applyBorder="1" applyAlignment="1">
      <alignment horizontal="center" vertical="center" wrapText="1"/>
    </xf>
    <xf numFmtId="10" fontId="108" fillId="0" borderId="215" xfId="0" applyNumberFormat="1" applyFont="1" applyBorder="1" applyAlignment="1">
      <alignment horizontal="center" vertical="center"/>
    </xf>
    <xf numFmtId="10" fontId="108" fillId="0" borderId="220" xfId="0" applyNumberFormat="1" applyFont="1" applyBorder="1" applyAlignment="1">
      <alignment horizontal="center" vertical="center"/>
    </xf>
    <xf numFmtId="10" fontId="108" fillId="0" borderId="219" xfId="0" applyNumberFormat="1" applyFont="1" applyBorder="1" applyAlignment="1">
      <alignment horizontal="center" vertical="center"/>
    </xf>
    <xf numFmtId="0" fontId="183" fillId="60" borderId="116" xfId="0" applyFont="1" applyFill="1" applyBorder="1" applyAlignment="1">
      <alignment horizontal="center"/>
    </xf>
    <xf numFmtId="0" fontId="183" fillId="60" borderId="117" xfId="0" applyFont="1" applyFill="1" applyBorder="1" applyAlignment="1">
      <alignment horizontal="center"/>
    </xf>
    <xf numFmtId="0" fontId="183" fillId="60" borderId="126" xfId="0" applyFont="1" applyFill="1" applyBorder="1" applyAlignment="1">
      <alignment horizontal="center"/>
    </xf>
    <xf numFmtId="0" fontId="183" fillId="61" borderId="116" xfId="0" applyFont="1" applyFill="1" applyBorder="1" applyAlignment="1">
      <alignment horizontal="center"/>
    </xf>
    <xf numFmtId="0" fontId="183" fillId="61" borderId="117" xfId="0" applyFont="1" applyFill="1" applyBorder="1" applyAlignment="1">
      <alignment horizontal="center"/>
    </xf>
    <xf numFmtId="0" fontId="183" fillId="61" borderId="126" xfId="0" applyFont="1" applyFill="1" applyBorder="1" applyAlignment="1">
      <alignment horizontal="center"/>
    </xf>
    <xf numFmtId="0" fontId="183" fillId="0" borderId="0" xfId="0" applyFont="1" applyFill="1" applyBorder="1" applyAlignment="1">
      <alignment horizontal="center"/>
    </xf>
    <xf numFmtId="10" fontId="0" fillId="0" borderId="215" xfId="0" applyNumberFormat="1" applyBorder="1" applyAlignment="1">
      <alignment horizontal="center" vertical="center" wrapText="1"/>
    </xf>
    <xf numFmtId="10" fontId="0" fillId="0" borderId="220" xfId="0" applyNumberFormat="1" applyBorder="1" applyAlignment="1">
      <alignment horizontal="center" vertical="center" wrapText="1"/>
    </xf>
    <xf numFmtId="10" fontId="0" fillId="0" borderId="219" xfId="0" applyNumberFormat="1" applyBorder="1" applyAlignment="1">
      <alignment horizontal="center" vertical="center" wrapText="1"/>
    </xf>
    <xf numFmtId="0" fontId="0" fillId="7" borderId="222" xfId="0" applyFill="1" applyBorder="1" applyAlignment="1">
      <alignment horizontal="left" vertical="center" wrapText="1"/>
    </xf>
    <xf numFmtId="9" fontId="0" fillId="0" borderId="42" xfId="0" applyNumberFormat="1" applyFont="1" applyBorder="1" applyAlignment="1">
      <alignment horizontal="center" vertical="center"/>
    </xf>
    <xf numFmtId="0" fontId="55" fillId="65" borderId="0" xfId="0" applyFont="1" applyFill="1" applyAlignment="1">
      <alignment horizontal="center"/>
    </xf>
    <xf numFmtId="0" fontId="183" fillId="66" borderId="88" xfId="0" applyFont="1" applyFill="1" applyBorder="1" applyAlignment="1">
      <alignment horizontal="center" vertical="center"/>
    </xf>
    <xf numFmtId="0" fontId="183" fillId="66" borderId="89" xfId="0" applyFont="1" applyFill="1" applyBorder="1" applyAlignment="1">
      <alignment horizontal="center" vertical="center"/>
    </xf>
    <xf numFmtId="0" fontId="183" fillId="66" borderId="90" xfId="0" applyFont="1" applyFill="1" applyBorder="1" applyAlignment="1">
      <alignment horizontal="center" vertical="center"/>
    </xf>
    <xf numFmtId="0" fontId="183" fillId="66" borderId="234" xfId="0" applyFont="1" applyFill="1" applyBorder="1" applyAlignment="1">
      <alignment horizontal="center" vertical="center"/>
    </xf>
    <xf numFmtId="0" fontId="183" fillId="66" borderId="134" xfId="0" applyFont="1" applyFill="1" applyBorder="1" applyAlignment="1">
      <alignment horizontal="center" vertical="center"/>
    </xf>
    <xf numFmtId="0" fontId="183" fillId="66" borderId="227" xfId="0" applyFont="1" applyFill="1" applyBorder="1" applyAlignment="1">
      <alignment horizontal="center" vertical="center"/>
    </xf>
    <xf numFmtId="0" fontId="105" fillId="0" borderId="191" xfId="0" applyFont="1" applyBorder="1" applyAlignment="1">
      <alignment horizontal="center"/>
    </xf>
    <xf numFmtId="0" fontId="105" fillId="0" borderId="207" xfId="0" applyFont="1" applyBorder="1" applyAlignment="1">
      <alignment horizontal="center" wrapText="1"/>
    </xf>
    <xf numFmtId="0" fontId="105" fillId="0" borderId="229" xfId="0" applyFont="1" applyBorder="1" applyAlignment="1">
      <alignment horizontal="center" wrapText="1"/>
    </xf>
    <xf numFmtId="0" fontId="105" fillId="0" borderId="228" xfId="0" applyFont="1" applyBorder="1" applyAlignment="1">
      <alignment horizontal="center" wrapText="1"/>
    </xf>
    <xf numFmtId="0" fontId="0" fillId="0" borderId="207" xfId="0" applyBorder="1" applyAlignment="1">
      <alignment horizontal="left" wrapText="1"/>
    </xf>
    <xf numFmtId="0" fontId="0" fillId="0" borderId="229" xfId="0" applyBorder="1" applyAlignment="1">
      <alignment horizontal="left" wrapText="1"/>
    </xf>
    <xf numFmtId="0" fontId="0" fillId="0" borderId="228" xfId="0" applyBorder="1" applyAlignment="1">
      <alignment horizontal="left" wrapText="1"/>
    </xf>
    <xf numFmtId="0" fontId="105" fillId="0" borderId="0" xfId="0" applyFont="1" applyAlignment="1">
      <alignment horizontal="center"/>
    </xf>
    <xf numFmtId="0" fontId="77" fillId="0" borderId="0" xfId="0" applyFont="1" applyAlignment="1">
      <alignment horizontal="left" wrapText="1"/>
    </xf>
    <xf numFmtId="0" fontId="0" fillId="0" borderId="136" xfId="0" applyBorder="1" applyAlignment="1">
      <alignment horizontal="left" vertical="center" wrapText="1"/>
    </xf>
    <xf numFmtId="0" fontId="0" fillId="0" borderId="207" xfId="0" applyBorder="1" applyAlignment="1">
      <alignment horizontal="left" vertical="center" wrapText="1"/>
    </xf>
    <xf numFmtId="0" fontId="0" fillId="0" borderId="229" xfId="0" applyBorder="1" applyAlignment="1">
      <alignment horizontal="left" vertical="center" wrapText="1"/>
    </xf>
    <xf numFmtId="0" fontId="0" fillId="0" borderId="228" xfId="0" applyBorder="1" applyAlignment="1">
      <alignment horizontal="left" vertical="center" wrapText="1"/>
    </xf>
    <xf numFmtId="0" fontId="131" fillId="0" borderId="91" xfId="2" applyFont="1" applyBorder="1" applyAlignment="1">
      <alignment horizontal="left" vertical="center"/>
    </xf>
    <xf numFmtId="0" fontId="131" fillId="0" borderId="92" xfId="2" applyFont="1" applyBorder="1" applyAlignment="1">
      <alignment horizontal="left" vertical="center"/>
    </xf>
    <xf numFmtId="0" fontId="131" fillId="0" borderId="93" xfId="2" applyFont="1" applyBorder="1" applyAlignment="1">
      <alignment horizontal="left" vertical="center"/>
    </xf>
    <xf numFmtId="0" fontId="128" fillId="0" borderId="129" xfId="2" applyFont="1" applyBorder="1" applyAlignment="1">
      <alignment horizontal="left" wrapText="1"/>
    </xf>
    <xf numFmtId="0" fontId="128" fillId="41" borderId="116" xfId="2" applyFont="1" applyFill="1" applyBorder="1" applyAlignment="1">
      <alignment horizontal="center" vertical="center"/>
    </xf>
    <xf numFmtId="0" fontId="128" fillId="41" borderId="117" xfId="2" applyFont="1" applyFill="1" applyBorder="1" applyAlignment="1">
      <alignment horizontal="center" vertical="center"/>
    </xf>
    <xf numFmtId="0" fontId="128" fillId="41" borderId="126" xfId="2" applyFont="1" applyFill="1" applyBorder="1" applyAlignment="1">
      <alignment horizontal="center" vertical="center"/>
    </xf>
    <xf numFmtId="0" fontId="133" fillId="8" borderId="116" xfId="2" applyNumberFormat="1" applyFont="1" applyFill="1" applyBorder="1" applyAlignment="1">
      <alignment horizontal="center" vertical="center" wrapText="1"/>
    </xf>
    <xf numFmtId="0" fontId="133" fillId="8" borderId="117" xfId="2" applyNumberFormat="1" applyFont="1" applyFill="1" applyBorder="1" applyAlignment="1">
      <alignment horizontal="center" vertical="center" wrapText="1"/>
    </xf>
    <xf numFmtId="0" fontId="133" fillId="8" borderId="126" xfId="2" applyNumberFormat="1" applyFont="1" applyFill="1" applyBorder="1" applyAlignment="1">
      <alignment horizontal="center" vertical="center" wrapText="1"/>
    </xf>
    <xf numFmtId="0" fontId="101" fillId="0" borderId="131" xfId="0" applyFont="1" applyFill="1" applyBorder="1" applyAlignment="1">
      <alignment horizontal="left" vertical="top" wrapText="1"/>
    </xf>
    <xf numFmtId="0" fontId="101" fillId="0" borderId="89" xfId="0" applyFont="1" applyFill="1" applyBorder="1" applyAlignment="1">
      <alignment horizontal="left" vertical="top" wrapText="1"/>
    </xf>
    <xf numFmtId="0" fontId="101" fillId="0" borderId="90" xfId="0" applyFont="1" applyFill="1" applyBorder="1" applyAlignment="1">
      <alignment horizontal="left" vertical="top" wrapText="1"/>
    </xf>
    <xf numFmtId="0" fontId="101" fillId="0" borderId="132" xfId="0" applyFont="1" applyFill="1" applyBorder="1" applyAlignment="1">
      <alignment horizontal="left" vertical="top" wrapText="1"/>
    </xf>
    <xf numFmtId="0" fontId="101" fillId="0" borderId="92" xfId="0" applyFont="1" applyFill="1" applyBorder="1" applyAlignment="1">
      <alignment horizontal="left" vertical="top" wrapText="1"/>
    </xf>
    <xf numFmtId="0" fontId="101" fillId="0" borderId="93" xfId="0" applyFont="1" applyFill="1" applyBorder="1" applyAlignment="1">
      <alignment horizontal="left" vertical="top" wrapText="1"/>
    </xf>
    <xf numFmtId="0" fontId="131" fillId="0" borderId="115" xfId="2" applyFont="1" applyBorder="1" applyAlignment="1">
      <alignment horizontal="left" vertical="center"/>
    </xf>
    <xf numFmtId="0" fontId="131" fillId="0" borderId="0" xfId="2" applyFont="1" applyBorder="1" applyAlignment="1">
      <alignment horizontal="left" vertical="center"/>
    </xf>
    <xf numFmtId="0" fontId="131" fillId="0" borderId="127" xfId="2" applyFont="1" applyBorder="1" applyAlignment="1">
      <alignment horizontal="left" vertical="center"/>
    </xf>
    <xf numFmtId="0" fontId="129" fillId="0" borderId="115" xfId="2" applyFont="1" applyBorder="1" applyAlignment="1">
      <alignment horizontal="left" vertical="center" indent="4"/>
    </xf>
    <xf numFmtId="0" fontId="128" fillId="0" borderId="0" xfId="2" applyFont="1" applyBorder="1" applyAlignment="1">
      <alignment horizontal="left" vertical="center" indent="4"/>
    </xf>
    <xf numFmtId="0" fontId="128" fillId="0" borderId="127" xfId="2" applyFont="1" applyBorder="1" applyAlignment="1">
      <alignment horizontal="left" vertical="center" indent="4"/>
    </xf>
    <xf numFmtId="0" fontId="129" fillId="0" borderId="115" xfId="2" applyFont="1" applyBorder="1" applyAlignment="1">
      <alignment horizontal="left" vertical="center"/>
    </xf>
    <xf numFmtId="0" fontId="129" fillId="0" borderId="0" xfId="2" applyFont="1" applyBorder="1" applyAlignment="1">
      <alignment horizontal="left" vertical="center"/>
    </xf>
    <xf numFmtId="0" fontId="129" fillId="0" borderId="127" xfId="2" applyFont="1" applyBorder="1" applyAlignment="1">
      <alignment horizontal="left" vertical="center"/>
    </xf>
    <xf numFmtId="0" fontId="132" fillId="0" borderId="115" xfId="2" applyFont="1" applyBorder="1" applyAlignment="1">
      <alignment horizontal="left" vertical="center"/>
    </xf>
    <xf numFmtId="0" fontId="132" fillId="0" borderId="0" xfId="2" applyFont="1" applyBorder="1" applyAlignment="1">
      <alignment horizontal="left" vertical="center"/>
    </xf>
    <xf numFmtId="0" fontId="132" fillId="0" borderId="127" xfId="2" applyFont="1" applyBorder="1" applyAlignment="1">
      <alignment horizontal="left" vertical="center"/>
    </xf>
    <xf numFmtId="0" fontId="129" fillId="0" borderId="201" xfId="2" applyFont="1" applyBorder="1" applyAlignment="1">
      <alignment horizontal="left" vertical="top"/>
    </xf>
    <xf numFmtId="0" fontId="129" fillId="0" borderId="118" xfId="2" applyFont="1" applyBorder="1" applyAlignment="1">
      <alignment horizontal="left" vertical="top"/>
    </xf>
    <xf numFmtId="0" fontId="128" fillId="0" borderId="115" xfId="2" applyFont="1" applyBorder="1" applyAlignment="1">
      <alignment horizontal="left" vertical="center"/>
    </xf>
    <xf numFmtId="0" fontId="128" fillId="0" borderId="0" xfId="2" applyFont="1" applyBorder="1" applyAlignment="1">
      <alignment horizontal="left" vertical="center"/>
    </xf>
    <xf numFmtId="0" fontId="128" fillId="0" borderId="127" xfId="2" applyFont="1" applyBorder="1" applyAlignment="1">
      <alignment horizontal="left" vertical="center"/>
    </xf>
    <xf numFmtId="0" fontId="128" fillId="25" borderId="91" xfId="2" applyFont="1" applyFill="1" applyBorder="1" applyAlignment="1" applyProtection="1">
      <alignment horizontal="center" vertical="center" wrapText="1"/>
    </xf>
    <xf numFmtId="0" fontId="128" fillId="25" borderId="92" xfId="2" applyFont="1" applyFill="1" applyBorder="1" applyAlignment="1" applyProtection="1">
      <alignment horizontal="center" vertical="center" wrapText="1"/>
    </xf>
    <xf numFmtId="0" fontId="128" fillId="25" borderId="93" xfId="2" applyFont="1" applyFill="1" applyBorder="1" applyAlignment="1" applyProtection="1">
      <alignment horizontal="center" vertical="center" wrapText="1"/>
    </xf>
    <xf numFmtId="0" fontId="128" fillId="11" borderId="201" xfId="2" applyFont="1" applyFill="1" applyBorder="1" applyAlignment="1" applyProtection="1">
      <alignment horizontal="center" vertical="top" wrapText="1"/>
      <protection locked="0"/>
    </xf>
    <xf numFmtId="0" fontId="128" fillId="11" borderId="114" xfId="2" applyFont="1" applyFill="1" applyBorder="1" applyAlignment="1" applyProtection="1">
      <alignment horizontal="center" vertical="top" wrapText="1"/>
      <protection locked="0"/>
    </xf>
    <xf numFmtId="0" fontId="128" fillId="11" borderId="81" xfId="2" applyFont="1" applyFill="1" applyBorder="1" applyAlignment="1" applyProtection="1">
      <alignment horizontal="center" vertical="top" wrapText="1"/>
      <protection locked="0"/>
    </xf>
    <xf numFmtId="0" fontId="128" fillId="25" borderId="116" xfId="2" applyFont="1" applyFill="1" applyBorder="1" applyAlignment="1" applyProtection="1">
      <alignment horizontal="center" vertical="center" wrapText="1"/>
      <protection locked="0"/>
    </xf>
    <xf numFmtId="0" fontId="128" fillId="25" borderId="117" xfId="2" applyFont="1" applyFill="1" applyBorder="1" applyAlignment="1" applyProtection="1">
      <alignment horizontal="center" vertical="center" wrapText="1"/>
      <protection locked="0"/>
    </xf>
    <xf numFmtId="0" fontId="128" fillId="25" borderId="126" xfId="2" applyFont="1" applyFill="1" applyBorder="1" applyAlignment="1" applyProtection="1">
      <alignment horizontal="center" vertical="center" wrapText="1"/>
      <protection locked="0"/>
    </xf>
    <xf numFmtId="0" fontId="132" fillId="0" borderId="88" xfId="2" applyFont="1" applyBorder="1" applyAlignment="1">
      <alignment horizontal="left" vertical="center"/>
    </xf>
    <xf numFmtId="0" fontId="132" fillId="0" borderId="89" xfId="2" applyFont="1" applyBorder="1" applyAlignment="1">
      <alignment horizontal="left" vertical="center"/>
    </xf>
    <xf numFmtId="0" fontId="102" fillId="0" borderId="115" xfId="2" applyFont="1" applyBorder="1" applyAlignment="1">
      <alignment horizontal="left" vertical="center"/>
    </xf>
    <xf numFmtId="0" fontId="102" fillId="0" borderId="0" xfId="2" applyFont="1" applyBorder="1" applyAlignment="1">
      <alignment horizontal="left" vertical="center"/>
    </xf>
    <xf numFmtId="0" fontId="102" fillId="0" borderId="127" xfId="2" applyFont="1" applyBorder="1" applyAlignment="1">
      <alignment horizontal="left" vertical="center"/>
    </xf>
    <xf numFmtId="0" fontId="102" fillId="0" borderId="91" xfId="2" applyFont="1" applyBorder="1" applyAlignment="1">
      <alignment horizontal="left" vertical="center"/>
    </xf>
    <xf numFmtId="0" fontId="102" fillId="0" borderId="92" xfId="2" applyFont="1" applyBorder="1" applyAlignment="1">
      <alignment horizontal="left" vertical="center"/>
    </xf>
    <xf numFmtId="0" fontId="102" fillId="0" borderId="93" xfId="2" applyFont="1" applyBorder="1" applyAlignment="1">
      <alignment horizontal="left" vertical="center"/>
    </xf>
    <xf numFmtId="0" fontId="128" fillId="25" borderId="114" xfId="2" applyFont="1" applyFill="1" applyBorder="1" applyAlignment="1" applyProtection="1">
      <alignment horizontal="center" vertical="center" wrapText="1"/>
    </xf>
    <xf numFmtId="0" fontId="101" fillId="0" borderId="81" xfId="2" applyFont="1" applyBorder="1"/>
    <xf numFmtId="0" fontId="128" fillId="25" borderId="81" xfId="2" applyFont="1" applyFill="1" applyBorder="1" applyAlignment="1" applyProtection="1">
      <alignment horizontal="center" vertical="center" wrapText="1"/>
    </xf>
    <xf numFmtId="0" fontId="136" fillId="0" borderId="0" xfId="2" applyFont="1" applyBorder="1" applyAlignment="1" applyProtection="1">
      <alignment horizontal="center" wrapText="1"/>
    </xf>
    <xf numFmtId="0" fontId="178" fillId="0" borderId="193" xfId="2" applyFont="1" applyBorder="1" applyAlignment="1" applyProtection="1">
      <alignment horizontal="center" vertical="center" wrapText="1"/>
    </xf>
    <xf numFmtId="0" fontId="128" fillId="0" borderId="195" xfId="2" applyNumberFormat="1" applyFont="1" applyBorder="1" applyAlignment="1" applyProtection="1">
      <alignment horizontal="left" vertical="center" wrapText="1"/>
      <protection hidden="1"/>
    </xf>
    <xf numFmtId="0" fontId="128" fillId="0" borderId="196" xfId="2" applyNumberFormat="1" applyFont="1" applyBorder="1" applyAlignment="1" applyProtection="1">
      <alignment horizontal="left" vertical="center" wrapText="1"/>
      <protection hidden="1"/>
    </xf>
    <xf numFmtId="0" fontId="128" fillId="0" borderId="197" xfId="2" applyNumberFormat="1" applyFont="1" applyBorder="1" applyAlignment="1" applyProtection="1">
      <alignment horizontal="left" vertical="center" wrapText="1"/>
      <protection hidden="1"/>
    </xf>
    <xf numFmtId="0" fontId="128" fillId="25" borderId="123" xfId="2" applyFont="1" applyFill="1" applyBorder="1" applyAlignment="1" applyProtection="1">
      <alignment horizontal="left" vertical="center" wrapText="1"/>
    </xf>
    <xf numFmtId="0" fontId="128" fillId="25" borderId="124" xfId="2" applyFont="1" applyFill="1" applyBorder="1" applyAlignment="1" applyProtection="1">
      <alignment horizontal="left" vertical="center" wrapText="1"/>
    </xf>
    <xf numFmtId="0" fontId="102" fillId="0" borderId="198" xfId="2" applyFont="1" applyBorder="1" applyAlignment="1">
      <alignment horizontal="left" vertical="center"/>
    </xf>
    <xf numFmtId="0" fontId="102" fillId="0" borderId="136" xfId="2" applyFont="1" applyBorder="1" applyAlignment="1">
      <alignment horizontal="left" vertical="center"/>
    </xf>
    <xf numFmtId="0" fontId="102" fillId="0" borderId="137" xfId="2" applyFont="1" applyBorder="1" applyAlignment="1">
      <alignment horizontal="left" vertical="center"/>
    </xf>
    <xf numFmtId="0" fontId="120" fillId="0" borderId="0" xfId="0" applyFont="1" applyBorder="1" applyAlignment="1" applyProtection="1">
      <alignment horizontal="center" vertical="center" wrapText="1"/>
      <protection locked="0"/>
    </xf>
    <xf numFmtId="0" fontId="120" fillId="0" borderId="32" xfId="0" applyFont="1" applyBorder="1" applyAlignment="1" applyProtection="1">
      <alignment horizontal="center" vertical="center" wrapText="1"/>
      <protection locked="0"/>
    </xf>
    <xf numFmtId="0" fontId="120" fillId="0" borderId="6" xfId="0" applyFont="1" applyBorder="1" applyAlignment="1" applyProtection="1">
      <alignment horizontal="center" vertical="center" wrapText="1"/>
      <protection locked="0"/>
    </xf>
    <xf numFmtId="0" fontId="120" fillId="0" borderId="8" xfId="0" applyFont="1" applyBorder="1" applyAlignment="1" applyProtection="1">
      <alignment horizontal="center" vertical="center" wrapText="1"/>
      <protection locked="0"/>
    </xf>
    <xf numFmtId="0" fontId="120" fillId="9" borderId="104" xfId="0" applyFont="1" applyFill="1" applyBorder="1" applyAlignment="1" applyProtection="1">
      <alignment horizontal="center" vertical="center" wrapText="1"/>
      <protection locked="0"/>
    </xf>
    <xf numFmtId="0" fontId="120" fillId="9" borderId="105" xfId="0" applyFont="1" applyFill="1" applyBorder="1" applyAlignment="1" applyProtection="1">
      <alignment horizontal="center" vertical="center" wrapText="1"/>
      <protection locked="0"/>
    </xf>
    <xf numFmtId="0" fontId="120" fillId="9" borderId="106" xfId="0" applyFont="1" applyFill="1" applyBorder="1" applyAlignment="1" applyProtection="1">
      <alignment horizontal="center" vertical="center" wrapText="1"/>
      <protection locked="0"/>
    </xf>
    <xf numFmtId="0" fontId="120" fillId="9" borderId="8" xfId="0" applyFont="1" applyFill="1" applyBorder="1" applyAlignment="1" applyProtection="1">
      <alignment horizontal="center" vertical="center" wrapText="1"/>
      <protection locked="0"/>
    </xf>
    <xf numFmtId="0" fontId="120" fillId="9" borderId="32" xfId="0" applyFont="1" applyFill="1" applyBorder="1" applyAlignment="1" applyProtection="1">
      <alignment horizontal="center" vertical="center" wrapText="1"/>
      <protection locked="0"/>
    </xf>
    <xf numFmtId="0" fontId="120" fillId="9" borderId="45" xfId="0" applyFont="1" applyFill="1" applyBorder="1" applyAlignment="1" applyProtection="1">
      <alignment horizontal="center" vertical="center" wrapText="1"/>
      <protection locked="0"/>
    </xf>
    <xf numFmtId="0" fontId="120" fillId="0" borderId="134" xfId="0" applyFont="1" applyBorder="1" applyAlignment="1" applyProtection="1">
      <alignment horizontal="center" vertical="center" wrapText="1"/>
      <protection locked="0"/>
    </xf>
    <xf numFmtId="0" fontId="113" fillId="0" borderId="88" xfId="0" applyFont="1" applyBorder="1" applyAlignment="1">
      <alignment horizontal="left" vertical="top" wrapText="1"/>
    </xf>
    <xf numFmtId="0" fontId="113" fillId="0" borderId="89" xfId="0" applyFont="1" applyBorder="1" applyAlignment="1">
      <alignment horizontal="left" vertical="top" wrapText="1"/>
    </xf>
    <xf numFmtId="0" fontId="113" fillId="0" borderId="90" xfId="0" applyFont="1" applyBorder="1" applyAlignment="1">
      <alignment horizontal="left" vertical="top" wrapText="1"/>
    </xf>
    <xf numFmtId="0" fontId="113" fillId="0" borderId="91" xfId="0" applyFont="1" applyBorder="1" applyAlignment="1">
      <alignment horizontal="left" vertical="top" wrapText="1"/>
    </xf>
    <xf numFmtId="0" fontId="113" fillId="0" borderId="92" xfId="0" applyFont="1" applyBorder="1" applyAlignment="1">
      <alignment horizontal="left" vertical="top" wrapText="1"/>
    </xf>
    <xf numFmtId="0" fontId="113" fillId="0" borderId="93" xfId="0" applyFont="1" applyBorder="1" applyAlignment="1">
      <alignment horizontal="left" vertical="top" wrapText="1"/>
    </xf>
    <xf numFmtId="0" fontId="113" fillId="0" borderId="71" xfId="0" applyFont="1" applyBorder="1" applyAlignment="1">
      <alignment horizontal="left" vertical="top" wrapText="1"/>
    </xf>
    <xf numFmtId="0" fontId="113" fillId="0" borderId="97" xfId="0" applyFont="1" applyBorder="1" applyAlignment="1">
      <alignment horizontal="left" vertical="top" wrapText="1"/>
    </xf>
    <xf numFmtId="0" fontId="113" fillId="0" borderId="72" xfId="0" applyFont="1" applyBorder="1" applyAlignment="1">
      <alignment horizontal="left" vertical="top" wrapText="1"/>
    </xf>
    <xf numFmtId="0" fontId="113" fillId="0" borderId="94" xfId="0" applyFont="1" applyBorder="1" applyAlignment="1">
      <alignment horizontal="left" vertical="top" wrapText="1"/>
    </xf>
    <xf numFmtId="0" fontId="113" fillId="0" borderId="95" xfId="0" applyFont="1" applyBorder="1" applyAlignment="1">
      <alignment horizontal="left" vertical="top" wrapText="1"/>
    </xf>
    <xf numFmtId="0" fontId="113" fillId="0" borderId="96" xfId="0" applyFont="1" applyBorder="1" applyAlignment="1">
      <alignment horizontal="left" vertical="top" wrapText="1"/>
    </xf>
    <xf numFmtId="0" fontId="113" fillId="0" borderId="6" xfId="0" applyFont="1" applyBorder="1" applyAlignment="1">
      <alignment horizontal="left" vertical="top" wrapText="1"/>
    </xf>
    <xf numFmtId="0" fontId="113" fillId="0" borderId="0" xfId="0" applyFont="1" applyBorder="1" applyAlignment="1">
      <alignment horizontal="left" vertical="top" wrapText="1"/>
    </xf>
    <xf numFmtId="0" fontId="113" fillId="0" borderId="7" xfId="0" applyFont="1" applyBorder="1" applyAlignment="1">
      <alignment horizontal="left" vertical="top" wrapText="1"/>
    </xf>
    <xf numFmtId="0" fontId="113" fillId="0" borderId="8" xfId="0" applyFont="1" applyBorder="1" applyAlignment="1">
      <alignment horizontal="left" vertical="top" wrapText="1"/>
    </xf>
    <xf numFmtId="0" fontId="113" fillId="0" borderId="32" xfId="0" applyFont="1" applyBorder="1" applyAlignment="1">
      <alignment horizontal="left" vertical="top" wrapText="1"/>
    </xf>
    <xf numFmtId="0" fontId="113" fillId="0" borderId="45" xfId="0" applyFont="1" applyBorder="1" applyAlignment="1">
      <alignment horizontal="left" vertical="top" wrapText="1"/>
    </xf>
    <xf numFmtId="0" fontId="113" fillId="0" borderId="71" xfId="0" applyFont="1" applyBorder="1" applyAlignment="1">
      <alignment horizontal="justify" vertical="top" wrapText="1"/>
    </xf>
    <xf numFmtId="0" fontId="113" fillId="0" borderId="97" xfId="0" applyFont="1" applyBorder="1" applyAlignment="1">
      <alignment horizontal="justify" vertical="top" wrapText="1"/>
    </xf>
    <xf numFmtId="0" fontId="113" fillId="0" borderId="72" xfId="0" applyFont="1" applyBorder="1" applyAlignment="1">
      <alignment horizontal="justify" vertical="top" wrapText="1"/>
    </xf>
    <xf numFmtId="0" fontId="113" fillId="0" borderId="71" xfId="0" applyFont="1" applyBorder="1" applyAlignment="1">
      <alignment horizontal="justify" vertical="justify" wrapText="1"/>
    </xf>
    <xf numFmtId="0" fontId="113" fillId="0" borderId="97" xfId="0" applyFont="1" applyBorder="1" applyAlignment="1">
      <alignment horizontal="justify" vertical="justify" wrapText="1"/>
    </xf>
    <xf numFmtId="0" fontId="113" fillId="0" borderId="72" xfId="0" applyFont="1" applyBorder="1" applyAlignment="1">
      <alignment horizontal="justify" vertical="justify" wrapText="1"/>
    </xf>
    <xf numFmtId="0" fontId="113" fillId="0" borderId="98" xfId="0" applyFont="1" applyBorder="1" applyAlignment="1">
      <alignment horizontal="justify" vertical="justify" wrapText="1"/>
    </xf>
    <xf numFmtId="0" fontId="113" fillId="0" borderId="99" xfId="0" applyFont="1" applyBorder="1" applyAlignment="1">
      <alignment horizontal="justify" vertical="justify" wrapText="1"/>
    </xf>
    <xf numFmtId="0" fontId="113" fillId="0" borderId="94" xfId="0" applyFont="1" applyBorder="1" applyAlignment="1">
      <alignment horizontal="justify" vertical="justify" wrapText="1"/>
    </xf>
    <xf numFmtId="0" fontId="113" fillId="0" borderId="95" xfId="0" applyFont="1" applyBorder="1" applyAlignment="1">
      <alignment horizontal="justify" vertical="justify" wrapText="1"/>
    </xf>
    <xf numFmtId="0" fontId="113" fillId="0" borderId="96" xfId="0" applyFont="1" applyBorder="1" applyAlignment="1">
      <alignment horizontal="justify" vertical="justify" wrapText="1"/>
    </xf>
    <xf numFmtId="0" fontId="113" fillId="0" borderId="8" xfId="0" applyFont="1" applyBorder="1" applyAlignment="1">
      <alignment horizontal="center" vertical="top" wrapText="1"/>
    </xf>
    <xf numFmtId="0" fontId="113" fillId="0" borderId="32" xfId="0" applyFont="1" applyBorder="1" applyAlignment="1">
      <alignment horizontal="center" vertical="top" wrapText="1"/>
    </xf>
    <xf numFmtId="0" fontId="113" fillId="0" borderId="45" xfId="0" applyFont="1" applyBorder="1" applyAlignment="1">
      <alignment horizontal="center" vertical="top" wrapText="1"/>
    </xf>
    <xf numFmtId="0" fontId="115" fillId="0" borderId="0" xfId="0" applyFont="1" applyAlignment="1">
      <alignment horizontal="center"/>
    </xf>
    <xf numFmtId="0" fontId="113" fillId="0" borderId="0" xfId="0" applyFont="1" applyAlignment="1">
      <alignment horizontal="justify" vertical="justify" wrapText="1"/>
    </xf>
    <xf numFmtId="0" fontId="113" fillId="0" borderId="0" xfId="0" applyFont="1" applyAlignment="1">
      <alignment horizontal="left" wrapText="1"/>
    </xf>
    <xf numFmtId="0" fontId="114" fillId="0" borderId="0" xfId="0" applyFont="1" applyBorder="1" applyAlignment="1">
      <alignment horizontal="left"/>
    </xf>
    <xf numFmtId="0" fontId="36" fillId="51" borderId="0" xfId="0" applyFont="1" applyFill="1" applyBorder="1" applyAlignment="1">
      <alignment horizontal="center" vertical="center" wrapText="1"/>
    </xf>
    <xf numFmtId="0" fontId="32" fillId="64" borderId="91" xfId="0" applyFont="1" applyFill="1" applyBorder="1" applyAlignment="1">
      <alignment horizontal="center" wrapText="1"/>
    </xf>
    <xf numFmtId="0" fontId="32" fillId="64" borderId="92" xfId="0" applyFont="1" applyFill="1" applyBorder="1" applyAlignment="1">
      <alignment horizontal="center" wrapText="1"/>
    </xf>
    <xf numFmtId="0" fontId="183" fillId="64" borderId="115" xfId="0" applyFont="1" applyFill="1" applyBorder="1" applyAlignment="1">
      <alignment horizontal="center"/>
    </xf>
    <xf numFmtId="0" fontId="183" fillId="64" borderId="0" xfId="0" applyFont="1" applyFill="1" applyBorder="1" applyAlignment="1">
      <alignment horizontal="center"/>
    </xf>
    <xf numFmtId="0" fontId="83" fillId="13" borderId="0" xfId="0" applyFont="1" applyFill="1" applyAlignment="1">
      <alignment horizontal="center" vertical="center"/>
    </xf>
    <xf numFmtId="0" fontId="169" fillId="0" borderId="0" xfId="0" applyFont="1" applyAlignment="1">
      <alignment horizontal="left" vertical="top" wrapText="1"/>
    </xf>
    <xf numFmtId="0" fontId="85" fillId="34" borderId="234" xfId="2" applyFont="1" applyFill="1" applyBorder="1" applyAlignment="1">
      <alignment horizontal="center"/>
    </xf>
    <xf numFmtId="0" fontId="85" fillId="34" borderId="108" xfId="2" applyFont="1" applyFill="1" applyBorder="1" applyAlignment="1">
      <alignment horizontal="center"/>
    </xf>
    <xf numFmtId="0" fontId="85" fillId="0" borderId="207" xfId="2" applyFont="1" applyBorder="1" applyAlignment="1">
      <alignment horizontal="center" vertical="center" wrapText="1"/>
    </xf>
    <xf numFmtId="0" fontId="85" fillId="0" borderId="229" xfId="2" applyFont="1" applyBorder="1" applyAlignment="1">
      <alignment horizontal="center" vertical="center" wrapText="1"/>
    </xf>
    <xf numFmtId="0" fontId="85" fillId="0" borderId="228" xfId="2" applyFont="1" applyBorder="1" applyAlignment="1">
      <alignment horizontal="center" vertical="center" wrapText="1"/>
    </xf>
    <xf numFmtId="0" fontId="105" fillId="38" borderId="207" xfId="0" applyFont="1" applyFill="1" applyBorder="1" applyAlignment="1">
      <alignment horizontal="center"/>
    </xf>
    <xf numFmtId="0" fontId="105" fillId="38" borderId="188" xfId="0" applyFont="1" applyFill="1" applyBorder="1" applyAlignment="1">
      <alignment horizontal="center"/>
    </xf>
    <xf numFmtId="0" fontId="105" fillId="38" borderId="121" xfId="0" applyFont="1" applyFill="1" applyBorder="1" applyAlignment="1">
      <alignment horizontal="center"/>
    </xf>
    <xf numFmtId="0" fontId="0" fillId="2" borderId="0" xfId="0" applyFill="1" applyAlignment="1" applyProtection="1">
      <alignment horizontal="left"/>
      <protection locked="0"/>
    </xf>
    <xf numFmtId="0" fontId="35" fillId="2" borderId="0" xfId="0" applyFont="1" applyFill="1" applyAlignment="1">
      <alignment horizontal="right"/>
    </xf>
    <xf numFmtId="0" fontId="4" fillId="2" borderId="0" xfId="0" applyFont="1" applyFill="1" applyAlignment="1">
      <alignment horizontal="center" vertical="top" wrapText="1"/>
    </xf>
    <xf numFmtId="0" fontId="35" fillId="2" borderId="0" xfId="0" applyFont="1" applyFill="1" applyAlignment="1">
      <alignment vertical="top"/>
    </xf>
    <xf numFmtId="0" fontId="4" fillId="2" borderId="0" xfId="0" applyFont="1" applyFill="1" applyAlignment="1">
      <alignment horizontal="justify" vertical="justify" wrapText="1"/>
    </xf>
    <xf numFmtId="0" fontId="4" fillId="2" borderId="0" xfId="0" applyFont="1" applyFill="1" applyAlignment="1">
      <alignment horizontal="left" vertical="top" wrapText="1"/>
    </xf>
    <xf numFmtId="0" fontId="99" fillId="2" borderId="0" xfId="0" applyFont="1" applyFill="1" applyAlignment="1">
      <alignment horizontal="center"/>
    </xf>
    <xf numFmtId="0" fontId="170" fillId="2" borderId="0" xfId="0" applyFont="1" applyFill="1" applyAlignment="1">
      <alignment horizontal="center"/>
    </xf>
    <xf numFmtId="0" fontId="35" fillId="7" borderId="0" xfId="0" applyFont="1" applyFill="1" applyAlignment="1">
      <alignment horizontal="justify" vertical="top" wrapText="1"/>
    </xf>
    <xf numFmtId="0" fontId="0" fillId="2" borderId="0" xfId="0" applyFill="1" applyAlignment="1">
      <alignment vertical="top" wrapText="1"/>
    </xf>
    <xf numFmtId="0" fontId="4" fillId="2" borderId="0" xfId="0" applyFont="1" applyFill="1" applyAlignment="1">
      <alignment horizontal="left" vertical="center" wrapText="1"/>
    </xf>
    <xf numFmtId="0" fontId="39" fillId="0" borderId="0" xfId="0" applyFont="1" applyAlignment="1">
      <alignment horizontal="left"/>
    </xf>
    <xf numFmtId="0" fontId="4" fillId="7" borderId="0" xfId="0" applyFont="1" applyFill="1" applyAlignment="1">
      <alignment horizontal="left" vertical="top" wrapText="1"/>
    </xf>
    <xf numFmtId="0" fontId="13" fillId="0" borderId="0" xfId="0" applyFont="1" applyAlignment="1">
      <alignment horizontal="left" vertical="justify"/>
    </xf>
    <xf numFmtId="0" fontId="13" fillId="7" borderId="0" xfId="0" applyFont="1" applyFill="1" applyBorder="1" applyAlignment="1">
      <alignment horizontal="left"/>
    </xf>
    <xf numFmtId="0" fontId="13" fillId="2" borderId="0" xfId="0" applyFont="1" applyFill="1" applyAlignment="1">
      <alignment vertical="top" wrapText="1"/>
    </xf>
    <xf numFmtId="0" fontId="13" fillId="0" borderId="0" xfId="0" applyFont="1" applyAlignment="1">
      <alignment horizontal="left"/>
    </xf>
    <xf numFmtId="0" fontId="13" fillId="7" borderId="0" xfId="0" applyFont="1" applyFill="1" applyBorder="1" applyAlignment="1">
      <alignment horizontal="left" vertical="justify"/>
    </xf>
    <xf numFmtId="0" fontId="103" fillId="7" borderId="0" xfId="0" applyFont="1" applyFill="1" applyBorder="1" applyAlignment="1">
      <alignment horizontal="left" vertical="justify"/>
    </xf>
    <xf numFmtId="0" fontId="106" fillId="2" borderId="0" xfId="0" applyFont="1" applyFill="1" applyAlignment="1">
      <alignment vertical="top" wrapText="1"/>
    </xf>
    <xf numFmtId="0" fontId="4" fillId="7" borderId="0" xfId="0" applyFont="1" applyFill="1" applyAlignment="1">
      <alignment horizontal="justify" vertical="justify" wrapText="1"/>
    </xf>
    <xf numFmtId="0" fontId="13" fillId="7" borderId="0" xfId="0" applyFont="1" applyFill="1" applyAlignment="1">
      <alignment horizontal="left" vertical="justify"/>
    </xf>
    <xf numFmtId="0" fontId="103" fillId="7" borderId="0" xfId="0" applyFont="1" applyFill="1" applyAlignment="1">
      <alignment horizontal="left" vertical="justify"/>
    </xf>
    <xf numFmtId="0" fontId="85" fillId="2" borderId="0" xfId="0" applyFont="1" applyFill="1" applyAlignment="1">
      <alignment horizontal="center"/>
    </xf>
    <xf numFmtId="0" fontId="35" fillId="2" borderId="0" xfId="0" applyFont="1" applyFill="1" applyAlignment="1">
      <alignment horizontal="justify" wrapText="1"/>
    </xf>
    <xf numFmtId="0" fontId="137" fillId="2" borderId="0" xfId="0" applyFont="1" applyFill="1" applyAlignment="1">
      <alignment horizontal="left" vertical="top" wrapText="1"/>
    </xf>
    <xf numFmtId="0" fontId="13" fillId="2" borderId="0" xfId="0" applyFont="1" applyFill="1" applyAlignment="1">
      <alignment horizontal="justify" vertical="justify" wrapText="1"/>
    </xf>
    <xf numFmtId="0" fontId="39" fillId="2" borderId="0" xfId="0" applyFont="1" applyFill="1" applyAlignment="1">
      <alignment horizontal="center"/>
    </xf>
    <xf numFmtId="0" fontId="138" fillId="0" borderId="0" xfId="0" applyFont="1" applyBorder="1" applyAlignment="1">
      <alignment horizontal="center"/>
    </xf>
    <xf numFmtId="0" fontId="139" fillId="0" borderId="0" xfId="0" applyFont="1" applyBorder="1" applyAlignment="1">
      <alignment horizontal="center"/>
    </xf>
    <xf numFmtId="0" fontId="13" fillId="50" borderId="0" xfId="0" applyFont="1" applyFill="1" applyBorder="1" applyAlignment="1">
      <alignment horizontal="left" vertical="justify"/>
    </xf>
    <xf numFmtId="0" fontId="4" fillId="2" borderId="0" xfId="0" applyFont="1" applyFill="1" applyAlignment="1">
      <alignment horizontal="left" vertical="top"/>
    </xf>
  </cellXfs>
  <cellStyles count="13">
    <cellStyle name="Énfasis1" xfId="5" builtinId="29"/>
    <cellStyle name="Millares 2" xfId="4"/>
    <cellStyle name="Millares 3" xfId="9"/>
    <cellStyle name="Moneda 2" xfId="8"/>
    <cellStyle name="Moneda 3" xfId="12"/>
    <cellStyle name="Moneda_TARJETA CON # USUARIO" xfId="3"/>
    <cellStyle name="Normal" xfId="0" builtinId="0"/>
    <cellStyle name="Normal 2" xfId="2"/>
    <cellStyle name="Normal 2 2" xfId="10"/>
    <cellStyle name="Normal 3" xfId="11"/>
    <cellStyle name="Normal 9" xfId="7"/>
    <cellStyle name="Porcentaje" xfId="1" builtinId="5"/>
    <cellStyle name="Porcentual 2" xfId="6"/>
  </cellStyles>
  <dxfs count="53">
    <dxf>
      <font>
        <b/>
        <i val="0"/>
        <color theme="0"/>
      </font>
      <fill>
        <patternFill>
          <bgColor rgb="FFFF0000"/>
        </patternFill>
      </fill>
      <border>
        <left style="thin">
          <color indexed="64"/>
        </left>
        <right style="thin">
          <color indexed="64"/>
        </right>
        <top style="thin">
          <color indexed="64"/>
        </top>
        <bottom style="thin">
          <color indexed="64"/>
        </bottom>
      </border>
    </dxf>
    <dxf>
      <font>
        <b/>
        <i val="0"/>
        <color theme="0"/>
      </font>
      <fill>
        <patternFill>
          <bgColor rgb="FFFF0000"/>
        </patternFill>
      </fill>
      <border>
        <left style="thin">
          <color indexed="64"/>
        </left>
        <right style="thin">
          <color indexed="64"/>
        </right>
        <top style="thin">
          <color indexed="64"/>
        </top>
        <bottom style="thin">
          <color indexed="64"/>
        </bottom>
      </border>
    </dxf>
    <dxf>
      <fill>
        <patternFill>
          <bgColor theme="0" tint="-0.24994659260841701"/>
        </patternFill>
      </fill>
    </dxf>
    <dxf>
      <fill>
        <patternFill>
          <bgColor theme="3" tint="0.79998168889431442"/>
        </patternFill>
      </fill>
    </dxf>
    <dxf>
      <font>
        <color rgb="FF002060"/>
      </font>
      <numFmt numFmtId="4" formatCode="#,##0.00"/>
      <fill>
        <patternFill>
          <bgColor theme="3" tint="0.79998168889431442"/>
        </patternFill>
      </fill>
    </dxf>
    <dxf>
      <fill>
        <patternFill>
          <bgColor rgb="FF002060"/>
        </patternFill>
      </fill>
    </dxf>
    <dxf>
      <fill>
        <patternFill>
          <bgColor rgb="FF002060"/>
        </patternFill>
      </fill>
    </dxf>
    <dxf>
      <border>
        <right style="thin">
          <color rgb="FF000080"/>
        </right>
        <bottom style="thin">
          <color rgb="FF000080"/>
        </bottom>
        <vertical/>
        <horizontal/>
      </border>
    </dxf>
    <dxf>
      <font>
        <color theme="0"/>
      </font>
      <fill>
        <patternFill>
          <bgColor rgb="FF002060"/>
        </patternFill>
      </fill>
    </dxf>
    <dxf>
      <border>
        <left/>
        <right/>
        <top/>
        <bottom/>
        <vertical/>
        <horizontal/>
      </border>
    </dxf>
    <dxf>
      <border>
        <left/>
        <right/>
        <top/>
        <bottom/>
        <vertical/>
        <horizontal/>
      </border>
    </dxf>
    <dxf>
      <fill>
        <patternFill>
          <bgColor rgb="FF002060"/>
        </patternFill>
      </fill>
    </dxf>
    <dxf>
      <font>
        <b/>
        <i val="0"/>
        <color rgb="FFFF0000"/>
      </font>
      <fill>
        <patternFill patternType="none">
          <bgColor auto="1"/>
        </patternFill>
      </fill>
    </dxf>
    <dxf>
      <font>
        <b/>
        <i val="0"/>
        <color auto="1"/>
      </font>
    </dxf>
    <dxf>
      <font>
        <color rgb="FF000080"/>
      </font>
      <border>
        <right style="thin">
          <color rgb="FF000080"/>
        </right>
        <bottom style="thin">
          <color rgb="FF000080"/>
        </bottom>
        <vertical/>
        <horizontal/>
      </border>
    </dxf>
    <dxf>
      <fill>
        <patternFill>
          <bgColor rgb="FF002060"/>
        </patternFill>
      </fill>
      <border>
        <right/>
        <bottom/>
        <vertical/>
        <horizontal/>
      </border>
    </dxf>
    <dxf>
      <font>
        <b/>
        <i val="0"/>
        <color rgb="FF000080"/>
      </font>
      <border>
        <right style="thin">
          <color rgb="FF000080"/>
        </right>
        <top style="thin">
          <color rgb="FF000080"/>
        </top>
        <bottom style="thin">
          <color rgb="FF000080"/>
        </bottom>
        <vertical/>
        <horizontal/>
      </border>
    </dxf>
    <dxf>
      <fill>
        <patternFill>
          <bgColor theme="3" tint="0.39994506668294322"/>
        </patternFill>
      </fill>
    </dxf>
    <dxf>
      <font>
        <b/>
        <i val="0"/>
        <color rgb="FF000080"/>
      </font>
      <border>
        <right style="thin">
          <color rgb="FF000080"/>
        </right>
        <bottom style="thin">
          <color rgb="FF000080"/>
        </bottom>
        <vertical/>
        <horizontal/>
      </border>
    </dxf>
    <dxf>
      <fill>
        <patternFill>
          <bgColor rgb="FF002060"/>
        </patternFill>
      </fill>
      <border>
        <right style="thin">
          <color rgb="FF000080"/>
        </right>
        <bottom style="thin">
          <color rgb="FF000080"/>
        </bottom>
        <vertical/>
        <horizontal/>
      </border>
    </dxf>
    <dxf>
      <font>
        <color rgb="FF000080"/>
      </font>
      <border>
        <right style="thin">
          <color rgb="FF000080"/>
        </right>
        <bottom style="thin">
          <color rgb="FF000080"/>
        </bottom>
      </border>
    </dxf>
    <dxf>
      <font>
        <color rgb="FF000080"/>
      </font>
      <border>
        <right style="thin">
          <color rgb="FF000080"/>
        </right>
        <bottom style="thin">
          <color rgb="FF000080"/>
        </bottom>
      </border>
    </dxf>
    <dxf>
      <fill>
        <patternFill>
          <bgColor rgb="FF002060"/>
        </patternFill>
      </fill>
    </dxf>
    <dxf>
      <font>
        <color theme="0"/>
      </font>
      <border>
        <left/>
        <right style="thin">
          <color theme="0"/>
        </right>
        <top/>
        <bottom style="thin">
          <color theme="0"/>
        </bottom>
        <vertical/>
        <horizontal/>
      </border>
    </dxf>
    <dxf>
      <fill>
        <patternFill>
          <bgColor theme="0"/>
        </patternFill>
      </fill>
      <border>
        <left/>
        <right/>
        <top/>
        <bottom/>
      </border>
    </dxf>
    <dxf>
      <fill>
        <patternFill>
          <bgColor rgb="FFFFFF00"/>
        </patternFill>
      </fill>
      <border>
        <right style="thin">
          <color rgb="FF000080"/>
        </right>
        <bottom style="thin">
          <color rgb="FF000080"/>
        </bottom>
        <vertical/>
        <horizontal/>
      </border>
    </dxf>
    <dxf>
      <border>
        <right style="thin">
          <color theme="0"/>
        </right>
        <bottom style="thin">
          <color theme="0"/>
        </bottom>
        <vertical/>
        <horizontal/>
      </border>
    </dxf>
    <dxf>
      <border>
        <left/>
        <right/>
        <top/>
        <bottom/>
        <vertical/>
        <horizontal/>
      </border>
    </dxf>
    <dxf>
      <font>
        <color theme="0"/>
      </font>
    </dxf>
    <dxf>
      <fill>
        <patternFill>
          <bgColor theme="0"/>
        </patternFill>
      </fill>
      <border>
        <left/>
        <right/>
        <top/>
        <bottom/>
        <vertical/>
        <horizontal/>
      </border>
    </dxf>
    <dxf>
      <font>
        <color theme="0"/>
      </font>
      <border>
        <left style="thin">
          <color theme="0"/>
        </left>
        <right/>
        <top style="thin">
          <color theme="0"/>
        </top>
        <bottom style="thin">
          <color theme="0"/>
        </bottom>
        <vertical/>
        <horizontal/>
      </border>
    </dxf>
    <dxf>
      <fill>
        <patternFill>
          <bgColor theme="0"/>
        </patternFill>
      </fill>
      <border>
        <top style="thin">
          <color theme="0" tint="-4.9989318521683403E-2"/>
        </top>
      </border>
    </dxf>
    <dxf>
      <font>
        <color theme="0"/>
      </font>
      <fill>
        <patternFill>
          <bgColor theme="0"/>
        </patternFill>
      </fill>
    </dxf>
    <dxf>
      <font>
        <color theme="0"/>
      </font>
      <fill>
        <patternFill patternType="solid">
          <bgColor rgb="FF002060"/>
        </patternFill>
      </fill>
    </dxf>
    <dxf>
      <fill>
        <patternFill patternType="none">
          <bgColor auto="1"/>
        </patternFill>
      </fill>
    </dxf>
    <dxf>
      <fill>
        <patternFill>
          <bgColor theme="3" tint="0.79998168889431442"/>
        </patternFill>
      </fill>
    </dxf>
    <dxf>
      <border>
        <right style="thin">
          <color rgb="FF000080"/>
        </right>
        <bottom style="thin">
          <color rgb="FF000080"/>
        </bottom>
        <vertical/>
        <horizontal/>
      </border>
    </dxf>
    <dxf>
      <font>
        <b/>
        <i val="0"/>
        <color rgb="FFFF0000"/>
      </font>
      <fill>
        <patternFill patternType="none">
          <bgColor auto="1"/>
        </patternFill>
      </fill>
    </dxf>
    <dxf>
      <font>
        <b/>
        <i val="0"/>
        <color auto="1"/>
      </font>
    </dxf>
    <dxf>
      <font>
        <color rgb="FF002060"/>
      </font>
      <border>
        <right style="thin">
          <color rgb="FF666699"/>
        </right>
        <bottom style="thin">
          <color rgb="FF666699"/>
        </bottom>
        <vertical/>
        <horizontal/>
      </border>
    </dxf>
    <dxf>
      <font>
        <color theme="0"/>
      </font>
      <fill>
        <patternFill>
          <bgColor rgb="FF002060"/>
        </patternFill>
      </fill>
    </dxf>
    <dxf>
      <font>
        <color theme="0"/>
      </font>
      <border>
        <left/>
        <right/>
        <vertical/>
        <horizontal/>
      </border>
    </dxf>
    <dxf>
      <font>
        <color theme="0"/>
      </font>
      <border>
        <right/>
        <bottom/>
        <vertical/>
        <horizontal/>
      </border>
    </dxf>
    <dxf>
      <fill>
        <patternFill>
          <bgColor theme="0"/>
        </patternFill>
      </fill>
      <border>
        <right/>
        <top/>
        <bottom/>
      </border>
    </dxf>
    <dxf>
      <font>
        <color theme="0"/>
      </font>
      <border>
        <left/>
        <right/>
        <bottom/>
        <vertical/>
        <horizontal/>
      </border>
    </dxf>
    <dxf>
      <fill>
        <patternFill>
          <bgColor theme="3" tint="0.79998168889431442"/>
        </patternFill>
      </fill>
    </dxf>
    <dxf>
      <fill>
        <patternFill>
          <bgColor theme="0"/>
        </patternFill>
      </fill>
    </dxf>
    <dxf>
      <font>
        <color theme="0"/>
      </font>
      <fill>
        <patternFill>
          <bgColor theme="0"/>
        </patternFill>
      </fill>
      <border>
        <left/>
        <right/>
        <bottom/>
        <vertical/>
        <horizontal/>
      </border>
    </dxf>
    <dxf>
      <font>
        <color theme="0"/>
      </font>
      <fill>
        <patternFill>
          <bgColor theme="0"/>
        </patternFill>
      </fill>
    </dxf>
    <dxf>
      <font>
        <color theme="0"/>
      </font>
      <border>
        <left/>
        <right/>
        <top/>
        <bottom/>
        <vertical/>
        <horizontal/>
      </border>
    </dxf>
    <dxf>
      <fill>
        <patternFill>
          <bgColor theme="3" tint="0.79998168889431442"/>
        </patternFill>
      </fill>
    </dxf>
    <dxf>
      <fill>
        <patternFill>
          <bgColor theme="0"/>
        </patternFill>
      </fill>
      <border>
        <left/>
        <right/>
        <top/>
        <bottom/>
      </border>
    </dxf>
    <dxf>
      <font>
        <color theme="0"/>
      </font>
      <fill>
        <patternFill>
          <bgColor rgb="FF002060"/>
        </patternFill>
      </fill>
    </dxf>
  </dxfs>
  <tableStyles count="0" defaultTableStyle="TableStyleMedium9" defaultPivotStyle="PivotStyleLight16"/>
  <colors>
    <mruColors>
      <color rgb="FF000080"/>
      <color rgb="FF0000CC"/>
      <color rgb="FF6666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5.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3.xml"/><Relationship Id="rId45" Type="http://schemas.openxmlformats.org/officeDocument/2006/relationships/externalLink" Target="externalLinks/externalLink8.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7.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6.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 Id="rId46" Type="http://schemas.openxmlformats.org/officeDocument/2006/relationships/externalLink" Target="externalLinks/externalLink9.xml"/><Relationship Id="rId20" Type="http://schemas.openxmlformats.org/officeDocument/2006/relationships/worksheet" Target="worksheets/sheet20.xml"/><Relationship Id="rId41"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ctrlProps/ctrlProp1.xml><?xml version="1.0" encoding="utf-8"?>
<formControlPr xmlns="http://schemas.microsoft.com/office/spreadsheetml/2009/9/main" objectType="CheckBox" fmlaLink="Cálculos!$B$184" noThreeD="1"/>
</file>

<file path=xl/ctrlProps/ctrlProp10.xml><?xml version="1.0" encoding="utf-8"?>
<formControlPr xmlns="http://schemas.microsoft.com/office/spreadsheetml/2009/9/main" objectType="CheckBox" fmlaLink="Cálculos!$A$58" noThreeD="1"/>
</file>

<file path=xl/ctrlProps/ctrlProp11.xml><?xml version="1.0" encoding="utf-8"?>
<formControlPr xmlns="http://schemas.microsoft.com/office/spreadsheetml/2009/9/main" objectType="CheckBox" fmlaLink="Hoja_Cambio!$AW$3" noThreeD="1"/>
</file>

<file path=xl/ctrlProps/ctrlProp12.xml><?xml version="1.0" encoding="utf-8"?>
<formControlPr xmlns="http://schemas.microsoft.com/office/spreadsheetml/2009/9/main" objectType="CheckBox" fmlaLink="Hoja_Cambio!$AW$4" noThreeD="1"/>
</file>

<file path=xl/ctrlProps/ctrlProp13.xml><?xml version="1.0" encoding="utf-8"?>
<formControlPr xmlns="http://schemas.microsoft.com/office/spreadsheetml/2009/9/main" objectType="CheckBox" fmlaLink="Hoja_Cambio!$AW$5" noThreeD="1"/>
</file>

<file path=xl/ctrlProps/ctrlProp14.xml><?xml version="1.0" encoding="utf-8"?>
<formControlPr xmlns="http://schemas.microsoft.com/office/spreadsheetml/2009/9/main" objectType="CheckBox" fmlaLink="Hoja_Cambio!$AW$6" noThreeD="1"/>
</file>

<file path=xl/ctrlProps/ctrlProp15.xml><?xml version="1.0" encoding="utf-8"?>
<formControlPr xmlns="http://schemas.microsoft.com/office/spreadsheetml/2009/9/main" objectType="CheckBox" fmlaLink="$AH$16" noThreeD="1"/>
</file>

<file path=xl/ctrlProps/ctrlProp16.xml><?xml version="1.0" encoding="utf-8"?>
<formControlPr xmlns="http://schemas.microsoft.com/office/spreadsheetml/2009/9/main" objectType="CheckBox" fmlaLink="Hoja_Cambio!$AH$10" noThreeD="1"/>
</file>

<file path=xl/ctrlProps/ctrlProp17.xml><?xml version="1.0" encoding="utf-8"?>
<formControlPr xmlns="http://schemas.microsoft.com/office/spreadsheetml/2009/9/main" objectType="CheckBox" fmlaLink="Hoja_Cambio!$AH$11" noThreeD="1"/>
</file>

<file path=xl/ctrlProps/ctrlProp18.xml><?xml version="1.0" encoding="utf-8"?>
<formControlPr xmlns="http://schemas.microsoft.com/office/spreadsheetml/2009/9/main" objectType="CheckBox" fmlaLink="Hoja_Cambio!$AH$12" noThreeD="1"/>
</file>

<file path=xl/ctrlProps/ctrlProp19.xml><?xml version="1.0" encoding="utf-8"?>
<formControlPr xmlns="http://schemas.microsoft.com/office/spreadsheetml/2009/9/main" objectType="CheckBox" fmlaLink="Hoja_Cambio!$AH$13" noThreeD="1"/>
</file>

<file path=xl/ctrlProps/ctrlProp2.xml><?xml version="1.0" encoding="utf-8"?>
<formControlPr xmlns="http://schemas.microsoft.com/office/spreadsheetml/2009/9/main" objectType="CheckBox" fmlaLink="Cálculos!$B$185" noThreeD="1"/>
</file>

<file path=xl/ctrlProps/ctrlProp3.xml><?xml version="1.0" encoding="utf-8"?>
<formControlPr xmlns="http://schemas.microsoft.com/office/spreadsheetml/2009/9/main" objectType="CheckBox" fmlaLink="Cálculos!$B$186" noThreeD="1"/>
</file>

<file path=xl/ctrlProps/ctrlProp4.xml><?xml version="1.0" encoding="utf-8"?>
<formControlPr xmlns="http://schemas.microsoft.com/office/spreadsheetml/2009/9/main" objectType="CheckBox" fmlaLink="Cálculos!$B$187" noThreeD="1"/>
</file>

<file path=xl/ctrlProps/ctrlProp5.xml><?xml version="1.0" encoding="utf-8"?>
<formControlPr xmlns="http://schemas.microsoft.com/office/spreadsheetml/2009/9/main" objectType="CheckBox" checked="Checked" fmlaLink="Cálculos!$A$232" noThreeD="1"/>
</file>

<file path=xl/ctrlProps/ctrlProp6.xml><?xml version="1.0" encoding="utf-8"?>
<formControlPr xmlns="http://schemas.microsoft.com/office/spreadsheetml/2009/9/main" objectType="CheckBox" checked="Checked" fmlaLink="Cálculos!$A$233" noThreeD="1"/>
</file>

<file path=xl/ctrlProps/ctrlProp7.xml><?xml version="1.0" encoding="utf-8"?>
<formControlPr xmlns="http://schemas.microsoft.com/office/spreadsheetml/2009/9/main" objectType="CheckBox" fmlaLink="Cálculos!$A$55" noThreeD="1"/>
</file>

<file path=xl/ctrlProps/ctrlProp8.xml><?xml version="1.0" encoding="utf-8"?>
<formControlPr xmlns="http://schemas.microsoft.com/office/spreadsheetml/2009/9/main" objectType="CheckBox" fmlaLink="Cálculos!$A$56" noThreeD="1"/>
</file>

<file path=xl/ctrlProps/ctrlProp9.xml><?xml version="1.0" encoding="utf-8"?>
<formControlPr xmlns="http://schemas.microsoft.com/office/spreadsheetml/2009/9/main" objectType="CheckBox" fmlaLink="Cálculos!$A$57"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hyperlink" Target="http://miredestrella/productosyservicios/Financiamientos/Prestamoshipotecarios/Lists/Promotores%20autorizados%20a%20confeccionar%20las%20escritur/DispForm.aspx?ID=109" TargetMode="External"/><Relationship Id="rId7" Type="http://schemas.openxmlformats.org/officeDocument/2006/relationships/hyperlink" Target="http://miredestrella/productosyservicios/Financiamientos/Prestamoshipotecarios/Lists/Promotores%20autorizados%20a%20confeccionar%20las%20escritur/DispForm.aspx?ID=92" TargetMode="External"/><Relationship Id="rId2" Type="http://schemas.openxmlformats.org/officeDocument/2006/relationships/hyperlink" Target="http://miredestrella/productosyservicios/Financiamientos/Prestamoshipotecarios/Lists/Promotores%20autorizados%20a%20confeccionar%20las%20escritur/DispForm.aspx?ID=19" TargetMode="External"/><Relationship Id="rId1" Type="http://schemas.openxmlformats.org/officeDocument/2006/relationships/image" Target="../media/image10.gif"/><Relationship Id="rId6" Type="http://schemas.openxmlformats.org/officeDocument/2006/relationships/hyperlink" Target="http://miredestrella/productosyservicios/Financiamientos/Prestamoshipotecarios/Lists/Promotores%20autorizados%20a%20confeccionar%20las%20escritur/DispForm.aspx?ID=105" TargetMode="External"/><Relationship Id="rId5" Type="http://schemas.openxmlformats.org/officeDocument/2006/relationships/hyperlink" Target="http://miredestrella/productosyservicios/Financiamientos/Prestamoshipotecarios/Lists/Promotores%20autorizados%20a%20confeccionar%20las%20escritur/DispForm.aspx?ID=104" TargetMode="External"/><Relationship Id="rId4" Type="http://schemas.openxmlformats.org/officeDocument/2006/relationships/hyperlink" Target="http://miredestrella/productosyservicios/Financiamientos/Prestamoshipotecarios/Lists/Promotores%20autorizados%20a%20confeccionar%20las%20escritur/DispForm.aspx?ID=103" TargetMode="External"/></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http://miredestrella/misaplicaciones/plantillascorporativas/Banco%20de%20Imgenes/Logotipos/BG-Logobasico.jpg"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http://miredestrella/misaplicaciones/plantillascorporativas/Banco%20de%20Imgenes/Logotipos/BG-Logobasico.jpg"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cid:image003.jpg@01D3CD9C.5EB3CBB0" TargetMode="External"/><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8.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4</xdr:col>
      <xdr:colOff>408928</xdr:colOff>
      <xdr:row>0</xdr:row>
      <xdr:rowOff>0</xdr:rowOff>
    </xdr:from>
    <xdr:to>
      <xdr:col>4</xdr:col>
      <xdr:colOff>1185087</xdr:colOff>
      <xdr:row>5</xdr:row>
      <xdr:rowOff>51289</xdr:rowOff>
    </xdr:to>
    <xdr:grpSp>
      <xdr:nvGrpSpPr>
        <xdr:cNvPr id="2" name="1 Grupo"/>
        <xdr:cNvGrpSpPr/>
      </xdr:nvGrpSpPr>
      <xdr:grpSpPr>
        <a:xfrm>
          <a:off x="3466453" y="0"/>
          <a:ext cx="776159" cy="899014"/>
          <a:chOff x="5295986" y="0"/>
          <a:chExt cx="776159" cy="871904"/>
        </a:xfrm>
        <a:solidFill>
          <a:srgbClr val="005595"/>
        </a:solidFill>
      </xdr:grpSpPr>
      <xdr:sp macro="" textlink="">
        <xdr:nvSpPr>
          <xdr:cNvPr id="3" name="2 Rectángulo redondeado"/>
          <xdr:cNvSpPr/>
        </xdr:nvSpPr>
        <xdr:spPr>
          <a:xfrm>
            <a:off x="5296855" y="0"/>
            <a:ext cx="775290" cy="564346"/>
          </a:xfrm>
          <a:prstGeom prst="roundRect">
            <a:avLst>
              <a:gd name="adj" fmla="val 0"/>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PA" sz="1100"/>
          </a:p>
        </xdr:txBody>
      </xdr:sp>
      <xdr:sp macro="" textlink="">
        <xdr:nvSpPr>
          <xdr:cNvPr id="4" name="3 Rectángulo redondeado"/>
          <xdr:cNvSpPr/>
        </xdr:nvSpPr>
        <xdr:spPr>
          <a:xfrm>
            <a:off x="5295986" y="302327"/>
            <a:ext cx="775290" cy="569577"/>
          </a:xfrm>
          <a:prstGeom prst="roundRect">
            <a:avLst>
              <a:gd name="adj" fmla="val 32307"/>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PA" sz="1100"/>
          </a:p>
        </xdr:txBody>
      </xdr:sp>
    </xdr:grpSp>
    <xdr:clientData/>
  </xdr:twoCellAnchor>
  <xdr:twoCellAnchor editAs="oneCell">
    <xdr:from>
      <xdr:col>4</xdr:col>
      <xdr:colOff>518013</xdr:colOff>
      <xdr:row>0</xdr:row>
      <xdr:rowOff>139213</xdr:rowOff>
    </xdr:from>
    <xdr:to>
      <xdr:col>4</xdr:col>
      <xdr:colOff>1073648</xdr:colOff>
      <xdr:row>4</xdr:row>
      <xdr:rowOff>7328</xdr:rowOff>
    </xdr:to>
    <xdr:pic>
      <xdr:nvPicPr>
        <xdr:cNvPr id="5" name="5 Imagen"/>
        <xdr:cNvPicPr>
          <a:picLocks noChangeAspect="1"/>
        </xdr:cNvPicPr>
      </xdr:nvPicPr>
      <xdr:blipFill>
        <a:blip xmlns:r="http://schemas.openxmlformats.org/officeDocument/2006/relationships" r:embed="rId1" cstate="print"/>
        <a:stretch>
          <a:fillRect/>
        </a:stretch>
      </xdr:blipFill>
      <xdr:spPr>
        <a:xfrm>
          <a:off x="3718413" y="139213"/>
          <a:ext cx="555635" cy="53486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4552950</xdr:colOff>
      <xdr:row>74</xdr:row>
      <xdr:rowOff>0</xdr:rowOff>
    </xdr:from>
    <xdr:to>
      <xdr:col>7</xdr:col>
      <xdr:colOff>114300</xdr:colOff>
      <xdr:row>74</xdr:row>
      <xdr:rowOff>123825</xdr:rowOff>
    </xdr:to>
    <xdr:pic>
      <xdr:nvPicPr>
        <xdr:cNvPr id="6" name="Picture 38" descr="http://miredestrella/_layouts/images/blank.gif"/>
        <xdr:cNvPicPr>
          <a:picLocks noChangeAspect="1" noChangeArrowheads="1"/>
        </xdr:cNvPicPr>
      </xdr:nvPicPr>
      <xdr:blipFill>
        <a:blip xmlns:r="http://schemas.openxmlformats.org/officeDocument/2006/relationships" r:embed="rId1"/>
        <a:srcRect/>
        <a:stretch>
          <a:fillRect/>
        </a:stretch>
      </xdr:blipFill>
      <xdr:spPr bwMode="auto">
        <a:xfrm>
          <a:off x="6515100" y="11029950"/>
          <a:ext cx="114300" cy="123825"/>
        </a:xfrm>
        <a:prstGeom prst="rect">
          <a:avLst/>
        </a:prstGeom>
        <a:noFill/>
      </xdr:spPr>
    </xdr:pic>
    <xdr:clientData/>
  </xdr:twoCellAnchor>
  <xdr:twoCellAnchor editAs="oneCell">
    <xdr:from>
      <xdr:col>5</xdr:col>
      <xdr:colOff>0</xdr:colOff>
      <xdr:row>36</xdr:row>
      <xdr:rowOff>0</xdr:rowOff>
    </xdr:from>
    <xdr:to>
      <xdr:col>5</xdr:col>
      <xdr:colOff>9525</xdr:colOff>
      <xdr:row>36</xdr:row>
      <xdr:rowOff>9525</xdr:rowOff>
    </xdr:to>
    <xdr:pic>
      <xdr:nvPicPr>
        <xdr:cNvPr id="7" name="Picture 53" descr="Utilizar Mayús+Entrar para abrir el menú (nueva ventana)">
          <a:hlinkClick xmlns:r="http://schemas.openxmlformats.org/officeDocument/2006/relationships" r:id="rId2"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3609975" y="5429250"/>
          <a:ext cx="9525" cy="9525"/>
        </a:xfrm>
        <a:prstGeom prst="rect">
          <a:avLst/>
        </a:prstGeom>
        <a:noFill/>
      </xdr:spPr>
    </xdr:pic>
    <xdr:clientData/>
  </xdr:twoCellAnchor>
  <xdr:twoCellAnchor editAs="oneCell">
    <xdr:from>
      <xdr:col>5</xdr:col>
      <xdr:colOff>0</xdr:colOff>
      <xdr:row>74</xdr:row>
      <xdr:rowOff>0</xdr:rowOff>
    </xdr:from>
    <xdr:to>
      <xdr:col>5</xdr:col>
      <xdr:colOff>9525</xdr:colOff>
      <xdr:row>74</xdr:row>
      <xdr:rowOff>9525</xdr:rowOff>
    </xdr:to>
    <xdr:pic>
      <xdr:nvPicPr>
        <xdr:cNvPr id="8" name="Picture 133" descr="Utilizar Mayús+Entrar para abrir el menú (nueva ventana)">
          <a:hlinkClick xmlns:r="http://schemas.openxmlformats.org/officeDocument/2006/relationships" r:id="rId3"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3609975" y="11029950"/>
          <a:ext cx="9525" cy="9525"/>
        </a:xfrm>
        <a:prstGeom prst="rect">
          <a:avLst/>
        </a:prstGeom>
        <a:noFill/>
      </xdr:spPr>
    </xdr:pic>
    <xdr:clientData/>
  </xdr:twoCellAnchor>
  <xdr:twoCellAnchor editAs="oneCell">
    <xdr:from>
      <xdr:col>5</xdr:col>
      <xdr:colOff>0</xdr:colOff>
      <xdr:row>54</xdr:row>
      <xdr:rowOff>0</xdr:rowOff>
    </xdr:from>
    <xdr:to>
      <xdr:col>5</xdr:col>
      <xdr:colOff>9525</xdr:colOff>
      <xdr:row>54</xdr:row>
      <xdr:rowOff>9525</xdr:rowOff>
    </xdr:to>
    <xdr:pic>
      <xdr:nvPicPr>
        <xdr:cNvPr id="9" name="Picture 77" descr="Utilizar Mayús+Entrar para abrir el menú (nueva ventana)">
          <a:hlinkClick xmlns:r="http://schemas.openxmlformats.org/officeDocument/2006/relationships" r:id="rId4"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3609975" y="7981950"/>
          <a:ext cx="9525" cy="9525"/>
        </a:xfrm>
        <a:prstGeom prst="rect">
          <a:avLst/>
        </a:prstGeom>
        <a:noFill/>
      </xdr:spPr>
    </xdr:pic>
    <xdr:clientData/>
  </xdr:twoCellAnchor>
  <xdr:twoCellAnchor editAs="oneCell">
    <xdr:from>
      <xdr:col>1</xdr:col>
      <xdr:colOff>0</xdr:colOff>
      <xdr:row>11</xdr:row>
      <xdr:rowOff>0</xdr:rowOff>
    </xdr:from>
    <xdr:to>
      <xdr:col>1</xdr:col>
      <xdr:colOff>9525</xdr:colOff>
      <xdr:row>11</xdr:row>
      <xdr:rowOff>9525</xdr:rowOff>
    </xdr:to>
    <xdr:pic>
      <xdr:nvPicPr>
        <xdr:cNvPr id="11" name="Picture 325" descr="Utilizar Mayús+Entrar para abrir el menú (nueva ventana)">
          <a:hlinkClick xmlns:r="http://schemas.openxmlformats.org/officeDocument/2006/relationships" r:id="rId5"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0" y="2476500"/>
          <a:ext cx="9525" cy="9525"/>
        </a:xfrm>
        <a:prstGeom prst="rect">
          <a:avLst/>
        </a:prstGeom>
        <a:noFill/>
      </xdr:spPr>
    </xdr:pic>
    <xdr:clientData/>
  </xdr:twoCellAnchor>
  <xdr:twoCellAnchor editAs="oneCell">
    <xdr:from>
      <xdr:col>1</xdr:col>
      <xdr:colOff>0</xdr:colOff>
      <xdr:row>29</xdr:row>
      <xdr:rowOff>0</xdr:rowOff>
    </xdr:from>
    <xdr:to>
      <xdr:col>1</xdr:col>
      <xdr:colOff>9525</xdr:colOff>
      <xdr:row>29</xdr:row>
      <xdr:rowOff>9525</xdr:rowOff>
    </xdr:to>
    <xdr:pic>
      <xdr:nvPicPr>
        <xdr:cNvPr id="12" name="Picture 329" descr="Utilizar Mayús+Entrar para abrir el menú (nueva ventana)">
          <a:hlinkClick xmlns:r="http://schemas.openxmlformats.org/officeDocument/2006/relationships" r:id="rId6"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0" y="6286500"/>
          <a:ext cx="9525" cy="9525"/>
        </a:xfrm>
        <a:prstGeom prst="rect">
          <a:avLst/>
        </a:prstGeom>
        <a:noFill/>
      </xdr:spPr>
    </xdr:pic>
    <xdr:clientData/>
  </xdr:twoCellAnchor>
  <xdr:twoCellAnchor editAs="oneCell">
    <xdr:from>
      <xdr:col>1</xdr:col>
      <xdr:colOff>0</xdr:colOff>
      <xdr:row>39</xdr:row>
      <xdr:rowOff>0</xdr:rowOff>
    </xdr:from>
    <xdr:to>
      <xdr:col>1</xdr:col>
      <xdr:colOff>9525</xdr:colOff>
      <xdr:row>39</xdr:row>
      <xdr:rowOff>9525</xdr:rowOff>
    </xdr:to>
    <xdr:pic>
      <xdr:nvPicPr>
        <xdr:cNvPr id="13" name="Picture 317" descr="Utilizar Mayús+Entrar para abrir el menú (nueva ventana)">
          <a:hlinkClick xmlns:r="http://schemas.openxmlformats.org/officeDocument/2006/relationships" r:id="rId7"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0" y="8743950"/>
          <a:ext cx="9525" cy="9525"/>
        </a:xfrm>
        <a:prstGeom prst="rect">
          <a:avLst/>
        </a:prstGeom>
        <a:noFill/>
      </xdr:spPr>
    </xdr:pic>
    <xdr:clientData/>
  </xdr:twoCellAnchor>
  <xdr:twoCellAnchor editAs="oneCell">
    <xdr:from>
      <xdr:col>5</xdr:col>
      <xdr:colOff>0</xdr:colOff>
      <xdr:row>1</xdr:row>
      <xdr:rowOff>0</xdr:rowOff>
    </xdr:from>
    <xdr:to>
      <xdr:col>5</xdr:col>
      <xdr:colOff>9525</xdr:colOff>
      <xdr:row>5</xdr:row>
      <xdr:rowOff>9525</xdr:rowOff>
    </xdr:to>
    <xdr:pic>
      <xdr:nvPicPr>
        <xdr:cNvPr id="10" name="Picture 325" descr="Utilizar Mayús+Entrar para abrir el menú (nueva ventana)">
          <a:hlinkClick xmlns:r="http://schemas.openxmlformats.org/officeDocument/2006/relationships" r:id="rId5"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6619875" y="762000"/>
          <a:ext cx="9525" cy="9525"/>
        </a:xfrm>
        <a:prstGeom prst="rect">
          <a:avLst/>
        </a:prstGeom>
        <a:noFill/>
      </xdr:spPr>
    </xdr:pic>
    <xdr:clientData/>
  </xdr:twoCellAnchor>
  <xdr:twoCellAnchor editAs="oneCell">
    <xdr:from>
      <xdr:col>5</xdr:col>
      <xdr:colOff>0</xdr:colOff>
      <xdr:row>1</xdr:row>
      <xdr:rowOff>0</xdr:rowOff>
    </xdr:from>
    <xdr:to>
      <xdr:col>5</xdr:col>
      <xdr:colOff>9525</xdr:colOff>
      <xdr:row>6</xdr:row>
      <xdr:rowOff>9525</xdr:rowOff>
    </xdr:to>
    <xdr:pic>
      <xdr:nvPicPr>
        <xdr:cNvPr id="14" name="Picture 329" descr="Utilizar Mayús+Entrar para abrir el menú (nueva ventana)">
          <a:hlinkClick xmlns:r="http://schemas.openxmlformats.org/officeDocument/2006/relationships" r:id="rId6"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6619875" y="952500"/>
          <a:ext cx="9525" cy="9525"/>
        </a:xfrm>
        <a:prstGeom prst="rect">
          <a:avLst/>
        </a:prstGeom>
        <a:noFill/>
      </xdr:spPr>
    </xdr:pic>
    <xdr:clientData/>
  </xdr:twoCellAnchor>
  <xdr:twoCellAnchor editAs="oneCell">
    <xdr:from>
      <xdr:col>5</xdr:col>
      <xdr:colOff>4552950</xdr:colOff>
      <xdr:row>1</xdr:row>
      <xdr:rowOff>0</xdr:rowOff>
    </xdr:from>
    <xdr:to>
      <xdr:col>7</xdr:col>
      <xdr:colOff>114300</xdr:colOff>
      <xdr:row>6</xdr:row>
      <xdr:rowOff>123825</xdr:rowOff>
    </xdr:to>
    <xdr:pic>
      <xdr:nvPicPr>
        <xdr:cNvPr id="15" name="Picture 38" descr="http://miredestrella/_layouts/images/blank.gif"/>
        <xdr:cNvPicPr>
          <a:picLocks noChangeAspect="1" noChangeArrowheads="1"/>
        </xdr:cNvPicPr>
      </xdr:nvPicPr>
      <xdr:blipFill>
        <a:blip xmlns:r="http://schemas.openxmlformats.org/officeDocument/2006/relationships" r:embed="rId1"/>
        <a:srcRect/>
        <a:stretch>
          <a:fillRect/>
        </a:stretch>
      </xdr:blipFill>
      <xdr:spPr bwMode="auto">
        <a:xfrm>
          <a:off x="10620375" y="952500"/>
          <a:ext cx="114300" cy="123825"/>
        </a:xfrm>
        <a:prstGeom prst="rect">
          <a:avLst/>
        </a:prstGeom>
        <a:noFill/>
      </xdr:spPr>
    </xdr:pic>
    <xdr:clientData/>
  </xdr:twoCellAnchor>
  <xdr:twoCellAnchor editAs="oneCell">
    <xdr:from>
      <xdr:col>5</xdr:col>
      <xdr:colOff>0</xdr:colOff>
      <xdr:row>1</xdr:row>
      <xdr:rowOff>0</xdr:rowOff>
    </xdr:from>
    <xdr:to>
      <xdr:col>5</xdr:col>
      <xdr:colOff>9525</xdr:colOff>
      <xdr:row>7</xdr:row>
      <xdr:rowOff>9525</xdr:rowOff>
    </xdr:to>
    <xdr:pic>
      <xdr:nvPicPr>
        <xdr:cNvPr id="16" name="Picture 317" descr="Utilizar Mayús+Entrar para abrir el menú (nueva ventana)">
          <a:hlinkClick xmlns:r="http://schemas.openxmlformats.org/officeDocument/2006/relationships" r:id="rId7"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6619875" y="1143000"/>
          <a:ext cx="9525" cy="9525"/>
        </a:xfrm>
        <a:prstGeom prst="rect">
          <a:avLst/>
        </a:prstGeom>
        <a:noFill/>
      </xdr:spPr>
    </xdr:pic>
    <xdr:clientData/>
  </xdr:twoCellAnchor>
  <xdr:twoCellAnchor editAs="oneCell">
    <xdr:from>
      <xdr:col>5</xdr:col>
      <xdr:colOff>0</xdr:colOff>
      <xdr:row>8</xdr:row>
      <xdr:rowOff>0</xdr:rowOff>
    </xdr:from>
    <xdr:to>
      <xdr:col>5</xdr:col>
      <xdr:colOff>9525</xdr:colOff>
      <xdr:row>9</xdr:row>
      <xdr:rowOff>9525</xdr:rowOff>
    </xdr:to>
    <xdr:pic>
      <xdr:nvPicPr>
        <xdr:cNvPr id="17" name="Picture 325" descr="Utilizar Mayús+Entrar para abrir el menú (nueva ventana)">
          <a:hlinkClick xmlns:r="http://schemas.openxmlformats.org/officeDocument/2006/relationships" r:id="rId5"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6619875" y="1524000"/>
          <a:ext cx="9525" cy="9525"/>
        </a:xfrm>
        <a:prstGeom prst="rect">
          <a:avLst/>
        </a:prstGeom>
        <a:noFill/>
      </xdr:spPr>
    </xdr:pic>
    <xdr:clientData/>
  </xdr:twoCellAnchor>
  <xdr:twoCellAnchor editAs="oneCell">
    <xdr:from>
      <xdr:col>5</xdr:col>
      <xdr:colOff>0</xdr:colOff>
      <xdr:row>19</xdr:row>
      <xdr:rowOff>0</xdr:rowOff>
    </xdr:from>
    <xdr:to>
      <xdr:col>5</xdr:col>
      <xdr:colOff>9525</xdr:colOff>
      <xdr:row>19</xdr:row>
      <xdr:rowOff>9525</xdr:rowOff>
    </xdr:to>
    <xdr:pic>
      <xdr:nvPicPr>
        <xdr:cNvPr id="18" name="Picture 329" descr="Utilizar Mayús+Entrar para abrir el menú (nueva ventana)">
          <a:hlinkClick xmlns:r="http://schemas.openxmlformats.org/officeDocument/2006/relationships" r:id="rId6"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6619875" y="2762250"/>
          <a:ext cx="9525" cy="9525"/>
        </a:xfrm>
        <a:prstGeom prst="rect">
          <a:avLst/>
        </a:prstGeom>
        <a:noFill/>
      </xdr:spPr>
    </xdr:pic>
    <xdr:clientData/>
  </xdr:twoCellAnchor>
  <xdr:twoCellAnchor editAs="oneCell">
    <xdr:from>
      <xdr:col>5</xdr:col>
      <xdr:colOff>4552950</xdr:colOff>
      <xdr:row>22</xdr:row>
      <xdr:rowOff>0</xdr:rowOff>
    </xdr:from>
    <xdr:to>
      <xdr:col>7</xdr:col>
      <xdr:colOff>114300</xdr:colOff>
      <xdr:row>22</xdr:row>
      <xdr:rowOff>123825</xdr:rowOff>
    </xdr:to>
    <xdr:pic>
      <xdr:nvPicPr>
        <xdr:cNvPr id="19" name="Picture 38" descr="http://miredestrella/_layouts/images/blank.gif"/>
        <xdr:cNvPicPr>
          <a:picLocks noChangeAspect="1" noChangeArrowheads="1"/>
        </xdr:cNvPicPr>
      </xdr:nvPicPr>
      <xdr:blipFill>
        <a:blip xmlns:r="http://schemas.openxmlformats.org/officeDocument/2006/relationships" r:embed="rId1"/>
        <a:srcRect/>
        <a:stretch>
          <a:fillRect/>
        </a:stretch>
      </xdr:blipFill>
      <xdr:spPr bwMode="auto">
        <a:xfrm>
          <a:off x="10620375" y="3333750"/>
          <a:ext cx="114300" cy="123825"/>
        </a:xfrm>
        <a:prstGeom prst="rect">
          <a:avLst/>
        </a:prstGeom>
        <a:noFill/>
      </xdr:spPr>
    </xdr:pic>
    <xdr:clientData/>
  </xdr:twoCellAnchor>
  <xdr:twoCellAnchor editAs="oneCell">
    <xdr:from>
      <xdr:col>5</xdr:col>
      <xdr:colOff>0</xdr:colOff>
      <xdr:row>20</xdr:row>
      <xdr:rowOff>0</xdr:rowOff>
    </xdr:from>
    <xdr:to>
      <xdr:col>5</xdr:col>
      <xdr:colOff>9525</xdr:colOff>
      <xdr:row>21</xdr:row>
      <xdr:rowOff>9525</xdr:rowOff>
    </xdr:to>
    <xdr:pic>
      <xdr:nvPicPr>
        <xdr:cNvPr id="20" name="Picture 317" descr="Utilizar Mayús+Entrar para abrir el menú (nueva ventana)">
          <a:hlinkClick xmlns:r="http://schemas.openxmlformats.org/officeDocument/2006/relationships" r:id="rId7"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6619875" y="3905250"/>
          <a:ext cx="9525" cy="9525"/>
        </a:xfrm>
        <a:prstGeom prst="rect">
          <a:avLst/>
        </a:prstGeom>
        <a:noFill/>
      </xdr:spPr>
    </xdr:pic>
    <xdr:clientData/>
  </xdr:twoCellAnchor>
  <xdr:twoCellAnchor editAs="oneCell">
    <xdr:from>
      <xdr:col>1</xdr:col>
      <xdr:colOff>0</xdr:colOff>
      <xdr:row>7</xdr:row>
      <xdr:rowOff>0</xdr:rowOff>
    </xdr:from>
    <xdr:to>
      <xdr:col>1</xdr:col>
      <xdr:colOff>9525</xdr:colOff>
      <xdr:row>7</xdr:row>
      <xdr:rowOff>9525</xdr:rowOff>
    </xdr:to>
    <xdr:pic>
      <xdr:nvPicPr>
        <xdr:cNvPr id="21" name="Picture 325" descr="Utilizar Mayús+Entrar para abrir el menú (nueva ventana)">
          <a:hlinkClick xmlns:r="http://schemas.openxmlformats.org/officeDocument/2006/relationships" r:id="rId5"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6619875" y="1714500"/>
          <a:ext cx="9525" cy="9525"/>
        </a:xfrm>
        <a:prstGeom prst="rect">
          <a:avLst/>
        </a:prstGeom>
        <a:noFill/>
      </xdr:spPr>
    </xdr:pic>
    <xdr:clientData/>
  </xdr:twoCellAnchor>
  <xdr:twoCellAnchor editAs="oneCell">
    <xdr:from>
      <xdr:col>1</xdr:col>
      <xdr:colOff>0</xdr:colOff>
      <xdr:row>18</xdr:row>
      <xdr:rowOff>0</xdr:rowOff>
    </xdr:from>
    <xdr:to>
      <xdr:col>1</xdr:col>
      <xdr:colOff>9525</xdr:colOff>
      <xdr:row>20</xdr:row>
      <xdr:rowOff>9525</xdr:rowOff>
    </xdr:to>
    <xdr:pic>
      <xdr:nvPicPr>
        <xdr:cNvPr id="22" name="Picture 329" descr="Utilizar Mayús+Entrar para abrir el menú (nueva ventana)">
          <a:hlinkClick xmlns:r="http://schemas.openxmlformats.org/officeDocument/2006/relationships" r:id="rId6"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6619875" y="4362450"/>
          <a:ext cx="9525" cy="9525"/>
        </a:xfrm>
        <a:prstGeom prst="rect">
          <a:avLst/>
        </a:prstGeom>
        <a:noFill/>
      </xdr:spPr>
    </xdr:pic>
    <xdr:clientData/>
  </xdr:twoCellAnchor>
  <xdr:twoCellAnchor editAs="oneCell">
    <xdr:from>
      <xdr:col>1</xdr:col>
      <xdr:colOff>4552950</xdr:colOff>
      <xdr:row>20</xdr:row>
      <xdr:rowOff>0</xdr:rowOff>
    </xdr:from>
    <xdr:to>
      <xdr:col>3</xdr:col>
      <xdr:colOff>114300</xdr:colOff>
      <xdr:row>21</xdr:row>
      <xdr:rowOff>123825</xdr:rowOff>
    </xdr:to>
    <xdr:pic>
      <xdr:nvPicPr>
        <xdr:cNvPr id="23" name="Picture 38" descr="http://miredestrella/_layouts/images/blank.gif"/>
        <xdr:cNvPicPr>
          <a:picLocks noChangeAspect="1" noChangeArrowheads="1"/>
        </xdr:cNvPicPr>
      </xdr:nvPicPr>
      <xdr:blipFill>
        <a:blip xmlns:r="http://schemas.openxmlformats.org/officeDocument/2006/relationships" r:embed="rId1"/>
        <a:srcRect/>
        <a:stretch>
          <a:fillRect/>
        </a:stretch>
      </xdr:blipFill>
      <xdr:spPr bwMode="auto">
        <a:xfrm>
          <a:off x="10620375" y="4552950"/>
          <a:ext cx="114300" cy="123825"/>
        </a:xfrm>
        <a:prstGeom prst="rect">
          <a:avLst/>
        </a:prstGeom>
        <a:noFill/>
      </xdr:spPr>
    </xdr:pic>
    <xdr:clientData/>
  </xdr:twoCellAnchor>
  <xdr:twoCellAnchor editAs="oneCell">
    <xdr:from>
      <xdr:col>1</xdr:col>
      <xdr:colOff>0</xdr:colOff>
      <xdr:row>26</xdr:row>
      <xdr:rowOff>0</xdr:rowOff>
    </xdr:from>
    <xdr:to>
      <xdr:col>1</xdr:col>
      <xdr:colOff>9525</xdr:colOff>
      <xdr:row>26</xdr:row>
      <xdr:rowOff>9525</xdr:rowOff>
    </xdr:to>
    <xdr:pic>
      <xdr:nvPicPr>
        <xdr:cNvPr id="24" name="Picture 317" descr="Utilizar Mayús+Entrar para abrir el menú (nueva ventana)">
          <a:hlinkClick xmlns:r="http://schemas.openxmlformats.org/officeDocument/2006/relationships" r:id="rId7"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6619875" y="5695950"/>
          <a:ext cx="9525" cy="9525"/>
        </a:xfrm>
        <a:prstGeom prst="rect">
          <a:avLst/>
        </a:prstGeom>
        <a:noFill/>
      </xdr:spPr>
    </xdr:pic>
    <xdr:clientData/>
  </xdr:twoCellAnchor>
  <xdr:twoCellAnchor editAs="oneCell">
    <xdr:from>
      <xdr:col>5</xdr:col>
      <xdr:colOff>0</xdr:colOff>
      <xdr:row>68</xdr:row>
      <xdr:rowOff>0</xdr:rowOff>
    </xdr:from>
    <xdr:to>
      <xdr:col>5</xdr:col>
      <xdr:colOff>9525</xdr:colOff>
      <xdr:row>69</xdr:row>
      <xdr:rowOff>0</xdr:rowOff>
    </xdr:to>
    <xdr:pic>
      <xdr:nvPicPr>
        <xdr:cNvPr id="25" name="Picture 325" descr="Utilizar Mayús+Entrar para abrir el menú (nueva ventana)">
          <a:hlinkClick xmlns:r="http://schemas.openxmlformats.org/officeDocument/2006/relationships" r:id="rId5"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762000" y="1571625"/>
          <a:ext cx="9525" cy="9525"/>
        </a:xfrm>
        <a:prstGeom prst="rect">
          <a:avLst/>
        </a:prstGeom>
        <a:noFill/>
      </xdr:spPr>
    </xdr:pic>
    <xdr:clientData/>
  </xdr:twoCellAnchor>
  <xdr:twoCellAnchor editAs="oneCell">
    <xdr:from>
      <xdr:col>5</xdr:col>
      <xdr:colOff>0</xdr:colOff>
      <xdr:row>65</xdr:row>
      <xdr:rowOff>0</xdr:rowOff>
    </xdr:from>
    <xdr:to>
      <xdr:col>5</xdr:col>
      <xdr:colOff>9525</xdr:colOff>
      <xdr:row>67</xdr:row>
      <xdr:rowOff>0</xdr:rowOff>
    </xdr:to>
    <xdr:pic>
      <xdr:nvPicPr>
        <xdr:cNvPr id="26" name="Picture 325" descr="Utilizar Mayús+Entrar para abrir el menú (nueva ventana)">
          <a:hlinkClick xmlns:r="http://schemas.openxmlformats.org/officeDocument/2006/relationships" r:id="rId5"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762000" y="1571625"/>
          <a:ext cx="9525" cy="9525"/>
        </a:xfrm>
        <a:prstGeom prst="rect">
          <a:avLst/>
        </a:prstGeom>
        <a:noFill/>
      </xdr:spPr>
    </xdr:pic>
    <xdr:clientData/>
  </xdr:twoCellAnchor>
  <xdr:twoCellAnchor editAs="oneCell">
    <xdr:from>
      <xdr:col>5</xdr:col>
      <xdr:colOff>0</xdr:colOff>
      <xdr:row>70</xdr:row>
      <xdr:rowOff>0</xdr:rowOff>
    </xdr:from>
    <xdr:to>
      <xdr:col>5</xdr:col>
      <xdr:colOff>9525</xdr:colOff>
      <xdr:row>71</xdr:row>
      <xdr:rowOff>0</xdr:rowOff>
    </xdr:to>
    <xdr:pic>
      <xdr:nvPicPr>
        <xdr:cNvPr id="27" name="Picture 329" descr="Utilizar Mayús+Entrar para abrir el menú (nueva ventana)">
          <a:hlinkClick xmlns:r="http://schemas.openxmlformats.org/officeDocument/2006/relationships" r:id="rId6"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762000" y="1952625"/>
          <a:ext cx="9525" cy="9525"/>
        </a:xfrm>
        <a:prstGeom prst="rect">
          <a:avLst/>
        </a:prstGeom>
        <a:noFill/>
      </xdr:spPr>
    </xdr:pic>
    <xdr:clientData/>
  </xdr:twoCellAnchor>
  <xdr:twoCellAnchor editAs="oneCell">
    <xdr:from>
      <xdr:col>5</xdr:col>
      <xdr:colOff>0</xdr:colOff>
      <xdr:row>67</xdr:row>
      <xdr:rowOff>0</xdr:rowOff>
    </xdr:from>
    <xdr:to>
      <xdr:col>5</xdr:col>
      <xdr:colOff>9525</xdr:colOff>
      <xdr:row>69</xdr:row>
      <xdr:rowOff>0</xdr:rowOff>
    </xdr:to>
    <xdr:pic>
      <xdr:nvPicPr>
        <xdr:cNvPr id="28" name="Picture 317" descr="Utilizar Mayús+Entrar para abrir el menú (nueva ventana)">
          <a:hlinkClick xmlns:r="http://schemas.openxmlformats.org/officeDocument/2006/relationships" r:id="rId7"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762000" y="1952625"/>
          <a:ext cx="9525" cy="9525"/>
        </a:xfrm>
        <a:prstGeom prst="rect">
          <a:avLst/>
        </a:prstGeom>
        <a:noFill/>
      </xdr:spPr>
    </xdr:pic>
    <xdr:clientData/>
  </xdr:twoCellAnchor>
  <xdr:twoCellAnchor editAs="oneCell">
    <xdr:from>
      <xdr:col>5</xdr:col>
      <xdr:colOff>0</xdr:colOff>
      <xdr:row>65</xdr:row>
      <xdr:rowOff>0</xdr:rowOff>
    </xdr:from>
    <xdr:to>
      <xdr:col>5</xdr:col>
      <xdr:colOff>9525</xdr:colOff>
      <xdr:row>68</xdr:row>
      <xdr:rowOff>0</xdr:rowOff>
    </xdr:to>
    <xdr:pic>
      <xdr:nvPicPr>
        <xdr:cNvPr id="29" name="Picture 317" descr="Utilizar Mayús+Entrar para abrir el menú (nueva ventana)">
          <a:hlinkClick xmlns:r="http://schemas.openxmlformats.org/officeDocument/2006/relationships" r:id="rId7"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762000" y="2333625"/>
          <a:ext cx="9525" cy="9525"/>
        </a:xfrm>
        <a:prstGeom prst="rect">
          <a:avLst/>
        </a:prstGeom>
        <a:noFill/>
      </xdr:spPr>
    </xdr:pic>
    <xdr:clientData/>
  </xdr:twoCellAnchor>
  <xdr:twoCellAnchor editAs="oneCell">
    <xdr:from>
      <xdr:col>5</xdr:col>
      <xdr:colOff>0</xdr:colOff>
      <xdr:row>98</xdr:row>
      <xdr:rowOff>0</xdr:rowOff>
    </xdr:from>
    <xdr:to>
      <xdr:col>5</xdr:col>
      <xdr:colOff>9525</xdr:colOff>
      <xdr:row>98</xdr:row>
      <xdr:rowOff>9525</xdr:rowOff>
    </xdr:to>
    <xdr:pic>
      <xdr:nvPicPr>
        <xdr:cNvPr id="30" name="Picture 325" descr="Utilizar Mayús+Entrar para abrir el menú (nueva ventana)">
          <a:hlinkClick xmlns:r="http://schemas.openxmlformats.org/officeDocument/2006/relationships" r:id="rId5"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762000" y="1190625"/>
          <a:ext cx="9525" cy="9525"/>
        </a:xfrm>
        <a:prstGeom prst="rect">
          <a:avLst/>
        </a:prstGeom>
        <a:noFill/>
      </xdr:spPr>
    </xdr:pic>
    <xdr:clientData/>
  </xdr:twoCellAnchor>
  <xdr:twoCellAnchor editAs="oneCell">
    <xdr:from>
      <xdr:col>5</xdr:col>
      <xdr:colOff>0</xdr:colOff>
      <xdr:row>117</xdr:row>
      <xdr:rowOff>0</xdr:rowOff>
    </xdr:from>
    <xdr:to>
      <xdr:col>5</xdr:col>
      <xdr:colOff>9525</xdr:colOff>
      <xdr:row>117</xdr:row>
      <xdr:rowOff>9525</xdr:rowOff>
    </xdr:to>
    <xdr:pic>
      <xdr:nvPicPr>
        <xdr:cNvPr id="31" name="Picture 329" descr="Utilizar Mayús+Entrar para abrir el menú (nueva ventana)">
          <a:hlinkClick xmlns:r="http://schemas.openxmlformats.org/officeDocument/2006/relationships" r:id="rId6"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762000" y="1190625"/>
          <a:ext cx="9525" cy="9525"/>
        </a:xfrm>
        <a:prstGeom prst="rect">
          <a:avLst/>
        </a:prstGeom>
        <a:noFill/>
      </xdr:spPr>
    </xdr:pic>
    <xdr:clientData/>
  </xdr:twoCellAnchor>
  <xdr:twoCellAnchor editAs="oneCell">
    <xdr:from>
      <xdr:col>5</xdr:col>
      <xdr:colOff>0</xdr:colOff>
      <xdr:row>94</xdr:row>
      <xdr:rowOff>0</xdr:rowOff>
    </xdr:from>
    <xdr:to>
      <xdr:col>5</xdr:col>
      <xdr:colOff>9525</xdr:colOff>
      <xdr:row>94</xdr:row>
      <xdr:rowOff>9525</xdr:rowOff>
    </xdr:to>
    <xdr:pic>
      <xdr:nvPicPr>
        <xdr:cNvPr id="32" name="Picture 325" descr="Utilizar Mayús+Entrar para abrir el menú (nueva ventana)">
          <a:hlinkClick xmlns:r="http://schemas.openxmlformats.org/officeDocument/2006/relationships" r:id="rId5"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762000" y="1190625"/>
          <a:ext cx="9525" cy="9525"/>
        </a:xfrm>
        <a:prstGeom prst="rect">
          <a:avLst/>
        </a:prstGeom>
        <a:noFill/>
      </xdr:spPr>
    </xdr:pic>
    <xdr:clientData/>
  </xdr:twoCellAnchor>
  <xdr:twoCellAnchor editAs="oneCell">
    <xdr:from>
      <xdr:col>5</xdr:col>
      <xdr:colOff>0</xdr:colOff>
      <xdr:row>114</xdr:row>
      <xdr:rowOff>0</xdr:rowOff>
    </xdr:from>
    <xdr:to>
      <xdr:col>5</xdr:col>
      <xdr:colOff>9525</xdr:colOff>
      <xdr:row>114</xdr:row>
      <xdr:rowOff>9525</xdr:rowOff>
    </xdr:to>
    <xdr:pic>
      <xdr:nvPicPr>
        <xdr:cNvPr id="33" name="Picture 317" descr="Utilizar Mayús+Entrar para abrir el menú (nueva ventana)">
          <a:hlinkClick xmlns:r="http://schemas.openxmlformats.org/officeDocument/2006/relationships" r:id="rId7" tgtFrame="_self"/>
        </xdr:cNvPr>
        <xdr:cNvPicPr>
          <a:picLocks noChangeAspect="1" noChangeArrowheads="1"/>
        </xdr:cNvPicPr>
      </xdr:nvPicPr>
      <xdr:blipFill>
        <a:blip xmlns:r="http://schemas.openxmlformats.org/officeDocument/2006/relationships" r:embed="rId1"/>
        <a:srcRect/>
        <a:stretch>
          <a:fillRect/>
        </a:stretch>
      </xdr:blipFill>
      <xdr:spPr bwMode="auto">
        <a:xfrm>
          <a:off x="762000" y="1190625"/>
          <a:ext cx="9525" cy="9525"/>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66675</xdr:rowOff>
    </xdr:from>
    <xdr:to>
      <xdr:col>5</xdr:col>
      <xdr:colOff>581025</xdr:colOff>
      <xdr:row>4</xdr:row>
      <xdr:rowOff>38100</xdr:rowOff>
    </xdr:to>
    <xdr:pic>
      <xdr:nvPicPr>
        <xdr:cNvPr id="2" name="Picture 87"/>
        <xdr:cNvPicPr>
          <a:picLocks noChangeAspect="1" noChangeArrowheads="1"/>
        </xdr:cNvPicPr>
      </xdr:nvPicPr>
      <xdr:blipFill>
        <a:blip xmlns:r="http://schemas.openxmlformats.org/officeDocument/2006/relationships" r:embed="rId1" cstate="print"/>
        <a:srcRect/>
        <a:stretch>
          <a:fillRect/>
        </a:stretch>
      </xdr:blipFill>
      <xdr:spPr bwMode="auto">
        <a:xfrm>
          <a:off x="0" y="66675"/>
          <a:ext cx="2428875" cy="581025"/>
        </a:xfrm>
        <a:prstGeom prst="rect">
          <a:avLst/>
        </a:prstGeom>
        <a:noFill/>
        <a:ln w="9525">
          <a:noFill/>
          <a:miter lim="800000"/>
          <a:headEnd/>
          <a:tailEnd/>
        </a:ln>
      </xdr:spPr>
    </xdr:pic>
    <xdr:clientData/>
  </xdr:twoCellAnchor>
  <xdr:twoCellAnchor>
    <xdr:from>
      <xdr:col>1</xdr:col>
      <xdr:colOff>0</xdr:colOff>
      <xdr:row>10</xdr:row>
      <xdr:rowOff>66675</xdr:rowOff>
    </xdr:from>
    <xdr:to>
      <xdr:col>1</xdr:col>
      <xdr:colOff>76200</xdr:colOff>
      <xdr:row>10</xdr:row>
      <xdr:rowOff>123825</xdr:rowOff>
    </xdr:to>
    <xdr:sp macro="" textlink="">
      <xdr:nvSpPr>
        <xdr:cNvPr id="3" name="33 Elipse"/>
        <xdr:cNvSpPr>
          <a:spLocks noChangeArrowheads="1"/>
        </xdr:cNvSpPr>
      </xdr:nvSpPr>
      <xdr:spPr bwMode="auto">
        <a:xfrm>
          <a:off x="133350" y="15240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14</xdr:row>
      <xdr:rowOff>57150</xdr:rowOff>
    </xdr:from>
    <xdr:to>
      <xdr:col>1</xdr:col>
      <xdr:colOff>76200</xdr:colOff>
      <xdr:row>14</xdr:row>
      <xdr:rowOff>114300</xdr:rowOff>
    </xdr:to>
    <xdr:sp macro="" textlink="">
      <xdr:nvSpPr>
        <xdr:cNvPr id="4" name="45 Elipse"/>
        <xdr:cNvSpPr>
          <a:spLocks noChangeArrowheads="1"/>
        </xdr:cNvSpPr>
      </xdr:nvSpPr>
      <xdr:spPr bwMode="auto">
        <a:xfrm>
          <a:off x="133350" y="22383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17</xdr:row>
      <xdr:rowOff>66675</xdr:rowOff>
    </xdr:from>
    <xdr:to>
      <xdr:col>1</xdr:col>
      <xdr:colOff>76200</xdr:colOff>
      <xdr:row>17</xdr:row>
      <xdr:rowOff>123825</xdr:rowOff>
    </xdr:to>
    <xdr:sp macro="" textlink="">
      <xdr:nvSpPr>
        <xdr:cNvPr id="5" name="33 Elipse"/>
        <xdr:cNvSpPr>
          <a:spLocks noChangeArrowheads="1"/>
        </xdr:cNvSpPr>
      </xdr:nvSpPr>
      <xdr:spPr bwMode="auto">
        <a:xfrm>
          <a:off x="133350" y="2762250"/>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19</xdr:row>
      <xdr:rowOff>57150</xdr:rowOff>
    </xdr:from>
    <xdr:to>
      <xdr:col>1</xdr:col>
      <xdr:colOff>66675</xdr:colOff>
      <xdr:row>19</xdr:row>
      <xdr:rowOff>114300</xdr:rowOff>
    </xdr:to>
    <xdr:sp macro="" textlink="">
      <xdr:nvSpPr>
        <xdr:cNvPr id="6" name="33 Elipse"/>
        <xdr:cNvSpPr>
          <a:spLocks noChangeArrowheads="1"/>
        </xdr:cNvSpPr>
      </xdr:nvSpPr>
      <xdr:spPr bwMode="auto">
        <a:xfrm>
          <a:off x="123825" y="30956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9</xdr:row>
      <xdr:rowOff>85725</xdr:rowOff>
    </xdr:from>
    <xdr:to>
      <xdr:col>1</xdr:col>
      <xdr:colOff>76200</xdr:colOff>
      <xdr:row>9</xdr:row>
      <xdr:rowOff>142875</xdr:rowOff>
    </xdr:to>
    <xdr:sp macro="" textlink="">
      <xdr:nvSpPr>
        <xdr:cNvPr id="7" name="33 Elipse"/>
        <xdr:cNvSpPr>
          <a:spLocks noChangeArrowheads="1"/>
        </xdr:cNvSpPr>
      </xdr:nvSpPr>
      <xdr:spPr bwMode="auto">
        <a:xfrm>
          <a:off x="133350" y="13525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11</xdr:row>
      <xdr:rowOff>57150</xdr:rowOff>
    </xdr:from>
    <xdr:to>
      <xdr:col>1</xdr:col>
      <xdr:colOff>76200</xdr:colOff>
      <xdr:row>11</xdr:row>
      <xdr:rowOff>114300</xdr:rowOff>
    </xdr:to>
    <xdr:sp macro="" textlink="">
      <xdr:nvSpPr>
        <xdr:cNvPr id="8" name="33 Elipse"/>
        <xdr:cNvSpPr>
          <a:spLocks noChangeArrowheads="1"/>
        </xdr:cNvSpPr>
      </xdr:nvSpPr>
      <xdr:spPr bwMode="auto">
        <a:xfrm>
          <a:off x="133350" y="16859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12</xdr:row>
      <xdr:rowOff>57150</xdr:rowOff>
    </xdr:from>
    <xdr:to>
      <xdr:col>1</xdr:col>
      <xdr:colOff>76200</xdr:colOff>
      <xdr:row>12</xdr:row>
      <xdr:rowOff>114300</xdr:rowOff>
    </xdr:to>
    <xdr:sp macro="" textlink="">
      <xdr:nvSpPr>
        <xdr:cNvPr id="9" name="33 Elipse"/>
        <xdr:cNvSpPr>
          <a:spLocks noChangeArrowheads="1"/>
        </xdr:cNvSpPr>
      </xdr:nvSpPr>
      <xdr:spPr bwMode="auto">
        <a:xfrm>
          <a:off x="133350" y="18573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13</xdr:row>
      <xdr:rowOff>66675</xdr:rowOff>
    </xdr:from>
    <xdr:to>
      <xdr:col>1</xdr:col>
      <xdr:colOff>85725</xdr:colOff>
      <xdr:row>13</xdr:row>
      <xdr:rowOff>123825</xdr:rowOff>
    </xdr:to>
    <xdr:sp macro="" textlink="">
      <xdr:nvSpPr>
        <xdr:cNvPr id="10" name="33 Elipse"/>
        <xdr:cNvSpPr>
          <a:spLocks noChangeArrowheads="1"/>
        </xdr:cNvSpPr>
      </xdr:nvSpPr>
      <xdr:spPr bwMode="auto">
        <a:xfrm>
          <a:off x="142875" y="20574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16</xdr:row>
      <xdr:rowOff>47625</xdr:rowOff>
    </xdr:from>
    <xdr:to>
      <xdr:col>1</xdr:col>
      <xdr:colOff>76200</xdr:colOff>
      <xdr:row>16</xdr:row>
      <xdr:rowOff>104775</xdr:rowOff>
    </xdr:to>
    <xdr:sp macro="" textlink="">
      <xdr:nvSpPr>
        <xdr:cNvPr id="11" name="45 Elipse"/>
        <xdr:cNvSpPr>
          <a:spLocks noChangeArrowheads="1"/>
        </xdr:cNvSpPr>
      </xdr:nvSpPr>
      <xdr:spPr bwMode="auto">
        <a:xfrm>
          <a:off x="133350" y="25717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26</xdr:row>
      <xdr:rowOff>57150</xdr:rowOff>
    </xdr:from>
    <xdr:to>
      <xdr:col>1</xdr:col>
      <xdr:colOff>76200</xdr:colOff>
      <xdr:row>26</xdr:row>
      <xdr:rowOff>114300</xdr:rowOff>
    </xdr:to>
    <xdr:sp macro="" textlink="">
      <xdr:nvSpPr>
        <xdr:cNvPr id="12" name="33 Elipse"/>
        <xdr:cNvSpPr>
          <a:spLocks noChangeArrowheads="1"/>
        </xdr:cNvSpPr>
      </xdr:nvSpPr>
      <xdr:spPr bwMode="auto">
        <a:xfrm>
          <a:off x="133350" y="42005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27</xdr:row>
      <xdr:rowOff>66675</xdr:rowOff>
    </xdr:from>
    <xdr:to>
      <xdr:col>1</xdr:col>
      <xdr:colOff>85725</xdr:colOff>
      <xdr:row>27</xdr:row>
      <xdr:rowOff>123825</xdr:rowOff>
    </xdr:to>
    <xdr:sp macro="" textlink="">
      <xdr:nvSpPr>
        <xdr:cNvPr id="13" name="33 Elipse"/>
        <xdr:cNvSpPr>
          <a:spLocks noChangeArrowheads="1"/>
        </xdr:cNvSpPr>
      </xdr:nvSpPr>
      <xdr:spPr bwMode="auto">
        <a:xfrm>
          <a:off x="142875" y="44005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25</xdr:row>
      <xdr:rowOff>66675</xdr:rowOff>
    </xdr:from>
    <xdr:to>
      <xdr:col>1</xdr:col>
      <xdr:colOff>76200</xdr:colOff>
      <xdr:row>25</xdr:row>
      <xdr:rowOff>123825</xdr:rowOff>
    </xdr:to>
    <xdr:sp macro="" textlink="">
      <xdr:nvSpPr>
        <xdr:cNvPr id="14" name="33 Elipse"/>
        <xdr:cNvSpPr>
          <a:spLocks noChangeArrowheads="1"/>
        </xdr:cNvSpPr>
      </xdr:nvSpPr>
      <xdr:spPr bwMode="auto">
        <a:xfrm>
          <a:off x="133350" y="4038600"/>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21</xdr:row>
      <xdr:rowOff>76200</xdr:rowOff>
    </xdr:from>
    <xdr:to>
      <xdr:col>1</xdr:col>
      <xdr:colOff>66675</xdr:colOff>
      <xdr:row>21</xdr:row>
      <xdr:rowOff>133350</xdr:rowOff>
    </xdr:to>
    <xdr:sp macro="" textlink="">
      <xdr:nvSpPr>
        <xdr:cNvPr id="15" name="33 Elipse"/>
        <xdr:cNvSpPr>
          <a:spLocks noChangeArrowheads="1"/>
        </xdr:cNvSpPr>
      </xdr:nvSpPr>
      <xdr:spPr bwMode="auto">
        <a:xfrm>
          <a:off x="123825" y="3438525"/>
          <a:ext cx="76200" cy="57150"/>
        </a:xfrm>
        <a:prstGeom prst="ellipse">
          <a:avLst/>
        </a:prstGeom>
        <a:solidFill>
          <a:srgbClr val="FFFFFF"/>
        </a:solidFill>
        <a:ln w="9525" algn="ctr">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66675</xdr:rowOff>
    </xdr:from>
    <xdr:to>
      <xdr:col>5</xdr:col>
      <xdr:colOff>581025</xdr:colOff>
      <xdr:row>4</xdr:row>
      <xdr:rowOff>9524</xdr:rowOff>
    </xdr:to>
    <xdr:pic>
      <xdr:nvPicPr>
        <xdr:cNvPr id="2" name="Picture 87"/>
        <xdr:cNvPicPr>
          <a:picLocks noChangeAspect="1" noChangeArrowheads="1"/>
        </xdr:cNvPicPr>
      </xdr:nvPicPr>
      <xdr:blipFill>
        <a:blip xmlns:r="http://schemas.openxmlformats.org/officeDocument/2006/relationships" r:embed="rId1" cstate="print"/>
        <a:srcRect/>
        <a:stretch>
          <a:fillRect/>
        </a:stretch>
      </xdr:blipFill>
      <xdr:spPr bwMode="auto">
        <a:xfrm>
          <a:off x="0" y="66675"/>
          <a:ext cx="2428875" cy="704849"/>
        </a:xfrm>
        <a:prstGeom prst="rect">
          <a:avLst/>
        </a:prstGeom>
        <a:noFill/>
        <a:ln w="9525">
          <a:noFill/>
          <a:miter lim="800000"/>
          <a:headEnd/>
          <a:tailEnd/>
        </a:ln>
      </xdr:spPr>
    </xdr:pic>
    <xdr:clientData/>
  </xdr:twoCellAnchor>
  <xdr:twoCellAnchor>
    <xdr:from>
      <xdr:col>1</xdr:col>
      <xdr:colOff>0</xdr:colOff>
      <xdr:row>10</xdr:row>
      <xdr:rowOff>66675</xdr:rowOff>
    </xdr:from>
    <xdr:to>
      <xdr:col>1</xdr:col>
      <xdr:colOff>76200</xdr:colOff>
      <xdr:row>10</xdr:row>
      <xdr:rowOff>123825</xdr:rowOff>
    </xdr:to>
    <xdr:sp macro="" textlink="">
      <xdr:nvSpPr>
        <xdr:cNvPr id="3" name="33 Elipse"/>
        <xdr:cNvSpPr>
          <a:spLocks noChangeArrowheads="1"/>
        </xdr:cNvSpPr>
      </xdr:nvSpPr>
      <xdr:spPr bwMode="auto">
        <a:xfrm>
          <a:off x="133350" y="19812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14</xdr:row>
      <xdr:rowOff>57150</xdr:rowOff>
    </xdr:from>
    <xdr:to>
      <xdr:col>1</xdr:col>
      <xdr:colOff>76200</xdr:colOff>
      <xdr:row>14</xdr:row>
      <xdr:rowOff>114300</xdr:rowOff>
    </xdr:to>
    <xdr:sp macro="" textlink="">
      <xdr:nvSpPr>
        <xdr:cNvPr id="4" name="45 Elipse"/>
        <xdr:cNvSpPr>
          <a:spLocks noChangeArrowheads="1"/>
        </xdr:cNvSpPr>
      </xdr:nvSpPr>
      <xdr:spPr bwMode="auto">
        <a:xfrm>
          <a:off x="133350" y="27336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17</xdr:row>
      <xdr:rowOff>66675</xdr:rowOff>
    </xdr:from>
    <xdr:to>
      <xdr:col>1</xdr:col>
      <xdr:colOff>76200</xdr:colOff>
      <xdr:row>17</xdr:row>
      <xdr:rowOff>123825</xdr:rowOff>
    </xdr:to>
    <xdr:sp macro="" textlink="">
      <xdr:nvSpPr>
        <xdr:cNvPr id="5" name="33 Elipse"/>
        <xdr:cNvSpPr>
          <a:spLocks noChangeArrowheads="1"/>
        </xdr:cNvSpPr>
      </xdr:nvSpPr>
      <xdr:spPr bwMode="auto">
        <a:xfrm>
          <a:off x="133350" y="3295650"/>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19</xdr:row>
      <xdr:rowOff>57150</xdr:rowOff>
    </xdr:from>
    <xdr:to>
      <xdr:col>1</xdr:col>
      <xdr:colOff>66675</xdr:colOff>
      <xdr:row>19</xdr:row>
      <xdr:rowOff>114300</xdr:rowOff>
    </xdr:to>
    <xdr:sp macro="" textlink="">
      <xdr:nvSpPr>
        <xdr:cNvPr id="6" name="33 Elipse"/>
        <xdr:cNvSpPr>
          <a:spLocks noChangeArrowheads="1"/>
        </xdr:cNvSpPr>
      </xdr:nvSpPr>
      <xdr:spPr bwMode="auto">
        <a:xfrm>
          <a:off x="123825" y="36290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9</xdr:row>
      <xdr:rowOff>85725</xdr:rowOff>
    </xdr:from>
    <xdr:to>
      <xdr:col>1</xdr:col>
      <xdr:colOff>76200</xdr:colOff>
      <xdr:row>9</xdr:row>
      <xdr:rowOff>142875</xdr:rowOff>
    </xdr:to>
    <xdr:sp macro="" textlink="">
      <xdr:nvSpPr>
        <xdr:cNvPr id="7" name="33 Elipse"/>
        <xdr:cNvSpPr>
          <a:spLocks noChangeArrowheads="1"/>
        </xdr:cNvSpPr>
      </xdr:nvSpPr>
      <xdr:spPr bwMode="auto">
        <a:xfrm>
          <a:off x="133350" y="18097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11</xdr:row>
      <xdr:rowOff>57150</xdr:rowOff>
    </xdr:from>
    <xdr:to>
      <xdr:col>1</xdr:col>
      <xdr:colOff>76200</xdr:colOff>
      <xdr:row>11</xdr:row>
      <xdr:rowOff>114300</xdr:rowOff>
    </xdr:to>
    <xdr:sp macro="" textlink="">
      <xdr:nvSpPr>
        <xdr:cNvPr id="8" name="33 Elipse"/>
        <xdr:cNvSpPr>
          <a:spLocks noChangeArrowheads="1"/>
        </xdr:cNvSpPr>
      </xdr:nvSpPr>
      <xdr:spPr bwMode="auto">
        <a:xfrm>
          <a:off x="133350" y="21621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12</xdr:row>
      <xdr:rowOff>57150</xdr:rowOff>
    </xdr:from>
    <xdr:to>
      <xdr:col>1</xdr:col>
      <xdr:colOff>76200</xdr:colOff>
      <xdr:row>12</xdr:row>
      <xdr:rowOff>114300</xdr:rowOff>
    </xdr:to>
    <xdr:sp macro="" textlink="">
      <xdr:nvSpPr>
        <xdr:cNvPr id="9" name="33 Elipse"/>
        <xdr:cNvSpPr>
          <a:spLocks noChangeArrowheads="1"/>
        </xdr:cNvSpPr>
      </xdr:nvSpPr>
      <xdr:spPr bwMode="auto">
        <a:xfrm>
          <a:off x="133350" y="23526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13</xdr:row>
      <xdr:rowOff>66675</xdr:rowOff>
    </xdr:from>
    <xdr:to>
      <xdr:col>1</xdr:col>
      <xdr:colOff>85725</xdr:colOff>
      <xdr:row>13</xdr:row>
      <xdr:rowOff>123825</xdr:rowOff>
    </xdr:to>
    <xdr:sp macro="" textlink="">
      <xdr:nvSpPr>
        <xdr:cNvPr id="10" name="33 Elipse"/>
        <xdr:cNvSpPr>
          <a:spLocks noChangeArrowheads="1"/>
        </xdr:cNvSpPr>
      </xdr:nvSpPr>
      <xdr:spPr bwMode="auto">
        <a:xfrm>
          <a:off x="142875" y="2552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16</xdr:row>
      <xdr:rowOff>47625</xdr:rowOff>
    </xdr:from>
    <xdr:to>
      <xdr:col>1</xdr:col>
      <xdr:colOff>76200</xdr:colOff>
      <xdr:row>16</xdr:row>
      <xdr:rowOff>104775</xdr:rowOff>
    </xdr:to>
    <xdr:sp macro="" textlink="">
      <xdr:nvSpPr>
        <xdr:cNvPr id="11" name="45 Elipse"/>
        <xdr:cNvSpPr>
          <a:spLocks noChangeArrowheads="1"/>
        </xdr:cNvSpPr>
      </xdr:nvSpPr>
      <xdr:spPr bwMode="auto">
        <a:xfrm>
          <a:off x="133350" y="31051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21</xdr:row>
      <xdr:rowOff>47625</xdr:rowOff>
    </xdr:from>
    <xdr:to>
      <xdr:col>1</xdr:col>
      <xdr:colOff>76200</xdr:colOff>
      <xdr:row>21</xdr:row>
      <xdr:rowOff>104775</xdr:rowOff>
    </xdr:to>
    <xdr:sp macro="" textlink="">
      <xdr:nvSpPr>
        <xdr:cNvPr id="12" name="52 Elipse"/>
        <xdr:cNvSpPr>
          <a:spLocks noChangeArrowheads="1"/>
        </xdr:cNvSpPr>
      </xdr:nvSpPr>
      <xdr:spPr bwMode="auto">
        <a:xfrm>
          <a:off x="133350" y="39624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22</xdr:row>
      <xdr:rowOff>66675</xdr:rowOff>
    </xdr:from>
    <xdr:to>
      <xdr:col>1</xdr:col>
      <xdr:colOff>85725</xdr:colOff>
      <xdr:row>22</xdr:row>
      <xdr:rowOff>123825</xdr:rowOff>
    </xdr:to>
    <xdr:sp macro="" textlink="">
      <xdr:nvSpPr>
        <xdr:cNvPr id="13" name="52 Elipse"/>
        <xdr:cNvSpPr>
          <a:spLocks noChangeArrowheads="1"/>
        </xdr:cNvSpPr>
      </xdr:nvSpPr>
      <xdr:spPr bwMode="auto">
        <a:xfrm>
          <a:off x="142875" y="41433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27</xdr:row>
      <xdr:rowOff>57150</xdr:rowOff>
    </xdr:from>
    <xdr:to>
      <xdr:col>1</xdr:col>
      <xdr:colOff>76200</xdr:colOff>
      <xdr:row>27</xdr:row>
      <xdr:rowOff>114300</xdr:rowOff>
    </xdr:to>
    <xdr:sp macro="" textlink="">
      <xdr:nvSpPr>
        <xdr:cNvPr id="14" name="52 Elipse"/>
        <xdr:cNvSpPr>
          <a:spLocks noChangeArrowheads="1"/>
        </xdr:cNvSpPr>
      </xdr:nvSpPr>
      <xdr:spPr bwMode="auto">
        <a:xfrm>
          <a:off x="133350" y="49530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37</xdr:row>
      <xdr:rowOff>66675</xdr:rowOff>
    </xdr:from>
    <xdr:to>
      <xdr:col>1</xdr:col>
      <xdr:colOff>76200</xdr:colOff>
      <xdr:row>37</xdr:row>
      <xdr:rowOff>123825</xdr:rowOff>
    </xdr:to>
    <xdr:sp macro="" textlink="">
      <xdr:nvSpPr>
        <xdr:cNvPr id="15" name="52 Elipse"/>
        <xdr:cNvSpPr>
          <a:spLocks noChangeArrowheads="1"/>
        </xdr:cNvSpPr>
      </xdr:nvSpPr>
      <xdr:spPr bwMode="auto">
        <a:xfrm>
          <a:off x="133350" y="58959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39</xdr:row>
      <xdr:rowOff>0</xdr:rowOff>
    </xdr:from>
    <xdr:to>
      <xdr:col>1</xdr:col>
      <xdr:colOff>76200</xdr:colOff>
      <xdr:row>39</xdr:row>
      <xdr:rowOff>57150</xdr:rowOff>
    </xdr:to>
    <xdr:sp macro="" textlink="">
      <xdr:nvSpPr>
        <xdr:cNvPr id="16" name="52 Elipse"/>
        <xdr:cNvSpPr>
          <a:spLocks noChangeArrowheads="1"/>
        </xdr:cNvSpPr>
      </xdr:nvSpPr>
      <xdr:spPr bwMode="auto">
        <a:xfrm>
          <a:off x="133350" y="61722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28</xdr:row>
      <xdr:rowOff>57150</xdr:rowOff>
    </xdr:from>
    <xdr:to>
      <xdr:col>1</xdr:col>
      <xdr:colOff>76200</xdr:colOff>
      <xdr:row>28</xdr:row>
      <xdr:rowOff>114300</xdr:rowOff>
    </xdr:to>
    <xdr:sp macro="" textlink="">
      <xdr:nvSpPr>
        <xdr:cNvPr id="17" name="33 Elipse"/>
        <xdr:cNvSpPr>
          <a:spLocks noChangeArrowheads="1"/>
        </xdr:cNvSpPr>
      </xdr:nvSpPr>
      <xdr:spPr bwMode="auto">
        <a:xfrm>
          <a:off x="133350" y="51244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29</xdr:row>
      <xdr:rowOff>66675</xdr:rowOff>
    </xdr:from>
    <xdr:to>
      <xdr:col>1</xdr:col>
      <xdr:colOff>85725</xdr:colOff>
      <xdr:row>29</xdr:row>
      <xdr:rowOff>123825</xdr:rowOff>
    </xdr:to>
    <xdr:sp macro="" textlink="">
      <xdr:nvSpPr>
        <xdr:cNvPr id="18" name="33 Elipse"/>
        <xdr:cNvSpPr>
          <a:spLocks noChangeArrowheads="1"/>
        </xdr:cNvSpPr>
      </xdr:nvSpPr>
      <xdr:spPr bwMode="auto">
        <a:xfrm>
          <a:off x="142875" y="53244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23</xdr:row>
      <xdr:rowOff>95250</xdr:rowOff>
    </xdr:from>
    <xdr:to>
      <xdr:col>1</xdr:col>
      <xdr:colOff>85725</xdr:colOff>
      <xdr:row>23</xdr:row>
      <xdr:rowOff>152400</xdr:rowOff>
    </xdr:to>
    <xdr:sp macro="" textlink="">
      <xdr:nvSpPr>
        <xdr:cNvPr id="19" name="33 Elipse"/>
        <xdr:cNvSpPr>
          <a:spLocks noChangeArrowheads="1"/>
        </xdr:cNvSpPr>
      </xdr:nvSpPr>
      <xdr:spPr bwMode="auto">
        <a:xfrm>
          <a:off x="114300" y="44862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31</xdr:row>
      <xdr:rowOff>0</xdr:rowOff>
    </xdr:from>
    <xdr:to>
      <xdr:col>1</xdr:col>
      <xdr:colOff>76200</xdr:colOff>
      <xdr:row>31</xdr:row>
      <xdr:rowOff>57150</xdr:rowOff>
    </xdr:to>
    <xdr:sp macro="" textlink="">
      <xdr:nvSpPr>
        <xdr:cNvPr id="20" name="52 Elipse"/>
        <xdr:cNvSpPr>
          <a:spLocks noChangeArrowheads="1"/>
        </xdr:cNvSpPr>
      </xdr:nvSpPr>
      <xdr:spPr bwMode="auto">
        <a:xfrm>
          <a:off x="133350" y="87725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32</xdr:row>
      <xdr:rowOff>0</xdr:rowOff>
    </xdr:from>
    <xdr:to>
      <xdr:col>1</xdr:col>
      <xdr:colOff>76200</xdr:colOff>
      <xdr:row>32</xdr:row>
      <xdr:rowOff>57150</xdr:rowOff>
    </xdr:to>
    <xdr:sp macro="" textlink="">
      <xdr:nvSpPr>
        <xdr:cNvPr id="21" name="52 Elipse"/>
        <xdr:cNvSpPr>
          <a:spLocks noChangeArrowheads="1"/>
        </xdr:cNvSpPr>
      </xdr:nvSpPr>
      <xdr:spPr bwMode="auto">
        <a:xfrm>
          <a:off x="133350" y="89630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33</xdr:row>
      <xdr:rowOff>0</xdr:rowOff>
    </xdr:from>
    <xdr:to>
      <xdr:col>1</xdr:col>
      <xdr:colOff>76200</xdr:colOff>
      <xdr:row>33</xdr:row>
      <xdr:rowOff>57150</xdr:rowOff>
    </xdr:to>
    <xdr:sp macro="" textlink="">
      <xdr:nvSpPr>
        <xdr:cNvPr id="22" name="52 Elipse"/>
        <xdr:cNvSpPr>
          <a:spLocks noChangeArrowheads="1"/>
        </xdr:cNvSpPr>
      </xdr:nvSpPr>
      <xdr:spPr bwMode="auto">
        <a:xfrm>
          <a:off x="133350" y="91535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34</xdr:row>
      <xdr:rowOff>0</xdr:rowOff>
    </xdr:from>
    <xdr:to>
      <xdr:col>1</xdr:col>
      <xdr:colOff>76200</xdr:colOff>
      <xdr:row>34</xdr:row>
      <xdr:rowOff>57150</xdr:rowOff>
    </xdr:to>
    <xdr:sp macro="" textlink="">
      <xdr:nvSpPr>
        <xdr:cNvPr id="23" name="52 Elipse"/>
        <xdr:cNvSpPr>
          <a:spLocks noChangeArrowheads="1"/>
        </xdr:cNvSpPr>
      </xdr:nvSpPr>
      <xdr:spPr bwMode="auto">
        <a:xfrm>
          <a:off x="133350" y="9344025"/>
          <a:ext cx="76200" cy="57150"/>
        </a:xfrm>
        <a:prstGeom prst="ellipse">
          <a:avLst/>
        </a:prstGeom>
        <a:solidFill>
          <a:srgbClr val="FFFFFF"/>
        </a:solidFill>
        <a:ln w="9525" algn="ctr">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66675</xdr:rowOff>
    </xdr:from>
    <xdr:to>
      <xdr:col>5</xdr:col>
      <xdr:colOff>581025</xdr:colOff>
      <xdr:row>4</xdr:row>
      <xdr:rowOff>38100</xdr:rowOff>
    </xdr:to>
    <xdr:pic>
      <xdr:nvPicPr>
        <xdr:cNvPr id="2" name="Picture 87"/>
        <xdr:cNvPicPr>
          <a:picLocks noChangeAspect="1" noChangeArrowheads="1"/>
        </xdr:cNvPicPr>
      </xdr:nvPicPr>
      <xdr:blipFill>
        <a:blip xmlns:r="http://schemas.openxmlformats.org/officeDocument/2006/relationships" r:embed="rId1" cstate="print"/>
        <a:srcRect/>
        <a:stretch>
          <a:fillRect/>
        </a:stretch>
      </xdr:blipFill>
      <xdr:spPr bwMode="auto">
        <a:xfrm>
          <a:off x="0" y="66675"/>
          <a:ext cx="2428875" cy="733425"/>
        </a:xfrm>
        <a:prstGeom prst="rect">
          <a:avLst/>
        </a:prstGeom>
        <a:noFill/>
        <a:ln w="9525">
          <a:noFill/>
          <a:miter lim="800000"/>
          <a:headEnd/>
          <a:tailEnd/>
        </a:ln>
      </xdr:spPr>
    </xdr:pic>
    <xdr:clientData/>
  </xdr:twoCellAnchor>
  <xdr:twoCellAnchor>
    <xdr:from>
      <xdr:col>1</xdr:col>
      <xdr:colOff>0</xdr:colOff>
      <xdr:row>9</xdr:row>
      <xdr:rowOff>66675</xdr:rowOff>
    </xdr:from>
    <xdr:to>
      <xdr:col>1</xdr:col>
      <xdr:colOff>76200</xdr:colOff>
      <xdr:row>9</xdr:row>
      <xdr:rowOff>123825</xdr:rowOff>
    </xdr:to>
    <xdr:sp macro="" textlink="">
      <xdr:nvSpPr>
        <xdr:cNvPr id="3" name="33 Elipse"/>
        <xdr:cNvSpPr>
          <a:spLocks noChangeArrowheads="1"/>
        </xdr:cNvSpPr>
      </xdr:nvSpPr>
      <xdr:spPr bwMode="auto">
        <a:xfrm>
          <a:off x="133350" y="1790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13</xdr:row>
      <xdr:rowOff>57150</xdr:rowOff>
    </xdr:from>
    <xdr:to>
      <xdr:col>1</xdr:col>
      <xdr:colOff>76200</xdr:colOff>
      <xdr:row>13</xdr:row>
      <xdr:rowOff>114300</xdr:rowOff>
    </xdr:to>
    <xdr:sp macro="" textlink="">
      <xdr:nvSpPr>
        <xdr:cNvPr id="4" name="45 Elipse"/>
        <xdr:cNvSpPr>
          <a:spLocks noChangeArrowheads="1"/>
        </xdr:cNvSpPr>
      </xdr:nvSpPr>
      <xdr:spPr bwMode="auto">
        <a:xfrm>
          <a:off x="133350" y="25431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16</xdr:row>
      <xdr:rowOff>66675</xdr:rowOff>
    </xdr:from>
    <xdr:to>
      <xdr:col>1</xdr:col>
      <xdr:colOff>76200</xdr:colOff>
      <xdr:row>16</xdr:row>
      <xdr:rowOff>123825</xdr:rowOff>
    </xdr:to>
    <xdr:sp macro="" textlink="">
      <xdr:nvSpPr>
        <xdr:cNvPr id="5" name="33 Elipse"/>
        <xdr:cNvSpPr>
          <a:spLocks noChangeArrowheads="1"/>
        </xdr:cNvSpPr>
      </xdr:nvSpPr>
      <xdr:spPr bwMode="auto">
        <a:xfrm>
          <a:off x="133350" y="3105150"/>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18</xdr:row>
      <xdr:rowOff>57150</xdr:rowOff>
    </xdr:from>
    <xdr:to>
      <xdr:col>1</xdr:col>
      <xdr:colOff>66675</xdr:colOff>
      <xdr:row>18</xdr:row>
      <xdr:rowOff>114300</xdr:rowOff>
    </xdr:to>
    <xdr:sp macro="" textlink="">
      <xdr:nvSpPr>
        <xdr:cNvPr id="6" name="33 Elipse"/>
        <xdr:cNvSpPr>
          <a:spLocks noChangeArrowheads="1"/>
        </xdr:cNvSpPr>
      </xdr:nvSpPr>
      <xdr:spPr bwMode="auto">
        <a:xfrm>
          <a:off x="123825" y="34385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8</xdr:row>
      <xdr:rowOff>85725</xdr:rowOff>
    </xdr:from>
    <xdr:to>
      <xdr:col>1</xdr:col>
      <xdr:colOff>76200</xdr:colOff>
      <xdr:row>8</xdr:row>
      <xdr:rowOff>142875</xdr:rowOff>
    </xdr:to>
    <xdr:sp macro="" textlink="">
      <xdr:nvSpPr>
        <xdr:cNvPr id="7" name="33 Elipse"/>
        <xdr:cNvSpPr>
          <a:spLocks noChangeArrowheads="1"/>
        </xdr:cNvSpPr>
      </xdr:nvSpPr>
      <xdr:spPr bwMode="auto">
        <a:xfrm>
          <a:off x="133350" y="16192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10</xdr:row>
      <xdr:rowOff>57150</xdr:rowOff>
    </xdr:from>
    <xdr:to>
      <xdr:col>1</xdr:col>
      <xdr:colOff>76200</xdr:colOff>
      <xdr:row>10</xdr:row>
      <xdr:rowOff>114300</xdr:rowOff>
    </xdr:to>
    <xdr:sp macro="" textlink="">
      <xdr:nvSpPr>
        <xdr:cNvPr id="8" name="33 Elipse"/>
        <xdr:cNvSpPr>
          <a:spLocks noChangeArrowheads="1"/>
        </xdr:cNvSpPr>
      </xdr:nvSpPr>
      <xdr:spPr bwMode="auto">
        <a:xfrm>
          <a:off x="133350" y="19716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11</xdr:row>
      <xdr:rowOff>57150</xdr:rowOff>
    </xdr:from>
    <xdr:to>
      <xdr:col>1</xdr:col>
      <xdr:colOff>76200</xdr:colOff>
      <xdr:row>11</xdr:row>
      <xdr:rowOff>114300</xdr:rowOff>
    </xdr:to>
    <xdr:sp macro="" textlink="">
      <xdr:nvSpPr>
        <xdr:cNvPr id="9" name="33 Elipse"/>
        <xdr:cNvSpPr>
          <a:spLocks noChangeArrowheads="1"/>
        </xdr:cNvSpPr>
      </xdr:nvSpPr>
      <xdr:spPr bwMode="auto">
        <a:xfrm>
          <a:off x="133350" y="21621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12</xdr:row>
      <xdr:rowOff>66675</xdr:rowOff>
    </xdr:from>
    <xdr:to>
      <xdr:col>1</xdr:col>
      <xdr:colOff>85725</xdr:colOff>
      <xdr:row>12</xdr:row>
      <xdr:rowOff>123825</xdr:rowOff>
    </xdr:to>
    <xdr:sp macro="" textlink="">
      <xdr:nvSpPr>
        <xdr:cNvPr id="10" name="33 Elipse"/>
        <xdr:cNvSpPr>
          <a:spLocks noChangeArrowheads="1"/>
        </xdr:cNvSpPr>
      </xdr:nvSpPr>
      <xdr:spPr bwMode="auto">
        <a:xfrm>
          <a:off x="142875" y="23622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15</xdr:row>
      <xdr:rowOff>47625</xdr:rowOff>
    </xdr:from>
    <xdr:to>
      <xdr:col>1</xdr:col>
      <xdr:colOff>76200</xdr:colOff>
      <xdr:row>15</xdr:row>
      <xdr:rowOff>104775</xdr:rowOff>
    </xdr:to>
    <xdr:sp macro="" textlink="">
      <xdr:nvSpPr>
        <xdr:cNvPr id="11" name="45 Elipse"/>
        <xdr:cNvSpPr>
          <a:spLocks noChangeArrowheads="1"/>
        </xdr:cNvSpPr>
      </xdr:nvSpPr>
      <xdr:spPr bwMode="auto">
        <a:xfrm>
          <a:off x="133350" y="29146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20</xdr:row>
      <xdr:rowOff>66675</xdr:rowOff>
    </xdr:from>
    <xdr:to>
      <xdr:col>1</xdr:col>
      <xdr:colOff>85725</xdr:colOff>
      <xdr:row>20</xdr:row>
      <xdr:rowOff>123825</xdr:rowOff>
    </xdr:to>
    <xdr:sp macro="" textlink="">
      <xdr:nvSpPr>
        <xdr:cNvPr id="12" name="52 Elipse"/>
        <xdr:cNvSpPr>
          <a:spLocks noChangeArrowheads="1"/>
        </xdr:cNvSpPr>
      </xdr:nvSpPr>
      <xdr:spPr bwMode="auto">
        <a:xfrm>
          <a:off x="142875" y="37909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9</xdr:row>
      <xdr:rowOff>66675</xdr:rowOff>
    </xdr:from>
    <xdr:to>
      <xdr:col>1</xdr:col>
      <xdr:colOff>76200</xdr:colOff>
      <xdr:row>9</xdr:row>
      <xdr:rowOff>123825</xdr:rowOff>
    </xdr:to>
    <xdr:sp macro="" textlink="">
      <xdr:nvSpPr>
        <xdr:cNvPr id="13" name="33 Elipse"/>
        <xdr:cNvSpPr>
          <a:spLocks noChangeArrowheads="1"/>
        </xdr:cNvSpPr>
      </xdr:nvSpPr>
      <xdr:spPr bwMode="auto">
        <a:xfrm>
          <a:off x="133350" y="1790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13</xdr:row>
      <xdr:rowOff>57150</xdr:rowOff>
    </xdr:from>
    <xdr:to>
      <xdr:col>1</xdr:col>
      <xdr:colOff>76200</xdr:colOff>
      <xdr:row>13</xdr:row>
      <xdr:rowOff>114300</xdr:rowOff>
    </xdr:to>
    <xdr:sp macro="" textlink="">
      <xdr:nvSpPr>
        <xdr:cNvPr id="14" name="45 Elipse"/>
        <xdr:cNvSpPr>
          <a:spLocks noChangeArrowheads="1"/>
        </xdr:cNvSpPr>
      </xdr:nvSpPr>
      <xdr:spPr bwMode="auto">
        <a:xfrm>
          <a:off x="133350" y="25431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16</xdr:row>
      <xdr:rowOff>66675</xdr:rowOff>
    </xdr:from>
    <xdr:to>
      <xdr:col>1</xdr:col>
      <xdr:colOff>76200</xdr:colOff>
      <xdr:row>16</xdr:row>
      <xdr:rowOff>123825</xdr:rowOff>
    </xdr:to>
    <xdr:sp macro="" textlink="">
      <xdr:nvSpPr>
        <xdr:cNvPr id="15" name="33 Elipse"/>
        <xdr:cNvSpPr>
          <a:spLocks noChangeArrowheads="1"/>
        </xdr:cNvSpPr>
      </xdr:nvSpPr>
      <xdr:spPr bwMode="auto">
        <a:xfrm>
          <a:off x="133350" y="3105150"/>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18</xdr:row>
      <xdr:rowOff>57150</xdr:rowOff>
    </xdr:from>
    <xdr:to>
      <xdr:col>1</xdr:col>
      <xdr:colOff>66675</xdr:colOff>
      <xdr:row>18</xdr:row>
      <xdr:rowOff>114300</xdr:rowOff>
    </xdr:to>
    <xdr:sp macro="" textlink="">
      <xdr:nvSpPr>
        <xdr:cNvPr id="16" name="33 Elipse"/>
        <xdr:cNvSpPr>
          <a:spLocks noChangeArrowheads="1"/>
        </xdr:cNvSpPr>
      </xdr:nvSpPr>
      <xdr:spPr bwMode="auto">
        <a:xfrm>
          <a:off x="123825" y="34385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8</xdr:row>
      <xdr:rowOff>85725</xdr:rowOff>
    </xdr:from>
    <xdr:to>
      <xdr:col>1</xdr:col>
      <xdr:colOff>76200</xdr:colOff>
      <xdr:row>8</xdr:row>
      <xdr:rowOff>142875</xdr:rowOff>
    </xdr:to>
    <xdr:sp macro="" textlink="">
      <xdr:nvSpPr>
        <xdr:cNvPr id="17" name="33 Elipse"/>
        <xdr:cNvSpPr>
          <a:spLocks noChangeArrowheads="1"/>
        </xdr:cNvSpPr>
      </xdr:nvSpPr>
      <xdr:spPr bwMode="auto">
        <a:xfrm>
          <a:off x="133350" y="1619250"/>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10</xdr:row>
      <xdr:rowOff>57150</xdr:rowOff>
    </xdr:from>
    <xdr:to>
      <xdr:col>1</xdr:col>
      <xdr:colOff>66675</xdr:colOff>
      <xdr:row>10</xdr:row>
      <xdr:rowOff>114300</xdr:rowOff>
    </xdr:to>
    <xdr:sp macro="" textlink="">
      <xdr:nvSpPr>
        <xdr:cNvPr id="18" name="33 Elipse"/>
        <xdr:cNvSpPr>
          <a:spLocks noChangeArrowheads="1"/>
        </xdr:cNvSpPr>
      </xdr:nvSpPr>
      <xdr:spPr bwMode="auto">
        <a:xfrm>
          <a:off x="123825" y="1971675"/>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11</xdr:row>
      <xdr:rowOff>57150</xdr:rowOff>
    </xdr:from>
    <xdr:to>
      <xdr:col>1</xdr:col>
      <xdr:colOff>66675</xdr:colOff>
      <xdr:row>11</xdr:row>
      <xdr:rowOff>114300</xdr:rowOff>
    </xdr:to>
    <xdr:sp macro="" textlink="">
      <xdr:nvSpPr>
        <xdr:cNvPr id="19" name="33 Elipse"/>
        <xdr:cNvSpPr>
          <a:spLocks noChangeArrowheads="1"/>
        </xdr:cNvSpPr>
      </xdr:nvSpPr>
      <xdr:spPr bwMode="auto">
        <a:xfrm>
          <a:off x="123825" y="21621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12</xdr:row>
      <xdr:rowOff>66675</xdr:rowOff>
    </xdr:from>
    <xdr:to>
      <xdr:col>1</xdr:col>
      <xdr:colOff>76200</xdr:colOff>
      <xdr:row>12</xdr:row>
      <xdr:rowOff>123825</xdr:rowOff>
    </xdr:to>
    <xdr:sp macro="" textlink="">
      <xdr:nvSpPr>
        <xdr:cNvPr id="20" name="33 Elipse"/>
        <xdr:cNvSpPr>
          <a:spLocks noChangeArrowheads="1"/>
        </xdr:cNvSpPr>
      </xdr:nvSpPr>
      <xdr:spPr bwMode="auto">
        <a:xfrm>
          <a:off x="133350" y="23622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15</xdr:row>
      <xdr:rowOff>47625</xdr:rowOff>
    </xdr:from>
    <xdr:to>
      <xdr:col>1</xdr:col>
      <xdr:colOff>76200</xdr:colOff>
      <xdr:row>15</xdr:row>
      <xdr:rowOff>104775</xdr:rowOff>
    </xdr:to>
    <xdr:sp macro="" textlink="">
      <xdr:nvSpPr>
        <xdr:cNvPr id="21" name="45 Elipse"/>
        <xdr:cNvSpPr>
          <a:spLocks noChangeArrowheads="1"/>
        </xdr:cNvSpPr>
      </xdr:nvSpPr>
      <xdr:spPr bwMode="auto">
        <a:xfrm>
          <a:off x="133350" y="29146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21</xdr:row>
      <xdr:rowOff>66675</xdr:rowOff>
    </xdr:from>
    <xdr:to>
      <xdr:col>1</xdr:col>
      <xdr:colOff>85725</xdr:colOff>
      <xdr:row>21</xdr:row>
      <xdr:rowOff>123825</xdr:rowOff>
    </xdr:to>
    <xdr:sp macro="" textlink="">
      <xdr:nvSpPr>
        <xdr:cNvPr id="22" name="52 Elipse"/>
        <xdr:cNvSpPr>
          <a:spLocks noChangeArrowheads="1"/>
        </xdr:cNvSpPr>
      </xdr:nvSpPr>
      <xdr:spPr bwMode="auto">
        <a:xfrm>
          <a:off x="142875" y="39528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25</xdr:row>
      <xdr:rowOff>57150</xdr:rowOff>
    </xdr:from>
    <xdr:to>
      <xdr:col>1</xdr:col>
      <xdr:colOff>76200</xdr:colOff>
      <xdr:row>25</xdr:row>
      <xdr:rowOff>114300</xdr:rowOff>
    </xdr:to>
    <xdr:sp macro="" textlink="">
      <xdr:nvSpPr>
        <xdr:cNvPr id="23" name="52 Elipse"/>
        <xdr:cNvSpPr>
          <a:spLocks noChangeArrowheads="1"/>
        </xdr:cNvSpPr>
      </xdr:nvSpPr>
      <xdr:spPr bwMode="auto">
        <a:xfrm>
          <a:off x="133350" y="47815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37</xdr:row>
      <xdr:rowOff>66675</xdr:rowOff>
    </xdr:from>
    <xdr:to>
      <xdr:col>1</xdr:col>
      <xdr:colOff>76200</xdr:colOff>
      <xdr:row>37</xdr:row>
      <xdr:rowOff>123825</xdr:rowOff>
    </xdr:to>
    <xdr:sp macro="" textlink="">
      <xdr:nvSpPr>
        <xdr:cNvPr id="24" name="52 Elipse"/>
        <xdr:cNvSpPr>
          <a:spLocks noChangeArrowheads="1"/>
        </xdr:cNvSpPr>
      </xdr:nvSpPr>
      <xdr:spPr bwMode="auto">
        <a:xfrm>
          <a:off x="133350" y="68008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39</xdr:row>
      <xdr:rowOff>0</xdr:rowOff>
    </xdr:from>
    <xdr:to>
      <xdr:col>1</xdr:col>
      <xdr:colOff>76200</xdr:colOff>
      <xdr:row>39</xdr:row>
      <xdr:rowOff>57150</xdr:rowOff>
    </xdr:to>
    <xdr:sp macro="" textlink="">
      <xdr:nvSpPr>
        <xdr:cNvPr id="25" name="52 Elipse"/>
        <xdr:cNvSpPr>
          <a:spLocks noChangeArrowheads="1"/>
        </xdr:cNvSpPr>
      </xdr:nvSpPr>
      <xdr:spPr bwMode="auto">
        <a:xfrm>
          <a:off x="133350" y="70770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26</xdr:row>
      <xdr:rowOff>57150</xdr:rowOff>
    </xdr:from>
    <xdr:to>
      <xdr:col>1</xdr:col>
      <xdr:colOff>76200</xdr:colOff>
      <xdr:row>26</xdr:row>
      <xdr:rowOff>114300</xdr:rowOff>
    </xdr:to>
    <xdr:sp macro="" textlink="">
      <xdr:nvSpPr>
        <xdr:cNvPr id="26" name="52 Elipse"/>
        <xdr:cNvSpPr>
          <a:spLocks noChangeArrowheads="1"/>
        </xdr:cNvSpPr>
      </xdr:nvSpPr>
      <xdr:spPr bwMode="auto">
        <a:xfrm>
          <a:off x="133350" y="49530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30</xdr:row>
      <xdr:rowOff>57150</xdr:rowOff>
    </xdr:from>
    <xdr:to>
      <xdr:col>1</xdr:col>
      <xdr:colOff>76200</xdr:colOff>
      <xdr:row>30</xdr:row>
      <xdr:rowOff>114300</xdr:rowOff>
    </xdr:to>
    <xdr:sp macro="" textlink="">
      <xdr:nvSpPr>
        <xdr:cNvPr id="27" name="52 Elipse"/>
        <xdr:cNvSpPr>
          <a:spLocks noChangeArrowheads="1"/>
        </xdr:cNvSpPr>
      </xdr:nvSpPr>
      <xdr:spPr bwMode="auto">
        <a:xfrm>
          <a:off x="133350" y="56769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31</xdr:row>
      <xdr:rowOff>66675</xdr:rowOff>
    </xdr:from>
    <xdr:to>
      <xdr:col>1</xdr:col>
      <xdr:colOff>76200</xdr:colOff>
      <xdr:row>31</xdr:row>
      <xdr:rowOff>123825</xdr:rowOff>
    </xdr:to>
    <xdr:sp macro="" textlink="">
      <xdr:nvSpPr>
        <xdr:cNvPr id="28" name="52 Elipse"/>
        <xdr:cNvSpPr>
          <a:spLocks noChangeArrowheads="1"/>
        </xdr:cNvSpPr>
      </xdr:nvSpPr>
      <xdr:spPr bwMode="auto">
        <a:xfrm>
          <a:off x="133350" y="58578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33</xdr:row>
      <xdr:rowOff>47625</xdr:rowOff>
    </xdr:from>
    <xdr:to>
      <xdr:col>1</xdr:col>
      <xdr:colOff>76200</xdr:colOff>
      <xdr:row>33</xdr:row>
      <xdr:rowOff>104775</xdr:rowOff>
    </xdr:to>
    <xdr:sp macro="" textlink="">
      <xdr:nvSpPr>
        <xdr:cNvPr id="29" name="52 Elipse"/>
        <xdr:cNvSpPr>
          <a:spLocks noChangeArrowheads="1"/>
        </xdr:cNvSpPr>
      </xdr:nvSpPr>
      <xdr:spPr bwMode="auto">
        <a:xfrm>
          <a:off x="133350" y="61817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34</xdr:row>
      <xdr:rowOff>47625</xdr:rowOff>
    </xdr:from>
    <xdr:to>
      <xdr:col>1</xdr:col>
      <xdr:colOff>76200</xdr:colOff>
      <xdr:row>34</xdr:row>
      <xdr:rowOff>104775</xdr:rowOff>
    </xdr:to>
    <xdr:sp macro="" textlink="">
      <xdr:nvSpPr>
        <xdr:cNvPr id="30" name="52 Elipse"/>
        <xdr:cNvSpPr>
          <a:spLocks noChangeArrowheads="1"/>
        </xdr:cNvSpPr>
      </xdr:nvSpPr>
      <xdr:spPr bwMode="auto">
        <a:xfrm>
          <a:off x="133350" y="63531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28</xdr:row>
      <xdr:rowOff>57150</xdr:rowOff>
    </xdr:from>
    <xdr:to>
      <xdr:col>1</xdr:col>
      <xdr:colOff>76200</xdr:colOff>
      <xdr:row>28</xdr:row>
      <xdr:rowOff>114300</xdr:rowOff>
    </xdr:to>
    <xdr:sp macro="" textlink="">
      <xdr:nvSpPr>
        <xdr:cNvPr id="31" name="33 Elipse"/>
        <xdr:cNvSpPr>
          <a:spLocks noChangeArrowheads="1"/>
        </xdr:cNvSpPr>
      </xdr:nvSpPr>
      <xdr:spPr bwMode="auto">
        <a:xfrm>
          <a:off x="133350" y="52959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29</xdr:row>
      <xdr:rowOff>66675</xdr:rowOff>
    </xdr:from>
    <xdr:to>
      <xdr:col>1</xdr:col>
      <xdr:colOff>85725</xdr:colOff>
      <xdr:row>29</xdr:row>
      <xdr:rowOff>123825</xdr:rowOff>
    </xdr:to>
    <xdr:sp macro="" textlink="">
      <xdr:nvSpPr>
        <xdr:cNvPr id="32" name="33 Elipse"/>
        <xdr:cNvSpPr>
          <a:spLocks noChangeArrowheads="1"/>
        </xdr:cNvSpPr>
      </xdr:nvSpPr>
      <xdr:spPr bwMode="auto">
        <a:xfrm>
          <a:off x="142875" y="54959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27</xdr:row>
      <xdr:rowOff>47625</xdr:rowOff>
    </xdr:from>
    <xdr:to>
      <xdr:col>1</xdr:col>
      <xdr:colOff>85725</xdr:colOff>
      <xdr:row>27</xdr:row>
      <xdr:rowOff>104775</xdr:rowOff>
    </xdr:to>
    <xdr:sp macro="" textlink="">
      <xdr:nvSpPr>
        <xdr:cNvPr id="33" name="52 Elipse"/>
        <xdr:cNvSpPr>
          <a:spLocks noChangeArrowheads="1"/>
        </xdr:cNvSpPr>
      </xdr:nvSpPr>
      <xdr:spPr bwMode="auto">
        <a:xfrm>
          <a:off x="142875" y="51149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42</xdr:row>
      <xdr:rowOff>0</xdr:rowOff>
    </xdr:from>
    <xdr:to>
      <xdr:col>1</xdr:col>
      <xdr:colOff>76200</xdr:colOff>
      <xdr:row>42</xdr:row>
      <xdr:rowOff>57150</xdr:rowOff>
    </xdr:to>
    <xdr:sp macro="" textlink="">
      <xdr:nvSpPr>
        <xdr:cNvPr id="34" name="52 Elipse"/>
        <xdr:cNvSpPr>
          <a:spLocks noChangeArrowheads="1"/>
        </xdr:cNvSpPr>
      </xdr:nvSpPr>
      <xdr:spPr bwMode="auto">
        <a:xfrm>
          <a:off x="104775" y="59150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43</xdr:row>
      <xdr:rowOff>0</xdr:rowOff>
    </xdr:from>
    <xdr:to>
      <xdr:col>1</xdr:col>
      <xdr:colOff>76200</xdr:colOff>
      <xdr:row>43</xdr:row>
      <xdr:rowOff>57150</xdr:rowOff>
    </xdr:to>
    <xdr:sp macro="" textlink="">
      <xdr:nvSpPr>
        <xdr:cNvPr id="35" name="52 Elipse"/>
        <xdr:cNvSpPr>
          <a:spLocks noChangeArrowheads="1"/>
        </xdr:cNvSpPr>
      </xdr:nvSpPr>
      <xdr:spPr bwMode="auto">
        <a:xfrm>
          <a:off x="104775" y="61055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44</xdr:row>
      <xdr:rowOff>0</xdr:rowOff>
    </xdr:from>
    <xdr:to>
      <xdr:col>1</xdr:col>
      <xdr:colOff>76200</xdr:colOff>
      <xdr:row>44</xdr:row>
      <xdr:rowOff>57150</xdr:rowOff>
    </xdr:to>
    <xdr:sp macro="" textlink="">
      <xdr:nvSpPr>
        <xdr:cNvPr id="36" name="52 Elipse"/>
        <xdr:cNvSpPr>
          <a:spLocks noChangeArrowheads="1"/>
        </xdr:cNvSpPr>
      </xdr:nvSpPr>
      <xdr:spPr bwMode="auto">
        <a:xfrm>
          <a:off x="104775" y="62960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45</xdr:row>
      <xdr:rowOff>0</xdr:rowOff>
    </xdr:from>
    <xdr:to>
      <xdr:col>1</xdr:col>
      <xdr:colOff>76200</xdr:colOff>
      <xdr:row>45</xdr:row>
      <xdr:rowOff>57150</xdr:rowOff>
    </xdr:to>
    <xdr:sp macro="" textlink="">
      <xdr:nvSpPr>
        <xdr:cNvPr id="37" name="52 Elipse"/>
        <xdr:cNvSpPr>
          <a:spLocks noChangeArrowheads="1"/>
        </xdr:cNvSpPr>
      </xdr:nvSpPr>
      <xdr:spPr bwMode="auto">
        <a:xfrm>
          <a:off x="104775" y="6486525"/>
          <a:ext cx="76200" cy="57150"/>
        </a:xfrm>
        <a:prstGeom prst="ellipse">
          <a:avLst/>
        </a:prstGeom>
        <a:solidFill>
          <a:srgbClr val="FFFFFF"/>
        </a:solidFill>
        <a:ln w="9525" algn="ctr">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66675</xdr:rowOff>
    </xdr:from>
    <xdr:to>
      <xdr:col>5</xdr:col>
      <xdr:colOff>581025</xdr:colOff>
      <xdr:row>3</xdr:row>
      <xdr:rowOff>38100</xdr:rowOff>
    </xdr:to>
    <xdr:pic>
      <xdr:nvPicPr>
        <xdr:cNvPr id="2" name="Picture 87"/>
        <xdr:cNvPicPr>
          <a:picLocks noChangeAspect="1" noChangeArrowheads="1"/>
        </xdr:cNvPicPr>
      </xdr:nvPicPr>
      <xdr:blipFill>
        <a:blip xmlns:r="http://schemas.openxmlformats.org/officeDocument/2006/relationships" r:embed="rId1" cstate="print"/>
        <a:srcRect/>
        <a:stretch>
          <a:fillRect/>
        </a:stretch>
      </xdr:blipFill>
      <xdr:spPr bwMode="auto">
        <a:xfrm>
          <a:off x="0" y="66675"/>
          <a:ext cx="2428875" cy="542925"/>
        </a:xfrm>
        <a:prstGeom prst="rect">
          <a:avLst/>
        </a:prstGeom>
        <a:noFill/>
        <a:ln w="9525">
          <a:noFill/>
          <a:miter lim="800000"/>
          <a:headEnd/>
          <a:tailEnd/>
        </a:ln>
      </xdr:spPr>
    </xdr:pic>
    <xdr:clientData/>
  </xdr:twoCellAnchor>
  <xdr:twoCellAnchor>
    <xdr:from>
      <xdr:col>1</xdr:col>
      <xdr:colOff>0</xdr:colOff>
      <xdr:row>8</xdr:row>
      <xdr:rowOff>66675</xdr:rowOff>
    </xdr:from>
    <xdr:to>
      <xdr:col>1</xdr:col>
      <xdr:colOff>76200</xdr:colOff>
      <xdr:row>8</xdr:row>
      <xdr:rowOff>123825</xdr:rowOff>
    </xdr:to>
    <xdr:sp macro="" textlink="">
      <xdr:nvSpPr>
        <xdr:cNvPr id="3" name="33 Elipse"/>
        <xdr:cNvSpPr>
          <a:spLocks noChangeArrowheads="1"/>
        </xdr:cNvSpPr>
      </xdr:nvSpPr>
      <xdr:spPr bwMode="auto">
        <a:xfrm>
          <a:off x="133350" y="16002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12</xdr:row>
      <xdr:rowOff>57150</xdr:rowOff>
    </xdr:from>
    <xdr:to>
      <xdr:col>1</xdr:col>
      <xdr:colOff>76200</xdr:colOff>
      <xdr:row>12</xdr:row>
      <xdr:rowOff>114300</xdr:rowOff>
    </xdr:to>
    <xdr:sp macro="" textlink="">
      <xdr:nvSpPr>
        <xdr:cNvPr id="4" name="45 Elipse"/>
        <xdr:cNvSpPr>
          <a:spLocks noChangeArrowheads="1"/>
        </xdr:cNvSpPr>
      </xdr:nvSpPr>
      <xdr:spPr bwMode="auto">
        <a:xfrm>
          <a:off x="133350" y="23526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15</xdr:row>
      <xdr:rowOff>66675</xdr:rowOff>
    </xdr:from>
    <xdr:to>
      <xdr:col>1</xdr:col>
      <xdr:colOff>76200</xdr:colOff>
      <xdr:row>15</xdr:row>
      <xdr:rowOff>123825</xdr:rowOff>
    </xdr:to>
    <xdr:sp macro="" textlink="">
      <xdr:nvSpPr>
        <xdr:cNvPr id="5" name="33 Elipse"/>
        <xdr:cNvSpPr>
          <a:spLocks noChangeArrowheads="1"/>
        </xdr:cNvSpPr>
      </xdr:nvSpPr>
      <xdr:spPr bwMode="auto">
        <a:xfrm>
          <a:off x="133350" y="2914650"/>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17</xdr:row>
      <xdr:rowOff>57150</xdr:rowOff>
    </xdr:from>
    <xdr:to>
      <xdr:col>1</xdr:col>
      <xdr:colOff>66675</xdr:colOff>
      <xdr:row>17</xdr:row>
      <xdr:rowOff>114300</xdr:rowOff>
    </xdr:to>
    <xdr:sp macro="" textlink="">
      <xdr:nvSpPr>
        <xdr:cNvPr id="6" name="33 Elipse"/>
        <xdr:cNvSpPr>
          <a:spLocks noChangeArrowheads="1"/>
        </xdr:cNvSpPr>
      </xdr:nvSpPr>
      <xdr:spPr bwMode="auto">
        <a:xfrm>
          <a:off x="123825" y="32480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7</xdr:row>
      <xdr:rowOff>85725</xdr:rowOff>
    </xdr:from>
    <xdr:to>
      <xdr:col>1</xdr:col>
      <xdr:colOff>76200</xdr:colOff>
      <xdr:row>7</xdr:row>
      <xdr:rowOff>142875</xdr:rowOff>
    </xdr:to>
    <xdr:sp macro="" textlink="">
      <xdr:nvSpPr>
        <xdr:cNvPr id="7" name="33 Elipse"/>
        <xdr:cNvSpPr>
          <a:spLocks noChangeArrowheads="1"/>
        </xdr:cNvSpPr>
      </xdr:nvSpPr>
      <xdr:spPr bwMode="auto">
        <a:xfrm>
          <a:off x="133350" y="14287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9</xdr:row>
      <xdr:rowOff>57150</xdr:rowOff>
    </xdr:from>
    <xdr:to>
      <xdr:col>1</xdr:col>
      <xdr:colOff>76200</xdr:colOff>
      <xdr:row>9</xdr:row>
      <xdr:rowOff>114300</xdr:rowOff>
    </xdr:to>
    <xdr:sp macro="" textlink="">
      <xdr:nvSpPr>
        <xdr:cNvPr id="8" name="33 Elipse"/>
        <xdr:cNvSpPr>
          <a:spLocks noChangeArrowheads="1"/>
        </xdr:cNvSpPr>
      </xdr:nvSpPr>
      <xdr:spPr bwMode="auto">
        <a:xfrm>
          <a:off x="133350" y="17811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10</xdr:row>
      <xdr:rowOff>57150</xdr:rowOff>
    </xdr:from>
    <xdr:to>
      <xdr:col>1</xdr:col>
      <xdr:colOff>76200</xdr:colOff>
      <xdr:row>10</xdr:row>
      <xdr:rowOff>114300</xdr:rowOff>
    </xdr:to>
    <xdr:sp macro="" textlink="">
      <xdr:nvSpPr>
        <xdr:cNvPr id="9" name="33 Elipse"/>
        <xdr:cNvSpPr>
          <a:spLocks noChangeArrowheads="1"/>
        </xdr:cNvSpPr>
      </xdr:nvSpPr>
      <xdr:spPr bwMode="auto">
        <a:xfrm>
          <a:off x="133350" y="19716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11</xdr:row>
      <xdr:rowOff>66675</xdr:rowOff>
    </xdr:from>
    <xdr:to>
      <xdr:col>1</xdr:col>
      <xdr:colOff>85725</xdr:colOff>
      <xdr:row>11</xdr:row>
      <xdr:rowOff>123825</xdr:rowOff>
    </xdr:to>
    <xdr:sp macro="" textlink="">
      <xdr:nvSpPr>
        <xdr:cNvPr id="10" name="33 Elipse"/>
        <xdr:cNvSpPr>
          <a:spLocks noChangeArrowheads="1"/>
        </xdr:cNvSpPr>
      </xdr:nvSpPr>
      <xdr:spPr bwMode="auto">
        <a:xfrm>
          <a:off x="142875" y="2171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14</xdr:row>
      <xdr:rowOff>47625</xdr:rowOff>
    </xdr:from>
    <xdr:to>
      <xdr:col>1</xdr:col>
      <xdr:colOff>76200</xdr:colOff>
      <xdr:row>14</xdr:row>
      <xdr:rowOff>104775</xdr:rowOff>
    </xdr:to>
    <xdr:sp macro="" textlink="">
      <xdr:nvSpPr>
        <xdr:cNvPr id="11" name="45 Elipse"/>
        <xdr:cNvSpPr>
          <a:spLocks noChangeArrowheads="1"/>
        </xdr:cNvSpPr>
      </xdr:nvSpPr>
      <xdr:spPr bwMode="auto">
        <a:xfrm>
          <a:off x="133350" y="27241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19</xdr:row>
      <xdr:rowOff>66675</xdr:rowOff>
    </xdr:from>
    <xdr:to>
      <xdr:col>1</xdr:col>
      <xdr:colOff>85725</xdr:colOff>
      <xdr:row>19</xdr:row>
      <xdr:rowOff>123825</xdr:rowOff>
    </xdr:to>
    <xdr:sp macro="" textlink="">
      <xdr:nvSpPr>
        <xdr:cNvPr id="12" name="52 Elipse"/>
        <xdr:cNvSpPr>
          <a:spLocks noChangeArrowheads="1"/>
        </xdr:cNvSpPr>
      </xdr:nvSpPr>
      <xdr:spPr bwMode="auto">
        <a:xfrm>
          <a:off x="142875" y="36004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8</xdr:row>
      <xdr:rowOff>66675</xdr:rowOff>
    </xdr:from>
    <xdr:to>
      <xdr:col>1</xdr:col>
      <xdr:colOff>76200</xdr:colOff>
      <xdr:row>8</xdr:row>
      <xdr:rowOff>123825</xdr:rowOff>
    </xdr:to>
    <xdr:sp macro="" textlink="">
      <xdr:nvSpPr>
        <xdr:cNvPr id="13" name="33 Elipse"/>
        <xdr:cNvSpPr>
          <a:spLocks noChangeArrowheads="1"/>
        </xdr:cNvSpPr>
      </xdr:nvSpPr>
      <xdr:spPr bwMode="auto">
        <a:xfrm>
          <a:off x="133350" y="16002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12</xdr:row>
      <xdr:rowOff>57150</xdr:rowOff>
    </xdr:from>
    <xdr:to>
      <xdr:col>1</xdr:col>
      <xdr:colOff>76200</xdr:colOff>
      <xdr:row>12</xdr:row>
      <xdr:rowOff>114300</xdr:rowOff>
    </xdr:to>
    <xdr:sp macro="" textlink="">
      <xdr:nvSpPr>
        <xdr:cNvPr id="14" name="45 Elipse"/>
        <xdr:cNvSpPr>
          <a:spLocks noChangeArrowheads="1"/>
        </xdr:cNvSpPr>
      </xdr:nvSpPr>
      <xdr:spPr bwMode="auto">
        <a:xfrm>
          <a:off x="133350" y="23526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15</xdr:row>
      <xdr:rowOff>66675</xdr:rowOff>
    </xdr:from>
    <xdr:to>
      <xdr:col>1</xdr:col>
      <xdr:colOff>76200</xdr:colOff>
      <xdr:row>15</xdr:row>
      <xdr:rowOff>123825</xdr:rowOff>
    </xdr:to>
    <xdr:sp macro="" textlink="">
      <xdr:nvSpPr>
        <xdr:cNvPr id="15" name="33 Elipse"/>
        <xdr:cNvSpPr>
          <a:spLocks noChangeArrowheads="1"/>
        </xdr:cNvSpPr>
      </xdr:nvSpPr>
      <xdr:spPr bwMode="auto">
        <a:xfrm>
          <a:off x="133350" y="2914650"/>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17</xdr:row>
      <xdr:rowOff>57150</xdr:rowOff>
    </xdr:from>
    <xdr:to>
      <xdr:col>1</xdr:col>
      <xdr:colOff>66675</xdr:colOff>
      <xdr:row>17</xdr:row>
      <xdr:rowOff>114300</xdr:rowOff>
    </xdr:to>
    <xdr:sp macro="" textlink="">
      <xdr:nvSpPr>
        <xdr:cNvPr id="16" name="33 Elipse"/>
        <xdr:cNvSpPr>
          <a:spLocks noChangeArrowheads="1"/>
        </xdr:cNvSpPr>
      </xdr:nvSpPr>
      <xdr:spPr bwMode="auto">
        <a:xfrm>
          <a:off x="123825" y="32480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7</xdr:row>
      <xdr:rowOff>85725</xdr:rowOff>
    </xdr:from>
    <xdr:to>
      <xdr:col>1</xdr:col>
      <xdr:colOff>76200</xdr:colOff>
      <xdr:row>7</xdr:row>
      <xdr:rowOff>142875</xdr:rowOff>
    </xdr:to>
    <xdr:sp macro="" textlink="">
      <xdr:nvSpPr>
        <xdr:cNvPr id="17" name="33 Elipse"/>
        <xdr:cNvSpPr>
          <a:spLocks noChangeArrowheads="1"/>
        </xdr:cNvSpPr>
      </xdr:nvSpPr>
      <xdr:spPr bwMode="auto">
        <a:xfrm>
          <a:off x="133350" y="1428750"/>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9</xdr:row>
      <xdr:rowOff>57150</xdr:rowOff>
    </xdr:from>
    <xdr:to>
      <xdr:col>1</xdr:col>
      <xdr:colOff>66675</xdr:colOff>
      <xdr:row>9</xdr:row>
      <xdr:rowOff>114300</xdr:rowOff>
    </xdr:to>
    <xdr:sp macro="" textlink="">
      <xdr:nvSpPr>
        <xdr:cNvPr id="18" name="33 Elipse"/>
        <xdr:cNvSpPr>
          <a:spLocks noChangeArrowheads="1"/>
        </xdr:cNvSpPr>
      </xdr:nvSpPr>
      <xdr:spPr bwMode="auto">
        <a:xfrm>
          <a:off x="123825" y="1781175"/>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10</xdr:row>
      <xdr:rowOff>57150</xdr:rowOff>
    </xdr:from>
    <xdr:to>
      <xdr:col>1</xdr:col>
      <xdr:colOff>66675</xdr:colOff>
      <xdr:row>10</xdr:row>
      <xdr:rowOff>114300</xdr:rowOff>
    </xdr:to>
    <xdr:sp macro="" textlink="">
      <xdr:nvSpPr>
        <xdr:cNvPr id="19" name="33 Elipse"/>
        <xdr:cNvSpPr>
          <a:spLocks noChangeArrowheads="1"/>
        </xdr:cNvSpPr>
      </xdr:nvSpPr>
      <xdr:spPr bwMode="auto">
        <a:xfrm>
          <a:off x="123825" y="19716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11</xdr:row>
      <xdr:rowOff>66675</xdr:rowOff>
    </xdr:from>
    <xdr:to>
      <xdr:col>1</xdr:col>
      <xdr:colOff>76200</xdr:colOff>
      <xdr:row>11</xdr:row>
      <xdr:rowOff>123825</xdr:rowOff>
    </xdr:to>
    <xdr:sp macro="" textlink="">
      <xdr:nvSpPr>
        <xdr:cNvPr id="20" name="33 Elipse"/>
        <xdr:cNvSpPr>
          <a:spLocks noChangeArrowheads="1"/>
        </xdr:cNvSpPr>
      </xdr:nvSpPr>
      <xdr:spPr bwMode="auto">
        <a:xfrm>
          <a:off x="133350" y="2171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14</xdr:row>
      <xdr:rowOff>47625</xdr:rowOff>
    </xdr:from>
    <xdr:to>
      <xdr:col>1</xdr:col>
      <xdr:colOff>76200</xdr:colOff>
      <xdr:row>14</xdr:row>
      <xdr:rowOff>104775</xdr:rowOff>
    </xdr:to>
    <xdr:sp macro="" textlink="">
      <xdr:nvSpPr>
        <xdr:cNvPr id="21" name="45 Elipse"/>
        <xdr:cNvSpPr>
          <a:spLocks noChangeArrowheads="1"/>
        </xdr:cNvSpPr>
      </xdr:nvSpPr>
      <xdr:spPr bwMode="auto">
        <a:xfrm>
          <a:off x="133350" y="27241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20</xdr:row>
      <xdr:rowOff>66675</xdr:rowOff>
    </xdr:from>
    <xdr:to>
      <xdr:col>1</xdr:col>
      <xdr:colOff>85725</xdr:colOff>
      <xdr:row>20</xdr:row>
      <xdr:rowOff>123825</xdr:rowOff>
    </xdr:to>
    <xdr:sp macro="" textlink="">
      <xdr:nvSpPr>
        <xdr:cNvPr id="22" name="52 Elipse"/>
        <xdr:cNvSpPr>
          <a:spLocks noChangeArrowheads="1"/>
        </xdr:cNvSpPr>
      </xdr:nvSpPr>
      <xdr:spPr bwMode="auto">
        <a:xfrm>
          <a:off x="142875" y="37623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25</xdr:row>
      <xdr:rowOff>57150</xdr:rowOff>
    </xdr:from>
    <xdr:to>
      <xdr:col>1</xdr:col>
      <xdr:colOff>76200</xdr:colOff>
      <xdr:row>25</xdr:row>
      <xdr:rowOff>114300</xdr:rowOff>
    </xdr:to>
    <xdr:sp macro="" textlink="">
      <xdr:nvSpPr>
        <xdr:cNvPr id="23" name="52 Elipse"/>
        <xdr:cNvSpPr>
          <a:spLocks noChangeArrowheads="1"/>
        </xdr:cNvSpPr>
      </xdr:nvSpPr>
      <xdr:spPr bwMode="auto">
        <a:xfrm>
          <a:off x="133350" y="45910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40</xdr:row>
      <xdr:rowOff>66675</xdr:rowOff>
    </xdr:from>
    <xdr:to>
      <xdr:col>1</xdr:col>
      <xdr:colOff>76200</xdr:colOff>
      <xdr:row>40</xdr:row>
      <xdr:rowOff>123825</xdr:rowOff>
    </xdr:to>
    <xdr:sp macro="" textlink="">
      <xdr:nvSpPr>
        <xdr:cNvPr id="24" name="52 Elipse"/>
        <xdr:cNvSpPr>
          <a:spLocks noChangeArrowheads="1"/>
        </xdr:cNvSpPr>
      </xdr:nvSpPr>
      <xdr:spPr bwMode="auto">
        <a:xfrm>
          <a:off x="133350" y="74104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42</xdr:row>
      <xdr:rowOff>0</xdr:rowOff>
    </xdr:from>
    <xdr:to>
      <xdr:col>1</xdr:col>
      <xdr:colOff>76200</xdr:colOff>
      <xdr:row>42</xdr:row>
      <xdr:rowOff>57150</xdr:rowOff>
    </xdr:to>
    <xdr:sp macro="" textlink="">
      <xdr:nvSpPr>
        <xdr:cNvPr id="25" name="52 Elipse"/>
        <xdr:cNvSpPr>
          <a:spLocks noChangeArrowheads="1"/>
        </xdr:cNvSpPr>
      </xdr:nvSpPr>
      <xdr:spPr bwMode="auto">
        <a:xfrm>
          <a:off x="133350" y="76866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30</xdr:row>
      <xdr:rowOff>57150</xdr:rowOff>
    </xdr:from>
    <xdr:to>
      <xdr:col>1</xdr:col>
      <xdr:colOff>76200</xdr:colOff>
      <xdr:row>30</xdr:row>
      <xdr:rowOff>114300</xdr:rowOff>
    </xdr:to>
    <xdr:sp macro="" textlink="">
      <xdr:nvSpPr>
        <xdr:cNvPr id="26" name="52 Elipse"/>
        <xdr:cNvSpPr>
          <a:spLocks noChangeArrowheads="1"/>
        </xdr:cNvSpPr>
      </xdr:nvSpPr>
      <xdr:spPr bwMode="auto">
        <a:xfrm>
          <a:off x="133350" y="56483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34</xdr:row>
      <xdr:rowOff>57150</xdr:rowOff>
    </xdr:from>
    <xdr:to>
      <xdr:col>1</xdr:col>
      <xdr:colOff>76200</xdr:colOff>
      <xdr:row>34</xdr:row>
      <xdr:rowOff>114300</xdr:rowOff>
    </xdr:to>
    <xdr:sp macro="" textlink="">
      <xdr:nvSpPr>
        <xdr:cNvPr id="27" name="52 Elipse"/>
        <xdr:cNvSpPr>
          <a:spLocks noChangeArrowheads="1"/>
        </xdr:cNvSpPr>
      </xdr:nvSpPr>
      <xdr:spPr bwMode="auto">
        <a:xfrm>
          <a:off x="133350" y="63722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35</xdr:row>
      <xdr:rowOff>66675</xdr:rowOff>
    </xdr:from>
    <xdr:to>
      <xdr:col>1</xdr:col>
      <xdr:colOff>76200</xdr:colOff>
      <xdr:row>35</xdr:row>
      <xdr:rowOff>123825</xdr:rowOff>
    </xdr:to>
    <xdr:sp macro="" textlink="">
      <xdr:nvSpPr>
        <xdr:cNvPr id="28" name="52 Elipse"/>
        <xdr:cNvSpPr>
          <a:spLocks noChangeArrowheads="1"/>
        </xdr:cNvSpPr>
      </xdr:nvSpPr>
      <xdr:spPr bwMode="auto">
        <a:xfrm>
          <a:off x="133350" y="65532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37</xdr:row>
      <xdr:rowOff>47625</xdr:rowOff>
    </xdr:from>
    <xdr:to>
      <xdr:col>1</xdr:col>
      <xdr:colOff>76200</xdr:colOff>
      <xdr:row>37</xdr:row>
      <xdr:rowOff>104775</xdr:rowOff>
    </xdr:to>
    <xdr:sp macro="" textlink="">
      <xdr:nvSpPr>
        <xdr:cNvPr id="29" name="52 Elipse"/>
        <xdr:cNvSpPr>
          <a:spLocks noChangeArrowheads="1"/>
        </xdr:cNvSpPr>
      </xdr:nvSpPr>
      <xdr:spPr bwMode="auto">
        <a:xfrm>
          <a:off x="133350" y="68770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39</xdr:row>
      <xdr:rowOff>47625</xdr:rowOff>
    </xdr:from>
    <xdr:to>
      <xdr:col>1</xdr:col>
      <xdr:colOff>76200</xdr:colOff>
      <xdr:row>39</xdr:row>
      <xdr:rowOff>104775</xdr:rowOff>
    </xdr:to>
    <xdr:sp macro="" textlink="">
      <xdr:nvSpPr>
        <xdr:cNvPr id="30" name="52 Elipse"/>
        <xdr:cNvSpPr>
          <a:spLocks noChangeArrowheads="1"/>
        </xdr:cNvSpPr>
      </xdr:nvSpPr>
      <xdr:spPr bwMode="auto">
        <a:xfrm>
          <a:off x="133350" y="72199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32</xdr:row>
      <xdr:rowOff>57150</xdr:rowOff>
    </xdr:from>
    <xdr:to>
      <xdr:col>1</xdr:col>
      <xdr:colOff>76200</xdr:colOff>
      <xdr:row>32</xdr:row>
      <xdr:rowOff>114300</xdr:rowOff>
    </xdr:to>
    <xdr:sp macro="" textlink="">
      <xdr:nvSpPr>
        <xdr:cNvPr id="31" name="33 Elipse"/>
        <xdr:cNvSpPr>
          <a:spLocks noChangeArrowheads="1"/>
        </xdr:cNvSpPr>
      </xdr:nvSpPr>
      <xdr:spPr bwMode="auto">
        <a:xfrm>
          <a:off x="133350" y="59912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33</xdr:row>
      <xdr:rowOff>66675</xdr:rowOff>
    </xdr:from>
    <xdr:to>
      <xdr:col>1</xdr:col>
      <xdr:colOff>85725</xdr:colOff>
      <xdr:row>33</xdr:row>
      <xdr:rowOff>123825</xdr:rowOff>
    </xdr:to>
    <xdr:sp macro="" textlink="">
      <xdr:nvSpPr>
        <xdr:cNvPr id="32" name="33 Elipse"/>
        <xdr:cNvSpPr>
          <a:spLocks noChangeArrowheads="1"/>
        </xdr:cNvSpPr>
      </xdr:nvSpPr>
      <xdr:spPr bwMode="auto">
        <a:xfrm>
          <a:off x="142875" y="61912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31</xdr:row>
      <xdr:rowOff>47625</xdr:rowOff>
    </xdr:from>
    <xdr:to>
      <xdr:col>1</xdr:col>
      <xdr:colOff>85725</xdr:colOff>
      <xdr:row>31</xdr:row>
      <xdr:rowOff>104775</xdr:rowOff>
    </xdr:to>
    <xdr:sp macro="" textlink="">
      <xdr:nvSpPr>
        <xdr:cNvPr id="33" name="52 Elipse"/>
        <xdr:cNvSpPr>
          <a:spLocks noChangeArrowheads="1"/>
        </xdr:cNvSpPr>
      </xdr:nvSpPr>
      <xdr:spPr bwMode="auto">
        <a:xfrm>
          <a:off x="142875" y="58102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26</xdr:row>
      <xdr:rowOff>57150</xdr:rowOff>
    </xdr:from>
    <xdr:to>
      <xdr:col>1</xdr:col>
      <xdr:colOff>76200</xdr:colOff>
      <xdr:row>26</xdr:row>
      <xdr:rowOff>114300</xdr:rowOff>
    </xdr:to>
    <xdr:sp macro="" textlink="">
      <xdr:nvSpPr>
        <xdr:cNvPr id="34" name="52 Elipse"/>
        <xdr:cNvSpPr>
          <a:spLocks noChangeArrowheads="1"/>
        </xdr:cNvSpPr>
      </xdr:nvSpPr>
      <xdr:spPr bwMode="auto">
        <a:xfrm>
          <a:off x="133350" y="47625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28</xdr:row>
      <xdr:rowOff>57150</xdr:rowOff>
    </xdr:from>
    <xdr:to>
      <xdr:col>1</xdr:col>
      <xdr:colOff>76200</xdr:colOff>
      <xdr:row>28</xdr:row>
      <xdr:rowOff>114300</xdr:rowOff>
    </xdr:to>
    <xdr:sp macro="" textlink="">
      <xdr:nvSpPr>
        <xdr:cNvPr id="35" name="52 Elipse"/>
        <xdr:cNvSpPr>
          <a:spLocks noChangeArrowheads="1"/>
        </xdr:cNvSpPr>
      </xdr:nvSpPr>
      <xdr:spPr bwMode="auto">
        <a:xfrm>
          <a:off x="133350" y="51054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46</xdr:row>
      <xdr:rowOff>0</xdr:rowOff>
    </xdr:from>
    <xdr:to>
      <xdr:col>1</xdr:col>
      <xdr:colOff>76200</xdr:colOff>
      <xdr:row>46</xdr:row>
      <xdr:rowOff>57150</xdr:rowOff>
    </xdr:to>
    <xdr:sp macro="" textlink="">
      <xdr:nvSpPr>
        <xdr:cNvPr id="36" name="52 Elipse"/>
        <xdr:cNvSpPr>
          <a:spLocks noChangeArrowheads="1"/>
        </xdr:cNvSpPr>
      </xdr:nvSpPr>
      <xdr:spPr bwMode="auto">
        <a:xfrm>
          <a:off x="133350" y="85820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47</xdr:row>
      <xdr:rowOff>0</xdr:rowOff>
    </xdr:from>
    <xdr:to>
      <xdr:col>1</xdr:col>
      <xdr:colOff>76200</xdr:colOff>
      <xdr:row>47</xdr:row>
      <xdr:rowOff>57150</xdr:rowOff>
    </xdr:to>
    <xdr:sp macro="" textlink="">
      <xdr:nvSpPr>
        <xdr:cNvPr id="37" name="52 Elipse"/>
        <xdr:cNvSpPr>
          <a:spLocks noChangeArrowheads="1"/>
        </xdr:cNvSpPr>
      </xdr:nvSpPr>
      <xdr:spPr bwMode="auto">
        <a:xfrm>
          <a:off x="133350" y="87725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48</xdr:row>
      <xdr:rowOff>0</xdr:rowOff>
    </xdr:from>
    <xdr:to>
      <xdr:col>1</xdr:col>
      <xdr:colOff>76200</xdr:colOff>
      <xdr:row>48</xdr:row>
      <xdr:rowOff>57150</xdr:rowOff>
    </xdr:to>
    <xdr:sp macro="" textlink="">
      <xdr:nvSpPr>
        <xdr:cNvPr id="38" name="52 Elipse"/>
        <xdr:cNvSpPr>
          <a:spLocks noChangeArrowheads="1"/>
        </xdr:cNvSpPr>
      </xdr:nvSpPr>
      <xdr:spPr bwMode="auto">
        <a:xfrm>
          <a:off x="133350" y="89630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49</xdr:row>
      <xdr:rowOff>0</xdr:rowOff>
    </xdr:from>
    <xdr:to>
      <xdr:col>1</xdr:col>
      <xdr:colOff>76200</xdr:colOff>
      <xdr:row>49</xdr:row>
      <xdr:rowOff>57150</xdr:rowOff>
    </xdr:to>
    <xdr:sp macro="" textlink="">
      <xdr:nvSpPr>
        <xdr:cNvPr id="39" name="52 Elipse"/>
        <xdr:cNvSpPr>
          <a:spLocks noChangeArrowheads="1"/>
        </xdr:cNvSpPr>
      </xdr:nvSpPr>
      <xdr:spPr bwMode="auto">
        <a:xfrm>
          <a:off x="133350" y="9153525"/>
          <a:ext cx="76200" cy="57150"/>
        </a:xfrm>
        <a:prstGeom prst="ellipse">
          <a:avLst/>
        </a:prstGeom>
        <a:solidFill>
          <a:srgbClr val="FFFFFF"/>
        </a:solidFill>
        <a:ln w="9525" algn="ctr">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581025</xdr:colOff>
      <xdr:row>3</xdr:row>
      <xdr:rowOff>38100</xdr:rowOff>
    </xdr:to>
    <xdr:pic>
      <xdr:nvPicPr>
        <xdr:cNvPr id="2" name="Picture 87"/>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428875" cy="514350"/>
        </a:xfrm>
        <a:prstGeom prst="rect">
          <a:avLst/>
        </a:prstGeom>
        <a:noFill/>
        <a:ln w="9525">
          <a:noFill/>
          <a:miter lim="800000"/>
          <a:headEnd/>
          <a:tailEnd/>
        </a:ln>
      </xdr:spPr>
    </xdr:pic>
    <xdr:clientData/>
  </xdr:twoCellAnchor>
  <xdr:twoCellAnchor>
    <xdr:from>
      <xdr:col>1</xdr:col>
      <xdr:colOff>0</xdr:colOff>
      <xdr:row>8</xdr:row>
      <xdr:rowOff>66675</xdr:rowOff>
    </xdr:from>
    <xdr:to>
      <xdr:col>1</xdr:col>
      <xdr:colOff>76200</xdr:colOff>
      <xdr:row>8</xdr:row>
      <xdr:rowOff>123825</xdr:rowOff>
    </xdr:to>
    <xdr:sp macro="" textlink="">
      <xdr:nvSpPr>
        <xdr:cNvPr id="3" name="33 Elipse"/>
        <xdr:cNvSpPr>
          <a:spLocks noChangeArrowheads="1"/>
        </xdr:cNvSpPr>
      </xdr:nvSpPr>
      <xdr:spPr bwMode="auto">
        <a:xfrm>
          <a:off x="133350" y="14859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12</xdr:row>
      <xdr:rowOff>57150</xdr:rowOff>
    </xdr:from>
    <xdr:to>
      <xdr:col>1</xdr:col>
      <xdr:colOff>76200</xdr:colOff>
      <xdr:row>12</xdr:row>
      <xdr:rowOff>114300</xdr:rowOff>
    </xdr:to>
    <xdr:sp macro="" textlink="">
      <xdr:nvSpPr>
        <xdr:cNvPr id="4" name="45 Elipse"/>
        <xdr:cNvSpPr>
          <a:spLocks noChangeArrowheads="1"/>
        </xdr:cNvSpPr>
      </xdr:nvSpPr>
      <xdr:spPr bwMode="auto">
        <a:xfrm>
          <a:off x="133350" y="22383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15</xdr:row>
      <xdr:rowOff>66675</xdr:rowOff>
    </xdr:from>
    <xdr:to>
      <xdr:col>1</xdr:col>
      <xdr:colOff>76200</xdr:colOff>
      <xdr:row>15</xdr:row>
      <xdr:rowOff>123825</xdr:rowOff>
    </xdr:to>
    <xdr:sp macro="" textlink="">
      <xdr:nvSpPr>
        <xdr:cNvPr id="5" name="33 Elipse"/>
        <xdr:cNvSpPr>
          <a:spLocks noChangeArrowheads="1"/>
        </xdr:cNvSpPr>
      </xdr:nvSpPr>
      <xdr:spPr bwMode="auto">
        <a:xfrm>
          <a:off x="133350" y="2819400"/>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17</xdr:row>
      <xdr:rowOff>57150</xdr:rowOff>
    </xdr:from>
    <xdr:to>
      <xdr:col>1</xdr:col>
      <xdr:colOff>66675</xdr:colOff>
      <xdr:row>17</xdr:row>
      <xdr:rowOff>114300</xdr:rowOff>
    </xdr:to>
    <xdr:sp macro="" textlink="">
      <xdr:nvSpPr>
        <xdr:cNvPr id="6" name="33 Elipse"/>
        <xdr:cNvSpPr>
          <a:spLocks noChangeArrowheads="1"/>
        </xdr:cNvSpPr>
      </xdr:nvSpPr>
      <xdr:spPr bwMode="auto">
        <a:xfrm>
          <a:off x="123825" y="31908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7</xdr:row>
      <xdr:rowOff>85725</xdr:rowOff>
    </xdr:from>
    <xdr:to>
      <xdr:col>1</xdr:col>
      <xdr:colOff>76200</xdr:colOff>
      <xdr:row>7</xdr:row>
      <xdr:rowOff>142875</xdr:rowOff>
    </xdr:to>
    <xdr:sp macro="" textlink="">
      <xdr:nvSpPr>
        <xdr:cNvPr id="7" name="33 Elipse"/>
        <xdr:cNvSpPr>
          <a:spLocks noChangeArrowheads="1"/>
        </xdr:cNvSpPr>
      </xdr:nvSpPr>
      <xdr:spPr bwMode="auto">
        <a:xfrm>
          <a:off x="133350" y="13144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9</xdr:row>
      <xdr:rowOff>57150</xdr:rowOff>
    </xdr:from>
    <xdr:to>
      <xdr:col>1</xdr:col>
      <xdr:colOff>76200</xdr:colOff>
      <xdr:row>9</xdr:row>
      <xdr:rowOff>114300</xdr:rowOff>
    </xdr:to>
    <xdr:sp macro="" textlink="">
      <xdr:nvSpPr>
        <xdr:cNvPr id="8" name="33 Elipse"/>
        <xdr:cNvSpPr>
          <a:spLocks noChangeArrowheads="1"/>
        </xdr:cNvSpPr>
      </xdr:nvSpPr>
      <xdr:spPr bwMode="auto">
        <a:xfrm>
          <a:off x="133350" y="16668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10</xdr:row>
      <xdr:rowOff>57150</xdr:rowOff>
    </xdr:from>
    <xdr:to>
      <xdr:col>1</xdr:col>
      <xdr:colOff>76200</xdr:colOff>
      <xdr:row>10</xdr:row>
      <xdr:rowOff>114300</xdr:rowOff>
    </xdr:to>
    <xdr:sp macro="" textlink="">
      <xdr:nvSpPr>
        <xdr:cNvPr id="9" name="33 Elipse"/>
        <xdr:cNvSpPr>
          <a:spLocks noChangeArrowheads="1"/>
        </xdr:cNvSpPr>
      </xdr:nvSpPr>
      <xdr:spPr bwMode="auto">
        <a:xfrm>
          <a:off x="133350" y="18573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11</xdr:row>
      <xdr:rowOff>66675</xdr:rowOff>
    </xdr:from>
    <xdr:to>
      <xdr:col>1</xdr:col>
      <xdr:colOff>85725</xdr:colOff>
      <xdr:row>11</xdr:row>
      <xdr:rowOff>123825</xdr:rowOff>
    </xdr:to>
    <xdr:sp macro="" textlink="">
      <xdr:nvSpPr>
        <xdr:cNvPr id="10" name="33 Elipse"/>
        <xdr:cNvSpPr>
          <a:spLocks noChangeArrowheads="1"/>
        </xdr:cNvSpPr>
      </xdr:nvSpPr>
      <xdr:spPr bwMode="auto">
        <a:xfrm>
          <a:off x="142875" y="20574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14</xdr:row>
      <xdr:rowOff>47625</xdr:rowOff>
    </xdr:from>
    <xdr:to>
      <xdr:col>1</xdr:col>
      <xdr:colOff>76200</xdr:colOff>
      <xdr:row>14</xdr:row>
      <xdr:rowOff>104775</xdr:rowOff>
    </xdr:to>
    <xdr:sp macro="" textlink="">
      <xdr:nvSpPr>
        <xdr:cNvPr id="11" name="45 Elipse"/>
        <xdr:cNvSpPr>
          <a:spLocks noChangeArrowheads="1"/>
        </xdr:cNvSpPr>
      </xdr:nvSpPr>
      <xdr:spPr bwMode="auto">
        <a:xfrm>
          <a:off x="133350" y="26098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19</xdr:row>
      <xdr:rowOff>66675</xdr:rowOff>
    </xdr:from>
    <xdr:to>
      <xdr:col>1</xdr:col>
      <xdr:colOff>85725</xdr:colOff>
      <xdr:row>19</xdr:row>
      <xdr:rowOff>123825</xdr:rowOff>
    </xdr:to>
    <xdr:sp macro="" textlink="">
      <xdr:nvSpPr>
        <xdr:cNvPr id="12" name="52 Elipse"/>
        <xdr:cNvSpPr>
          <a:spLocks noChangeArrowheads="1"/>
        </xdr:cNvSpPr>
      </xdr:nvSpPr>
      <xdr:spPr bwMode="auto">
        <a:xfrm>
          <a:off x="142875" y="35814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8</xdr:row>
      <xdr:rowOff>66675</xdr:rowOff>
    </xdr:from>
    <xdr:to>
      <xdr:col>1</xdr:col>
      <xdr:colOff>76200</xdr:colOff>
      <xdr:row>8</xdr:row>
      <xdr:rowOff>123825</xdr:rowOff>
    </xdr:to>
    <xdr:sp macro="" textlink="">
      <xdr:nvSpPr>
        <xdr:cNvPr id="13" name="33 Elipse"/>
        <xdr:cNvSpPr>
          <a:spLocks noChangeArrowheads="1"/>
        </xdr:cNvSpPr>
      </xdr:nvSpPr>
      <xdr:spPr bwMode="auto">
        <a:xfrm>
          <a:off x="133350" y="14859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12</xdr:row>
      <xdr:rowOff>57150</xdr:rowOff>
    </xdr:from>
    <xdr:to>
      <xdr:col>1</xdr:col>
      <xdr:colOff>76200</xdr:colOff>
      <xdr:row>12</xdr:row>
      <xdr:rowOff>114300</xdr:rowOff>
    </xdr:to>
    <xdr:sp macro="" textlink="">
      <xdr:nvSpPr>
        <xdr:cNvPr id="14" name="45 Elipse"/>
        <xdr:cNvSpPr>
          <a:spLocks noChangeArrowheads="1"/>
        </xdr:cNvSpPr>
      </xdr:nvSpPr>
      <xdr:spPr bwMode="auto">
        <a:xfrm>
          <a:off x="133350" y="22383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15</xdr:row>
      <xdr:rowOff>66675</xdr:rowOff>
    </xdr:from>
    <xdr:to>
      <xdr:col>1</xdr:col>
      <xdr:colOff>76200</xdr:colOff>
      <xdr:row>15</xdr:row>
      <xdr:rowOff>123825</xdr:rowOff>
    </xdr:to>
    <xdr:sp macro="" textlink="">
      <xdr:nvSpPr>
        <xdr:cNvPr id="15" name="33 Elipse"/>
        <xdr:cNvSpPr>
          <a:spLocks noChangeArrowheads="1"/>
        </xdr:cNvSpPr>
      </xdr:nvSpPr>
      <xdr:spPr bwMode="auto">
        <a:xfrm>
          <a:off x="133350" y="2819400"/>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17</xdr:row>
      <xdr:rowOff>57150</xdr:rowOff>
    </xdr:from>
    <xdr:to>
      <xdr:col>1</xdr:col>
      <xdr:colOff>66675</xdr:colOff>
      <xdr:row>17</xdr:row>
      <xdr:rowOff>114300</xdr:rowOff>
    </xdr:to>
    <xdr:sp macro="" textlink="">
      <xdr:nvSpPr>
        <xdr:cNvPr id="16" name="33 Elipse"/>
        <xdr:cNvSpPr>
          <a:spLocks noChangeArrowheads="1"/>
        </xdr:cNvSpPr>
      </xdr:nvSpPr>
      <xdr:spPr bwMode="auto">
        <a:xfrm>
          <a:off x="123825" y="31908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7</xdr:row>
      <xdr:rowOff>85725</xdr:rowOff>
    </xdr:from>
    <xdr:to>
      <xdr:col>1</xdr:col>
      <xdr:colOff>76200</xdr:colOff>
      <xdr:row>7</xdr:row>
      <xdr:rowOff>142875</xdr:rowOff>
    </xdr:to>
    <xdr:sp macro="" textlink="">
      <xdr:nvSpPr>
        <xdr:cNvPr id="17" name="33 Elipse"/>
        <xdr:cNvSpPr>
          <a:spLocks noChangeArrowheads="1"/>
        </xdr:cNvSpPr>
      </xdr:nvSpPr>
      <xdr:spPr bwMode="auto">
        <a:xfrm>
          <a:off x="133350" y="1314450"/>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9</xdr:row>
      <xdr:rowOff>57150</xdr:rowOff>
    </xdr:from>
    <xdr:to>
      <xdr:col>1</xdr:col>
      <xdr:colOff>66675</xdr:colOff>
      <xdr:row>9</xdr:row>
      <xdr:rowOff>114300</xdr:rowOff>
    </xdr:to>
    <xdr:sp macro="" textlink="">
      <xdr:nvSpPr>
        <xdr:cNvPr id="18" name="33 Elipse"/>
        <xdr:cNvSpPr>
          <a:spLocks noChangeArrowheads="1"/>
        </xdr:cNvSpPr>
      </xdr:nvSpPr>
      <xdr:spPr bwMode="auto">
        <a:xfrm>
          <a:off x="123825" y="1666875"/>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10</xdr:row>
      <xdr:rowOff>57150</xdr:rowOff>
    </xdr:from>
    <xdr:to>
      <xdr:col>1</xdr:col>
      <xdr:colOff>66675</xdr:colOff>
      <xdr:row>10</xdr:row>
      <xdr:rowOff>114300</xdr:rowOff>
    </xdr:to>
    <xdr:sp macro="" textlink="">
      <xdr:nvSpPr>
        <xdr:cNvPr id="19" name="33 Elipse"/>
        <xdr:cNvSpPr>
          <a:spLocks noChangeArrowheads="1"/>
        </xdr:cNvSpPr>
      </xdr:nvSpPr>
      <xdr:spPr bwMode="auto">
        <a:xfrm>
          <a:off x="123825" y="18573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11</xdr:row>
      <xdr:rowOff>66675</xdr:rowOff>
    </xdr:from>
    <xdr:to>
      <xdr:col>1</xdr:col>
      <xdr:colOff>76200</xdr:colOff>
      <xdr:row>11</xdr:row>
      <xdr:rowOff>123825</xdr:rowOff>
    </xdr:to>
    <xdr:sp macro="" textlink="">
      <xdr:nvSpPr>
        <xdr:cNvPr id="20" name="33 Elipse"/>
        <xdr:cNvSpPr>
          <a:spLocks noChangeArrowheads="1"/>
        </xdr:cNvSpPr>
      </xdr:nvSpPr>
      <xdr:spPr bwMode="auto">
        <a:xfrm>
          <a:off x="133350" y="20574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14</xdr:row>
      <xdr:rowOff>47625</xdr:rowOff>
    </xdr:from>
    <xdr:to>
      <xdr:col>1</xdr:col>
      <xdr:colOff>76200</xdr:colOff>
      <xdr:row>14</xdr:row>
      <xdr:rowOff>104775</xdr:rowOff>
    </xdr:to>
    <xdr:sp macro="" textlink="">
      <xdr:nvSpPr>
        <xdr:cNvPr id="21" name="45 Elipse"/>
        <xdr:cNvSpPr>
          <a:spLocks noChangeArrowheads="1"/>
        </xdr:cNvSpPr>
      </xdr:nvSpPr>
      <xdr:spPr bwMode="auto">
        <a:xfrm>
          <a:off x="133350" y="26098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20</xdr:row>
      <xdr:rowOff>66675</xdr:rowOff>
    </xdr:from>
    <xdr:to>
      <xdr:col>1</xdr:col>
      <xdr:colOff>85725</xdr:colOff>
      <xdr:row>20</xdr:row>
      <xdr:rowOff>123825</xdr:rowOff>
    </xdr:to>
    <xdr:sp macro="" textlink="">
      <xdr:nvSpPr>
        <xdr:cNvPr id="22" name="52 Elipse"/>
        <xdr:cNvSpPr>
          <a:spLocks noChangeArrowheads="1"/>
        </xdr:cNvSpPr>
      </xdr:nvSpPr>
      <xdr:spPr bwMode="auto">
        <a:xfrm>
          <a:off x="142875" y="37719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24</xdr:row>
      <xdr:rowOff>123825</xdr:rowOff>
    </xdr:from>
    <xdr:to>
      <xdr:col>1</xdr:col>
      <xdr:colOff>76200</xdr:colOff>
      <xdr:row>24</xdr:row>
      <xdr:rowOff>180975</xdr:rowOff>
    </xdr:to>
    <xdr:sp macro="" textlink="">
      <xdr:nvSpPr>
        <xdr:cNvPr id="23" name="52 Elipse"/>
        <xdr:cNvSpPr>
          <a:spLocks noChangeArrowheads="1"/>
        </xdr:cNvSpPr>
      </xdr:nvSpPr>
      <xdr:spPr bwMode="auto">
        <a:xfrm>
          <a:off x="133350" y="45910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42</xdr:row>
      <xdr:rowOff>66675</xdr:rowOff>
    </xdr:from>
    <xdr:to>
      <xdr:col>1</xdr:col>
      <xdr:colOff>76200</xdr:colOff>
      <xdr:row>42</xdr:row>
      <xdr:rowOff>123825</xdr:rowOff>
    </xdr:to>
    <xdr:sp macro="" textlink="">
      <xdr:nvSpPr>
        <xdr:cNvPr id="24" name="52 Elipse"/>
        <xdr:cNvSpPr>
          <a:spLocks noChangeArrowheads="1"/>
        </xdr:cNvSpPr>
      </xdr:nvSpPr>
      <xdr:spPr bwMode="auto">
        <a:xfrm>
          <a:off x="133350" y="69151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44</xdr:row>
      <xdr:rowOff>0</xdr:rowOff>
    </xdr:from>
    <xdr:to>
      <xdr:col>1</xdr:col>
      <xdr:colOff>76200</xdr:colOff>
      <xdr:row>44</xdr:row>
      <xdr:rowOff>57150</xdr:rowOff>
    </xdr:to>
    <xdr:sp macro="" textlink="">
      <xdr:nvSpPr>
        <xdr:cNvPr id="25" name="52 Elipse"/>
        <xdr:cNvSpPr>
          <a:spLocks noChangeArrowheads="1"/>
        </xdr:cNvSpPr>
      </xdr:nvSpPr>
      <xdr:spPr bwMode="auto">
        <a:xfrm>
          <a:off x="133350" y="72294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30</xdr:row>
      <xdr:rowOff>57150</xdr:rowOff>
    </xdr:from>
    <xdr:to>
      <xdr:col>1</xdr:col>
      <xdr:colOff>76200</xdr:colOff>
      <xdr:row>30</xdr:row>
      <xdr:rowOff>114300</xdr:rowOff>
    </xdr:to>
    <xdr:sp macro="" textlink="">
      <xdr:nvSpPr>
        <xdr:cNvPr id="26" name="52 Elipse"/>
        <xdr:cNvSpPr>
          <a:spLocks noChangeArrowheads="1"/>
        </xdr:cNvSpPr>
      </xdr:nvSpPr>
      <xdr:spPr bwMode="auto">
        <a:xfrm>
          <a:off x="133350" y="57435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31</xdr:row>
      <xdr:rowOff>66675</xdr:rowOff>
    </xdr:from>
    <xdr:to>
      <xdr:col>1</xdr:col>
      <xdr:colOff>76200</xdr:colOff>
      <xdr:row>31</xdr:row>
      <xdr:rowOff>123825</xdr:rowOff>
    </xdr:to>
    <xdr:sp macro="" textlink="">
      <xdr:nvSpPr>
        <xdr:cNvPr id="27" name="52 Elipse"/>
        <xdr:cNvSpPr>
          <a:spLocks noChangeArrowheads="1"/>
        </xdr:cNvSpPr>
      </xdr:nvSpPr>
      <xdr:spPr bwMode="auto">
        <a:xfrm>
          <a:off x="133350" y="59436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33</xdr:row>
      <xdr:rowOff>104775</xdr:rowOff>
    </xdr:from>
    <xdr:to>
      <xdr:col>1</xdr:col>
      <xdr:colOff>76200</xdr:colOff>
      <xdr:row>33</xdr:row>
      <xdr:rowOff>161925</xdr:rowOff>
    </xdr:to>
    <xdr:sp macro="" textlink="">
      <xdr:nvSpPr>
        <xdr:cNvPr id="28" name="52 Elipse"/>
        <xdr:cNvSpPr>
          <a:spLocks noChangeArrowheads="1"/>
        </xdr:cNvSpPr>
      </xdr:nvSpPr>
      <xdr:spPr bwMode="auto">
        <a:xfrm>
          <a:off x="133350" y="63436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34</xdr:row>
      <xdr:rowOff>76200</xdr:rowOff>
    </xdr:from>
    <xdr:to>
      <xdr:col>1</xdr:col>
      <xdr:colOff>76200</xdr:colOff>
      <xdr:row>34</xdr:row>
      <xdr:rowOff>133350</xdr:rowOff>
    </xdr:to>
    <xdr:sp macro="" textlink="">
      <xdr:nvSpPr>
        <xdr:cNvPr id="29" name="52 Elipse"/>
        <xdr:cNvSpPr>
          <a:spLocks noChangeArrowheads="1"/>
        </xdr:cNvSpPr>
      </xdr:nvSpPr>
      <xdr:spPr bwMode="auto">
        <a:xfrm>
          <a:off x="133350" y="65055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26</xdr:row>
      <xdr:rowOff>104775</xdr:rowOff>
    </xdr:from>
    <xdr:to>
      <xdr:col>1</xdr:col>
      <xdr:colOff>76200</xdr:colOff>
      <xdr:row>26</xdr:row>
      <xdr:rowOff>161925</xdr:rowOff>
    </xdr:to>
    <xdr:sp macro="" textlink="">
      <xdr:nvSpPr>
        <xdr:cNvPr id="30" name="52 Elipse"/>
        <xdr:cNvSpPr>
          <a:spLocks noChangeArrowheads="1"/>
        </xdr:cNvSpPr>
      </xdr:nvSpPr>
      <xdr:spPr bwMode="auto">
        <a:xfrm>
          <a:off x="133350" y="50292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27</xdr:row>
      <xdr:rowOff>76200</xdr:rowOff>
    </xdr:from>
    <xdr:to>
      <xdr:col>1</xdr:col>
      <xdr:colOff>76200</xdr:colOff>
      <xdr:row>27</xdr:row>
      <xdr:rowOff>133350</xdr:rowOff>
    </xdr:to>
    <xdr:sp macro="" textlink="">
      <xdr:nvSpPr>
        <xdr:cNvPr id="31" name="52 Elipse"/>
        <xdr:cNvSpPr>
          <a:spLocks noChangeArrowheads="1"/>
        </xdr:cNvSpPr>
      </xdr:nvSpPr>
      <xdr:spPr bwMode="auto">
        <a:xfrm>
          <a:off x="133350" y="52101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28</xdr:row>
      <xdr:rowOff>57150</xdr:rowOff>
    </xdr:from>
    <xdr:to>
      <xdr:col>1</xdr:col>
      <xdr:colOff>76200</xdr:colOff>
      <xdr:row>28</xdr:row>
      <xdr:rowOff>114300</xdr:rowOff>
    </xdr:to>
    <xdr:sp macro="" textlink="">
      <xdr:nvSpPr>
        <xdr:cNvPr id="32" name="33 Elipse"/>
        <xdr:cNvSpPr>
          <a:spLocks noChangeArrowheads="1"/>
        </xdr:cNvSpPr>
      </xdr:nvSpPr>
      <xdr:spPr bwMode="auto">
        <a:xfrm>
          <a:off x="133350" y="53625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29</xdr:row>
      <xdr:rowOff>66675</xdr:rowOff>
    </xdr:from>
    <xdr:to>
      <xdr:col>1</xdr:col>
      <xdr:colOff>85725</xdr:colOff>
      <xdr:row>29</xdr:row>
      <xdr:rowOff>123825</xdr:rowOff>
    </xdr:to>
    <xdr:sp macro="" textlink="">
      <xdr:nvSpPr>
        <xdr:cNvPr id="33" name="33 Elipse"/>
        <xdr:cNvSpPr>
          <a:spLocks noChangeArrowheads="1"/>
        </xdr:cNvSpPr>
      </xdr:nvSpPr>
      <xdr:spPr bwMode="auto">
        <a:xfrm>
          <a:off x="142875" y="55626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36</xdr:row>
      <xdr:rowOff>0</xdr:rowOff>
    </xdr:from>
    <xdr:to>
      <xdr:col>1</xdr:col>
      <xdr:colOff>76200</xdr:colOff>
      <xdr:row>36</xdr:row>
      <xdr:rowOff>57150</xdr:rowOff>
    </xdr:to>
    <xdr:sp macro="" textlink="">
      <xdr:nvSpPr>
        <xdr:cNvPr id="34" name="52 Elipse"/>
        <xdr:cNvSpPr>
          <a:spLocks noChangeArrowheads="1"/>
        </xdr:cNvSpPr>
      </xdr:nvSpPr>
      <xdr:spPr bwMode="auto">
        <a:xfrm>
          <a:off x="133350" y="87725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37</xdr:row>
      <xdr:rowOff>0</xdr:rowOff>
    </xdr:from>
    <xdr:to>
      <xdr:col>1</xdr:col>
      <xdr:colOff>76200</xdr:colOff>
      <xdr:row>37</xdr:row>
      <xdr:rowOff>57150</xdr:rowOff>
    </xdr:to>
    <xdr:sp macro="" textlink="">
      <xdr:nvSpPr>
        <xdr:cNvPr id="35" name="52 Elipse"/>
        <xdr:cNvSpPr>
          <a:spLocks noChangeArrowheads="1"/>
        </xdr:cNvSpPr>
      </xdr:nvSpPr>
      <xdr:spPr bwMode="auto">
        <a:xfrm>
          <a:off x="133350" y="89630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38</xdr:row>
      <xdr:rowOff>0</xdr:rowOff>
    </xdr:from>
    <xdr:to>
      <xdr:col>1</xdr:col>
      <xdr:colOff>76200</xdr:colOff>
      <xdr:row>38</xdr:row>
      <xdr:rowOff>57150</xdr:rowOff>
    </xdr:to>
    <xdr:sp macro="" textlink="">
      <xdr:nvSpPr>
        <xdr:cNvPr id="36" name="52 Elipse"/>
        <xdr:cNvSpPr>
          <a:spLocks noChangeArrowheads="1"/>
        </xdr:cNvSpPr>
      </xdr:nvSpPr>
      <xdr:spPr bwMode="auto">
        <a:xfrm>
          <a:off x="133350" y="91535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39</xdr:row>
      <xdr:rowOff>0</xdr:rowOff>
    </xdr:from>
    <xdr:to>
      <xdr:col>1</xdr:col>
      <xdr:colOff>76200</xdr:colOff>
      <xdr:row>39</xdr:row>
      <xdr:rowOff>57150</xdr:rowOff>
    </xdr:to>
    <xdr:sp macro="" textlink="">
      <xdr:nvSpPr>
        <xdr:cNvPr id="37" name="52 Elipse"/>
        <xdr:cNvSpPr>
          <a:spLocks noChangeArrowheads="1"/>
        </xdr:cNvSpPr>
      </xdr:nvSpPr>
      <xdr:spPr bwMode="auto">
        <a:xfrm>
          <a:off x="133350" y="9344025"/>
          <a:ext cx="76200" cy="57150"/>
        </a:xfrm>
        <a:prstGeom prst="ellipse">
          <a:avLst/>
        </a:prstGeom>
        <a:solidFill>
          <a:srgbClr val="FFFFFF"/>
        </a:solidFill>
        <a:ln w="9525" algn="ctr">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66675</xdr:rowOff>
    </xdr:from>
    <xdr:to>
      <xdr:col>5</xdr:col>
      <xdr:colOff>581025</xdr:colOff>
      <xdr:row>4</xdr:row>
      <xdr:rowOff>38100</xdr:rowOff>
    </xdr:to>
    <xdr:pic>
      <xdr:nvPicPr>
        <xdr:cNvPr id="2" name="Picture 87"/>
        <xdr:cNvPicPr>
          <a:picLocks noChangeAspect="1" noChangeArrowheads="1"/>
        </xdr:cNvPicPr>
      </xdr:nvPicPr>
      <xdr:blipFill>
        <a:blip xmlns:r="http://schemas.openxmlformats.org/officeDocument/2006/relationships" r:embed="rId1" cstate="print"/>
        <a:srcRect/>
        <a:stretch>
          <a:fillRect/>
        </a:stretch>
      </xdr:blipFill>
      <xdr:spPr bwMode="auto">
        <a:xfrm>
          <a:off x="0" y="66675"/>
          <a:ext cx="2428875" cy="733425"/>
        </a:xfrm>
        <a:prstGeom prst="rect">
          <a:avLst/>
        </a:prstGeom>
        <a:noFill/>
        <a:ln w="9525">
          <a:noFill/>
          <a:miter lim="800000"/>
          <a:headEnd/>
          <a:tailEnd/>
        </a:ln>
      </xdr:spPr>
    </xdr:pic>
    <xdr:clientData/>
  </xdr:twoCellAnchor>
  <xdr:twoCellAnchor>
    <xdr:from>
      <xdr:col>1</xdr:col>
      <xdr:colOff>0</xdr:colOff>
      <xdr:row>9</xdr:row>
      <xdr:rowOff>66675</xdr:rowOff>
    </xdr:from>
    <xdr:to>
      <xdr:col>1</xdr:col>
      <xdr:colOff>76200</xdr:colOff>
      <xdr:row>9</xdr:row>
      <xdr:rowOff>123825</xdr:rowOff>
    </xdr:to>
    <xdr:sp macro="" textlink="">
      <xdr:nvSpPr>
        <xdr:cNvPr id="3" name="33 Elipse"/>
        <xdr:cNvSpPr>
          <a:spLocks noChangeArrowheads="1"/>
        </xdr:cNvSpPr>
      </xdr:nvSpPr>
      <xdr:spPr bwMode="auto">
        <a:xfrm>
          <a:off x="133350" y="1790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11</xdr:row>
      <xdr:rowOff>57150</xdr:rowOff>
    </xdr:from>
    <xdr:to>
      <xdr:col>1</xdr:col>
      <xdr:colOff>76200</xdr:colOff>
      <xdr:row>11</xdr:row>
      <xdr:rowOff>114300</xdr:rowOff>
    </xdr:to>
    <xdr:sp macro="" textlink="">
      <xdr:nvSpPr>
        <xdr:cNvPr id="4" name="45 Elipse"/>
        <xdr:cNvSpPr>
          <a:spLocks noChangeArrowheads="1"/>
        </xdr:cNvSpPr>
      </xdr:nvSpPr>
      <xdr:spPr bwMode="auto">
        <a:xfrm>
          <a:off x="133350" y="21621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14</xdr:row>
      <xdr:rowOff>66675</xdr:rowOff>
    </xdr:from>
    <xdr:to>
      <xdr:col>1</xdr:col>
      <xdr:colOff>76200</xdr:colOff>
      <xdr:row>14</xdr:row>
      <xdr:rowOff>123825</xdr:rowOff>
    </xdr:to>
    <xdr:sp macro="" textlink="">
      <xdr:nvSpPr>
        <xdr:cNvPr id="5" name="33 Elipse"/>
        <xdr:cNvSpPr>
          <a:spLocks noChangeArrowheads="1"/>
        </xdr:cNvSpPr>
      </xdr:nvSpPr>
      <xdr:spPr bwMode="auto">
        <a:xfrm>
          <a:off x="133350" y="2743200"/>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16</xdr:row>
      <xdr:rowOff>57150</xdr:rowOff>
    </xdr:from>
    <xdr:to>
      <xdr:col>1</xdr:col>
      <xdr:colOff>66675</xdr:colOff>
      <xdr:row>16</xdr:row>
      <xdr:rowOff>114300</xdr:rowOff>
    </xdr:to>
    <xdr:sp macro="" textlink="">
      <xdr:nvSpPr>
        <xdr:cNvPr id="6" name="33 Elipse"/>
        <xdr:cNvSpPr>
          <a:spLocks noChangeArrowheads="1"/>
        </xdr:cNvSpPr>
      </xdr:nvSpPr>
      <xdr:spPr bwMode="auto">
        <a:xfrm>
          <a:off x="123825" y="31146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8</xdr:row>
      <xdr:rowOff>85725</xdr:rowOff>
    </xdr:from>
    <xdr:to>
      <xdr:col>1</xdr:col>
      <xdr:colOff>76200</xdr:colOff>
      <xdr:row>8</xdr:row>
      <xdr:rowOff>142875</xdr:rowOff>
    </xdr:to>
    <xdr:sp macro="" textlink="">
      <xdr:nvSpPr>
        <xdr:cNvPr id="7" name="33 Elipse"/>
        <xdr:cNvSpPr>
          <a:spLocks noChangeArrowheads="1"/>
        </xdr:cNvSpPr>
      </xdr:nvSpPr>
      <xdr:spPr bwMode="auto">
        <a:xfrm>
          <a:off x="133350" y="16192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10</xdr:row>
      <xdr:rowOff>57150</xdr:rowOff>
    </xdr:from>
    <xdr:to>
      <xdr:col>1</xdr:col>
      <xdr:colOff>76200</xdr:colOff>
      <xdr:row>10</xdr:row>
      <xdr:rowOff>114300</xdr:rowOff>
    </xdr:to>
    <xdr:sp macro="" textlink="">
      <xdr:nvSpPr>
        <xdr:cNvPr id="8" name="33 Elipse"/>
        <xdr:cNvSpPr>
          <a:spLocks noChangeArrowheads="1"/>
        </xdr:cNvSpPr>
      </xdr:nvSpPr>
      <xdr:spPr bwMode="auto">
        <a:xfrm>
          <a:off x="133350" y="19716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28</xdr:row>
      <xdr:rowOff>57150</xdr:rowOff>
    </xdr:from>
    <xdr:to>
      <xdr:col>1</xdr:col>
      <xdr:colOff>76200</xdr:colOff>
      <xdr:row>28</xdr:row>
      <xdr:rowOff>114300</xdr:rowOff>
    </xdr:to>
    <xdr:sp macro="" textlink="">
      <xdr:nvSpPr>
        <xdr:cNvPr id="9" name="33 Elipse"/>
        <xdr:cNvSpPr>
          <a:spLocks noChangeArrowheads="1"/>
        </xdr:cNvSpPr>
      </xdr:nvSpPr>
      <xdr:spPr bwMode="auto">
        <a:xfrm>
          <a:off x="133350" y="54006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29</xdr:row>
      <xdr:rowOff>66675</xdr:rowOff>
    </xdr:from>
    <xdr:to>
      <xdr:col>1</xdr:col>
      <xdr:colOff>85725</xdr:colOff>
      <xdr:row>29</xdr:row>
      <xdr:rowOff>123825</xdr:rowOff>
    </xdr:to>
    <xdr:sp macro="" textlink="">
      <xdr:nvSpPr>
        <xdr:cNvPr id="10" name="33 Elipse"/>
        <xdr:cNvSpPr>
          <a:spLocks noChangeArrowheads="1"/>
        </xdr:cNvSpPr>
      </xdr:nvSpPr>
      <xdr:spPr bwMode="auto">
        <a:xfrm>
          <a:off x="142875" y="5600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13</xdr:row>
      <xdr:rowOff>47625</xdr:rowOff>
    </xdr:from>
    <xdr:to>
      <xdr:col>1</xdr:col>
      <xdr:colOff>76200</xdr:colOff>
      <xdr:row>13</xdr:row>
      <xdr:rowOff>104775</xdr:rowOff>
    </xdr:to>
    <xdr:sp macro="" textlink="">
      <xdr:nvSpPr>
        <xdr:cNvPr id="11" name="45 Elipse"/>
        <xdr:cNvSpPr>
          <a:spLocks noChangeArrowheads="1"/>
        </xdr:cNvSpPr>
      </xdr:nvSpPr>
      <xdr:spPr bwMode="auto">
        <a:xfrm>
          <a:off x="133350" y="25336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18</xdr:row>
      <xdr:rowOff>66675</xdr:rowOff>
    </xdr:from>
    <xdr:to>
      <xdr:col>1</xdr:col>
      <xdr:colOff>85725</xdr:colOff>
      <xdr:row>18</xdr:row>
      <xdr:rowOff>123825</xdr:rowOff>
    </xdr:to>
    <xdr:sp macro="" textlink="">
      <xdr:nvSpPr>
        <xdr:cNvPr id="12" name="52 Elipse"/>
        <xdr:cNvSpPr>
          <a:spLocks noChangeArrowheads="1"/>
        </xdr:cNvSpPr>
      </xdr:nvSpPr>
      <xdr:spPr bwMode="auto">
        <a:xfrm>
          <a:off x="142875" y="35052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9</xdr:row>
      <xdr:rowOff>66675</xdr:rowOff>
    </xdr:from>
    <xdr:to>
      <xdr:col>1</xdr:col>
      <xdr:colOff>76200</xdr:colOff>
      <xdr:row>9</xdr:row>
      <xdr:rowOff>123825</xdr:rowOff>
    </xdr:to>
    <xdr:sp macro="" textlink="">
      <xdr:nvSpPr>
        <xdr:cNvPr id="13" name="33 Elipse"/>
        <xdr:cNvSpPr>
          <a:spLocks noChangeArrowheads="1"/>
        </xdr:cNvSpPr>
      </xdr:nvSpPr>
      <xdr:spPr bwMode="auto">
        <a:xfrm>
          <a:off x="133350" y="1790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11</xdr:row>
      <xdr:rowOff>57150</xdr:rowOff>
    </xdr:from>
    <xdr:to>
      <xdr:col>1</xdr:col>
      <xdr:colOff>76200</xdr:colOff>
      <xdr:row>11</xdr:row>
      <xdr:rowOff>114300</xdr:rowOff>
    </xdr:to>
    <xdr:sp macro="" textlink="">
      <xdr:nvSpPr>
        <xdr:cNvPr id="14" name="45 Elipse"/>
        <xdr:cNvSpPr>
          <a:spLocks noChangeArrowheads="1"/>
        </xdr:cNvSpPr>
      </xdr:nvSpPr>
      <xdr:spPr bwMode="auto">
        <a:xfrm>
          <a:off x="133350" y="21621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14</xdr:row>
      <xdr:rowOff>66675</xdr:rowOff>
    </xdr:from>
    <xdr:to>
      <xdr:col>1</xdr:col>
      <xdr:colOff>76200</xdr:colOff>
      <xdr:row>14</xdr:row>
      <xdr:rowOff>123825</xdr:rowOff>
    </xdr:to>
    <xdr:sp macro="" textlink="">
      <xdr:nvSpPr>
        <xdr:cNvPr id="15" name="33 Elipse"/>
        <xdr:cNvSpPr>
          <a:spLocks noChangeArrowheads="1"/>
        </xdr:cNvSpPr>
      </xdr:nvSpPr>
      <xdr:spPr bwMode="auto">
        <a:xfrm>
          <a:off x="133350" y="2743200"/>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16</xdr:row>
      <xdr:rowOff>57150</xdr:rowOff>
    </xdr:from>
    <xdr:to>
      <xdr:col>1</xdr:col>
      <xdr:colOff>66675</xdr:colOff>
      <xdr:row>16</xdr:row>
      <xdr:rowOff>114300</xdr:rowOff>
    </xdr:to>
    <xdr:sp macro="" textlink="">
      <xdr:nvSpPr>
        <xdr:cNvPr id="16" name="33 Elipse"/>
        <xdr:cNvSpPr>
          <a:spLocks noChangeArrowheads="1"/>
        </xdr:cNvSpPr>
      </xdr:nvSpPr>
      <xdr:spPr bwMode="auto">
        <a:xfrm>
          <a:off x="123825" y="31146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8</xdr:row>
      <xdr:rowOff>85725</xdr:rowOff>
    </xdr:from>
    <xdr:to>
      <xdr:col>1</xdr:col>
      <xdr:colOff>76200</xdr:colOff>
      <xdr:row>8</xdr:row>
      <xdr:rowOff>142875</xdr:rowOff>
    </xdr:to>
    <xdr:sp macro="" textlink="">
      <xdr:nvSpPr>
        <xdr:cNvPr id="17" name="33 Elipse"/>
        <xdr:cNvSpPr>
          <a:spLocks noChangeArrowheads="1"/>
        </xdr:cNvSpPr>
      </xdr:nvSpPr>
      <xdr:spPr bwMode="auto">
        <a:xfrm>
          <a:off x="133350" y="1619250"/>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10</xdr:row>
      <xdr:rowOff>57150</xdr:rowOff>
    </xdr:from>
    <xdr:to>
      <xdr:col>1</xdr:col>
      <xdr:colOff>66675</xdr:colOff>
      <xdr:row>10</xdr:row>
      <xdr:rowOff>114300</xdr:rowOff>
    </xdr:to>
    <xdr:sp macro="" textlink="">
      <xdr:nvSpPr>
        <xdr:cNvPr id="18" name="33 Elipse"/>
        <xdr:cNvSpPr>
          <a:spLocks noChangeArrowheads="1"/>
        </xdr:cNvSpPr>
      </xdr:nvSpPr>
      <xdr:spPr bwMode="auto">
        <a:xfrm>
          <a:off x="123825" y="19716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13</xdr:row>
      <xdr:rowOff>47625</xdr:rowOff>
    </xdr:from>
    <xdr:to>
      <xdr:col>1</xdr:col>
      <xdr:colOff>76200</xdr:colOff>
      <xdr:row>13</xdr:row>
      <xdr:rowOff>104775</xdr:rowOff>
    </xdr:to>
    <xdr:sp macro="" textlink="">
      <xdr:nvSpPr>
        <xdr:cNvPr id="19" name="45 Elipse"/>
        <xdr:cNvSpPr>
          <a:spLocks noChangeArrowheads="1"/>
        </xdr:cNvSpPr>
      </xdr:nvSpPr>
      <xdr:spPr bwMode="auto">
        <a:xfrm>
          <a:off x="133350" y="25336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19</xdr:row>
      <xdr:rowOff>66675</xdr:rowOff>
    </xdr:from>
    <xdr:to>
      <xdr:col>1</xdr:col>
      <xdr:colOff>85725</xdr:colOff>
      <xdr:row>19</xdr:row>
      <xdr:rowOff>123825</xdr:rowOff>
    </xdr:to>
    <xdr:sp macro="" textlink="">
      <xdr:nvSpPr>
        <xdr:cNvPr id="20" name="52 Elipse"/>
        <xdr:cNvSpPr>
          <a:spLocks noChangeArrowheads="1"/>
        </xdr:cNvSpPr>
      </xdr:nvSpPr>
      <xdr:spPr bwMode="auto">
        <a:xfrm>
          <a:off x="142875" y="3695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39</xdr:row>
      <xdr:rowOff>76200</xdr:rowOff>
    </xdr:from>
    <xdr:to>
      <xdr:col>1</xdr:col>
      <xdr:colOff>76200</xdr:colOff>
      <xdr:row>39</xdr:row>
      <xdr:rowOff>133350</xdr:rowOff>
    </xdr:to>
    <xdr:sp macro="" textlink="">
      <xdr:nvSpPr>
        <xdr:cNvPr id="21" name="52 Elipse"/>
        <xdr:cNvSpPr>
          <a:spLocks noChangeArrowheads="1"/>
        </xdr:cNvSpPr>
      </xdr:nvSpPr>
      <xdr:spPr bwMode="auto">
        <a:xfrm>
          <a:off x="133350" y="60960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41</xdr:row>
      <xdr:rowOff>66675</xdr:rowOff>
    </xdr:from>
    <xdr:to>
      <xdr:col>1</xdr:col>
      <xdr:colOff>76200</xdr:colOff>
      <xdr:row>41</xdr:row>
      <xdr:rowOff>123825</xdr:rowOff>
    </xdr:to>
    <xdr:sp macro="" textlink="">
      <xdr:nvSpPr>
        <xdr:cNvPr id="22" name="52 Elipse"/>
        <xdr:cNvSpPr>
          <a:spLocks noChangeArrowheads="1"/>
        </xdr:cNvSpPr>
      </xdr:nvSpPr>
      <xdr:spPr bwMode="auto">
        <a:xfrm>
          <a:off x="133350" y="64674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26</xdr:row>
      <xdr:rowOff>47625</xdr:rowOff>
    </xdr:from>
    <xdr:to>
      <xdr:col>1</xdr:col>
      <xdr:colOff>76200</xdr:colOff>
      <xdr:row>26</xdr:row>
      <xdr:rowOff>104775</xdr:rowOff>
    </xdr:to>
    <xdr:sp macro="" textlink="">
      <xdr:nvSpPr>
        <xdr:cNvPr id="23" name="52 Elipse"/>
        <xdr:cNvSpPr>
          <a:spLocks noChangeArrowheads="1"/>
        </xdr:cNvSpPr>
      </xdr:nvSpPr>
      <xdr:spPr bwMode="auto">
        <a:xfrm>
          <a:off x="133350" y="50101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27</xdr:row>
      <xdr:rowOff>66675</xdr:rowOff>
    </xdr:from>
    <xdr:to>
      <xdr:col>1</xdr:col>
      <xdr:colOff>76200</xdr:colOff>
      <xdr:row>27</xdr:row>
      <xdr:rowOff>123825</xdr:rowOff>
    </xdr:to>
    <xdr:sp macro="" textlink="">
      <xdr:nvSpPr>
        <xdr:cNvPr id="24" name="52 Elipse"/>
        <xdr:cNvSpPr>
          <a:spLocks noChangeArrowheads="1"/>
        </xdr:cNvSpPr>
      </xdr:nvSpPr>
      <xdr:spPr bwMode="auto">
        <a:xfrm>
          <a:off x="133350" y="5219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20</xdr:row>
      <xdr:rowOff>95250</xdr:rowOff>
    </xdr:from>
    <xdr:to>
      <xdr:col>1</xdr:col>
      <xdr:colOff>85725</xdr:colOff>
      <xdr:row>20</xdr:row>
      <xdr:rowOff>152400</xdr:rowOff>
    </xdr:to>
    <xdr:sp macro="" textlink="">
      <xdr:nvSpPr>
        <xdr:cNvPr id="25" name="52 Elipse"/>
        <xdr:cNvSpPr>
          <a:spLocks noChangeArrowheads="1"/>
        </xdr:cNvSpPr>
      </xdr:nvSpPr>
      <xdr:spPr bwMode="auto">
        <a:xfrm>
          <a:off x="142875" y="39147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19050</xdr:colOff>
      <xdr:row>21</xdr:row>
      <xdr:rowOff>114300</xdr:rowOff>
    </xdr:from>
    <xdr:to>
      <xdr:col>1</xdr:col>
      <xdr:colOff>95250</xdr:colOff>
      <xdr:row>21</xdr:row>
      <xdr:rowOff>171450</xdr:rowOff>
    </xdr:to>
    <xdr:sp macro="" textlink="">
      <xdr:nvSpPr>
        <xdr:cNvPr id="26" name="52 Elipse"/>
        <xdr:cNvSpPr>
          <a:spLocks noChangeArrowheads="1"/>
        </xdr:cNvSpPr>
      </xdr:nvSpPr>
      <xdr:spPr bwMode="auto">
        <a:xfrm>
          <a:off x="152400" y="41243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28575</xdr:colOff>
      <xdr:row>22</xdr:row>
      <xdr:rowOff>104775</xdr:rowOff>
    </xdr:from>
    <xdr:to>
      <xdr:col>1</xdr:col>
      <xdr:colOff>104775</xdr:colOff>
      <xdr:row>22</xdr:row>
      <xdr:rowOff>161925</xdr:rowOff>
    </xdr:to>
    <xdr:sp macro="" textlink="">
      <xdr:nvSpPr>
        <xdr:cNvPr id="27" name="52 Elipse"/>
        <xdr:cNvSpPr>
          <a:spLocks noChangeArrowheads="1"/>
        </xdr:cNvSpPr>
      </xdr:nvSpPr>
      <xdr:spPr bwMode="auto">
        <a:xfrm>
          <a:off x="161925" y="43053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28575</xdr:colOff>
      <xdr:row>23</xdr:row>
      <xdr:rowOff>66675</xdr:rowOff>
    </xdr:from>
    <xdr:to>
      <xdr:col>1</xdr:col>
      <xdr:colOff>104775</xdr:colOff>
      <xdr:row>23</xdr:row>
      <xdr:rowOff>123825</xdr:rowOff>
    </xdr:to>
    <xdr:sp macro="" textlink="">
      <xdr:nvSpPr>
        <xdr:cNvPr id="28" name="52 Elipse"/>
        <xdr:cNvSpPr>
          <a:spLocks noChangeArrowheads="1"/>
        </xdr:cNvSpPr>
      </xdr:nvSpPr>
      <xdr:spPr bwMode="auto">
        <a:xfrm>
          <a:off x="161925" y="4457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31</xdr:row>
      <xdr:rowOff>0</xdr:rowOff>
    </xdr:from>
    <xdr:to>
      <xdr:col>1</xdr:col>
      <xdr:colOff>76200</xdr:colOff>
      <xdr:row>31</xdr:row>
      <xdr:rowOff>57150</xdr:rowOff>
    </xdr:to>
    <xdr:sp macro="" textlink="">
      <xdr:nvSpPr>
        <xdr:cNvPr id="29" name="52 Elipse"/>
        <xdr:cNvSpPr>
          <a:spLocks noChangeArrowheads="1"/>
        </xdr:cNvSpPr>
      </xdr:nvSpPr>
      <xdr:spPr bwMode="auto">
        <a:xfrm>
          <a:off x="133350" y="68675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32</xdr:row>
      <xdr:rowOff>0</xdr:rowOff>
    </xdr:from>
    <xdr:to>
      <xdr:col>1</xdr:col>
      <xdr:colOff>76200</xdr:colOff>
      <xdr:row>32</xdr:row>
      <xdr:rowOff>57150</xdr:rowOff>
    </xdr:to>
    <xdr:sp macro="" textlink="">
      <xdr:nvSpPr>
        <xdr:cNvPr id="30" name="52 Elipse"/>
        <xdr:cNvSpPr>
          <a:spLocks noChangeArrowheads="1"/>
        </xdr:cNvSpPr>
      </xdr:nvSpPr>
      <xdr:spPr bwMode="auto">
        <a:xfrm>
          <a:off x="133350" y="70580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33</xdr:row>
      <xdr:rowOff>0</xdr:rowOff>
    </xdr:from>
    <xdr:to>
      <xdr:col>1</xdr:col>
      <xdr:colOff>76200</xdr:colOff>
      <xdr:row>33</xdr:row>
      <xdr:rowOff>57150</xdr:rowOff>
    </xdr:to>
    <xdr:sp macro="" textlink="">
      <xdr:nvSpPr>
        <xdr:cNvPr id="31" name="52 Elipse"/>
        <xdr:cNvSpPr>
          <a:spLocks noChangeArrowheads="1"/>
        </xdr:cNvSpPr>
      </xdr:nvSpPr>
      <xdr:spPr bwMode="auto">
        <a:xfrm>
          <a:off x="133350" y="72485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34</xdr:row>
      <xdr:rowOff>0</xdr:rowOff>
    </xdr:from>
    <xdr:to>
      <xdr:col>1</xdr:col>
      <xdr:colOff>76200</xdr:colOff>
      <xdr:row>34</xdr:row>
      <xdr:rowOff>57150</xdr:rowOff>
    </xdr:to>
    <xdr:sp macro="" textlink="">
      <xdr:nvSpPr>
        <xdr:cNvPr id="32" name="52 Elipse"/>
        <xdr:cNvSpPr>
          <a:spLocks noChangeArrowheads="1"/>
        </xdr:cNvSpPr>
      </xdr:nvSpPr>
      <xdr:spPr bwMode="auto">
        <a:xfrm>
          <a:off x="133350" y="7439025"/>
          <a:ext cx="76200" cy="57150"/>
        </a:xfrm>
        <a:prstGeom prst="ellipse">
          <a:avLst/>
        </a:prstGeom>
        <a:solidFill>
          <a:srgbClr val="FFFFFF"/>
        </a:solidFill>
        <a:ln w="9525" algn="ctr">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66675</xdr:rowOff>
    </xdr:from>
    <xdr:to>
      <xdr:col>5</xdr:col>
      <xdr:colOff>581025</xdr:colOff>
      <xdr:row>4</xdr:row>
      <xdr:rowOff>38100</xdr:rowOff>
    </xdr:to>
    <xdr:pic>
      <xdr:nvPicPr>
        <xdr:cNvPr id="2" name="Picture 87"/>
        <xdr:cNvPicPr>
          <a:picLocks noChangeAspect="1" noChangeArrowheads="1"/>
        </xdr:cNvPicPr>
      </xdr:nvPicPr>
      <xdr:blipFill>
        <a:blip xmlns:r="http://schemas.openxmlformats.org/officeDocument/2006/relationships" r:embed="rId1" cstate="print"/>
        <a:srcRect/>
        <a:stretch>
          <a:fillRect/>
        </a:stretch>
      </xdr:blipFill>
      <xdr:spPr bwMode="auto">
        <a:xfrm>
          <a:off x="0" y="66675"/>
          <a:ext cx="2428875" cy="733425"/>
        </a:xfrm>
        <a:prstGeom prst="rect">
          <a:avLst/>
        </a:prstGeom>
        <a:noFill/>
        <a:ln w="9525">
          <a:noFill/>
          <a:miter lim="800000"/>
          <a:headEnd/>
          <a:tailEnd/>
        </a:ln>
      </xdr:spPr>
    </xdr:pic>
    <xdr:clientData/>
  </xdr:twoCellAnchor>
  <xdr:twoCellAnchor>
    <xdr:from>
      <xdr:col>1</xdr:col>
      <xdr:colOff>0</xdr:colOff>
      <xdr:row>9</xdr:row>
      <xdr:rowOff>66675</xdr:rowOff>
    </xdr:from>
    <xdr:to>
      <xdr:col>1</xdr:col>
      <xdr:colOff>76200</xdr:colOff>
      <xdr:row>9</xdr:row>
      <xdr:rowOff>123825</xdr:rowOff>
    </xdr:to>
    <xdr:sp macro="" textlink="">
      <xdr:nvSpPr>
        <xdr:cNvPr id="3" name="33 Elipse"/>
        <xdr:cNvSpPr>
          <a:spLocks noChangeArrowheads="1"/>
        </xdr:cNvSpPr>
      </xdr:nvSpPr>
      <xdr:spPr bwMode="auto">
        <a:xfrm>
          <a:off x="133350" y="1790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11</xdr:row>
      <xdr:rowOff>57150</xdr:rowOff>
    </xdr:from>
    <xdr:to>
      <xdr:col>1</xdr:col>
      <xdr:colOff>76200</xdr:colOff>
      <xdr:row>11</xdr:row>
      <xdr:rowOff>114300</xdr:rowOff>
    </xdr:to>
    <xdr:sp macro="" textlink="">
      <xdr:nvSpPr>
        <xdr:cNvPr id="4" name="45 Elipse"/>
        <xdr:cNvSpPr>
          <a:spLocks noChangeArrowheads="1"/>
        </xdr:cNvSpPr>
      </xdr:nvSpPr>
      <xdr:spPr bwMode="auto">
        <a:xfrm>
          <a:off x="133350" y="21621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14</xdr:row>
      <xdr:rowOff>66675</xdr:rowOff>
    </xdr:from>
    <xdr:to>
      <xdr:col>1</xdr:col>
      <xdr:colOff>76200</xdr:colOff>
      <xdr:row>14</xdr:row>
      <xdr:rowOff>123825</xdr:rowOff>
    </xdr:to>
    <xdr:sp macro="" textlink="">
      <xdr:nvSpPr>
        <xdr:cNvPr id="5" name="33 Elipse"/>
        <xdr:cNvSpPr>
          <a:spLocks noChangeArrowheads="1"/>
        </xdr:cNvSpPr>
      </xdr:nvSpPr>
      <xdr:spPr bwMode="auto">
        <a:xfrm>
          <a:off x="133350" y="2743200"/>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16</xdr:row>
      <xdr:rowOff>57150</xdr:rowOff>
    </xdr:from>
    <xdr:to>
      <xdr:col>1</xdr:col>
      <xdr:colOff>66675</xdr:colOff>
      <xdr:row>16</xdr:row>
      <xdr:rowOff>114300</xdr:rowOff>
    </xdr:to>
    <xdr:sp macro="" textlink="">
      <xdr:nvSpPr>
        <xdr:cNvPr id="6" name="33 Elipse"/>
        <xdr:cNvSpPr>
          <a:spLocks noChangeArrowheads="1"/>
        </xdr:cNvSpPr>
      </xdr:nvSpPr>
      <xdr:spPr bwMode="auto">
        <a:xfrm>
          <a:off x="123825" y="31146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8</xdr:row>
      <xdr:rowOff>57150</xdr:rowOff>
    </xdr:from>
    <xdr:to>
      <xdr:col>1</xdr:col>
      <xdr:colOff>76200</xdr:colOff>
      <xdr:row>8</xdr:row>
      <xdr:rowOff>114300</xdr:rowOff>
    </xdr:to>
    <xdr:sp macro="" textlink="">
      <xdr:nvSpPr>
        <xdr:cNvPr id="7" name="33 Elipse"/>
        <xdr:cNvSpPr>
          <a:spLocks noChangeArrowheads="1"/>
        </xdr:cNvSpPr>
      </xdr:nvSpPr>
      <xdr:spPr bwMode="auto">
        <a:xfrm>
          <a:off x="133350" y="15906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10</xdr:row>
      <xdr:rowOff>57150</xdr:rowOff>
    </xdr:from>
    <xdr:to>
      <xdr:col>1</xdr:col>
      <xdr:colOff>76200</xdr:colOff>
      <xdr:row>10</xdr:row>
      <xdr:rowOff>114300</xdr:rowOff>
    </xdr:to>
    <xdr:sp macro="" textlink="">
      <xdr:nvSpPr>
        <xdr:cNvPr id="8" name="33 Elipse"/>
        <xdr:cNvSpPr>
          <a:spLocks noChangeArrowheads="1"/>
        </xdr:cNvSpPr>
      </xdr:nvSpPr>
      <xdr:spPr bwMode="auto">
        <a:xfrm>
          <a:off x="133350" y="19716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27</xdr:row>
      <xdr:rowOff>57150</xdr:rowOff>
    </xdr:from>
    <xdr:to>
      <xdr:col>1</xdr:col>
      <xdr:colOff>76200</xdr:colOff>
      <xdr:row>27</xdr:row>
      <xdr:rowOff>114300</xdr:rowOff>
    </xdr:to>
    <xdr:sp macro="" textlink="">
      <xdr:nvSpPr>
        <xdr:cNvPr id="9" name="33 Elipse"/>
        <xdr:cNvSpPr>
          <a:spLocks noChangeArrowheads="1"/>
        </xdr:cNvSpPr>
      </xdr:nvSpPr>
      <xdr:spPr bwMode="auto">
        <a:xfrm>
          <a:off x="133350" y="52101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28</xdr:row>
      <xdr:rowOff>66675</xdr:rowOff>
    </xdr:from>
    <xdr:to>
      <xdr:col>1</xdr:col>
      <xdr:colOff>85725</xdr:colOff>
      <xdr:row>28</xdr:row>
      <xdr:rowOff>123825</xdr:rowOff>
    </xdr:to>
    <xdr:sp macro="" textlink="">
      <xdr:nvSpPr>
        <xdr:cNvPr id="10" name="33 Elipse"/>
        <xdr:cNvSpPr>
          <a:spLocks noChangeArrowheads="1"/>
        </xdr:cNvSpPr>
      </xdr:nvSpPr>
      <xdr:spPr bwMode="auto">
        <a:xfrm>
          <a:off x="142875" y="54102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13</xdr:row>
      <xdr:rowOff>47625</xdr:rowOff>
    </xdr:from>
    <xdr:to>
      <xdr:col>1</xdr:col>
      <xdr:colOff>76200</xdr:colOff>
      <xdr:row>13</xdr:row>
      <xdr:rowOff>104775</xdr:rowOff>
    </xdr:to>
    <xdr:sp macro="" textlink="">
      <xdr:nvSpPr>
        <xdr:cNvPr id="11" name="45 Elipse"/>
        <xdr:cNvSpPr>
          <a:spLocks noChangeArrowheads="1"/>
        </xdr:cNvSpPr>
      </xdr:nvSpPr>
      <xdr:spPr bwMode="auto">
        <a:xfrm>
          <a:off x="133350" y="25336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18</xdr:row>
      <xdr:rowOff>66675</xdr:rowOff>
    </xdr:from>
    <xdr:to>
      <xdr:col>1</xdr:col>
      <xdr:colOff>85725</xdr:colOff>
      <xdr:row>18</xdr:row>
      <xdr:rowOff>123825</xdr:rowOff>
    </xdr:to>
    <xdr:sp macro="" textlink="">
      <xdr:nvSpPr>
        <xdr:cNvPr id="12" name="52 Elipse"/>
        <xdr:cNvSpPr>
          <a:spLocks noChangeArrowheads="1"/>
        </xdr:cNvSpPr>
      </xdr:nvSpPr>
      <xdr:spPr bwMode="auto">
        <a:xfrm>
          <a:off x="142875" y="35052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9</xdr:row>
      <xdr:rowOff>66675</xdr:rowOff>
    </xdr:from>
    <xdr:to>
      <xdr:col>1</xdr:col>
      <xdr:colOff>76200</xdr:colOff>
      <xdr:row>9</xdr:row>
      <xdr:rowOff>123825</xdr:rowOff>
    </xdr:to>
    <xdr:sp macro="" textlink="">
      <xdr:nvSpPr>
        <xdr:cNvPr id="13" name="33 Elipse"/>
        <xdr:cNvSpPr>
          <a:spLocks noChangeArrowheads="1"/>
        </xdr:cNvSpPr>
      </xdr:nvSpPr>
      <xdr:spPr bwMode="auto">
        <a:xfrm>
          <a:off x="133350" y="1790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11</xdr:row>
      <xdr:rowOff>57150</xdr:rowOff>
    </xdr:from>
    <xdr:to>
      <xdr:col>1</xdr:col>
      <xdr:colOff>76200</xdr:colOff>
      <xdr:row>11</xdr:row>
      <xdr:rowOff>114300</xdr:rowOff>
    </xdr:to>
    <xdr:sp macro="" textlink="">
      <xdr:nvSpPr>
        <xdr:cNvPr id="14" name="45 Elipse"/>
        <xdr:cNvSpPr>
          <a:spLocks noChangeArrowheads="1"/>
        </xdr:cNvSpPr>
      </xdr:nvSpPr>
      <xdr:spPr bwMode="auto">
        <a:xfrm>
          <a:off x="133350" y="21621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14</xdr:row>
      <xdr:rowOff>66675</xdr:rowOff>
    </xdr:from>
    <xdr:to>
      <xdr:col>1</xdr:col>
      <xdr:colOff>76200</xdr:colOff>
      <xdr:row>14</xdr:row>
      <xdr:rowOff>123825</xdr:rowOff>
    </xdr:to>
    <xdr:sp macro="" textlink="">
      <xdr:nvSpPr>
        <xdr:cNvPr id="15" name="33 Elipse"/>
        <xdr:cNvSpPr>
          <a:spLocks noChangeArrowheads="1"/>
        </xdr:cNvSpPr>
      </xdr:nvSpPr>
      <xdr:spPr bwMode="auto">
        <a:xfrm>
          <a:off x="133350" y="2743200"/>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16</xdr:row>
      <xdr:rowOff>57150</xdr:rowOff>
    </xdr:from>
    <xdr:to>
      <xdr:col>1</xdr:col>
      <xdr:colOff>66675</xdr:colOff>
      <xdr:row>16</xdr:row>
      <xdr:rowOff>114300</xdr:rowOff>
    </xdr:to>
    <xdr:sp macro="" textlink="">
      <xdr:nvSpPr>
        <xdr:cNvPr id="16" name="33 Elipse"/>
        <xdr:cNvSpPr>
          <a:spLocks noChangeArrowheads="1"/>
        </xdr:cNvSpPr>
      </xdr:nvSpPr>
      <xdr:spPr bwMode="auto">
        <a:xfrm>
          <a:off x="123825" y="31146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13</xdr:row>
      <xdr:rowOff>47625</xdr:rowOff>
    </xdr:from>
    <xdr:to>
      <xdr:col>1</xdr:col>
      <xdr:colOff>76200</xdr:colOff>
      <xdr:row>13</xdr:row>
      <xdr:rowOff>104775</xdr:rowOff>
    </xdr:to>
    <xdr:sp macro="" textlink="">
      <xdr:nvSpPr>
        <xdr:cNvPr id="17" name="45 Elipse"/>
        <xdr:cNvSpPr>
          <a:spLocks noChangeArrowheads="1"/>
        </xdr:cNvSpPr>
      </xdr:nvSpPr>
      <xdr:spPr bwMode="auto">
        <a:xfrm>
          <a:off x="133350" y="25336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19</xdr:row>
      <xdr:rowOff>66675</xdr:rowOff>
    </xdr:from>
    <xdr:to>
      <xdr:col>1</xdr:col>
      <xdr:colOff>85725</xdr:colOff>
      <xdr:row>19</xdr:row>
      <xdr:rowOff>123825</xdr:rowOff>
    </xdr:to>
    <xdr:sp macro="" textlink="">
      <xdr:nvSpPr>
        <xdr:cNvPr id="18" name="52 Elipse"/>
        <xdr:cNvSpPr>
          <a:spLocks noChangeArrowheads="1"/>
        </xdr:cNvSpPr>
      </xdr:nvSpPr>
      <xdr:spPr bwMode="auto">
        <a:xfrm>
          <a:off x="142875" y="3695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36</xdr:row>
      <xdr:rowOff>76200</xdr:rowOff>
    </xdr:from>
    <xdr:to>
      <xdr:col>1</xdr:col>
      <xdr:colOff>76200</xdr:colOff>
      <xdr:row>36</xdr:row>
      <xdr:rowOff>133350</xdr:rowOff>
    </xdr:to>
    <xdr:sp macro="" textlink="">
      <xdr:nvSpPr>
        <xdr:cNvPr id="19" name="52 Elipse"/>
        <xdr:cNvSpPr>
          <a:spLocks noChangeArrowheads="1"/>
        </xdr:cNvSpPr>
      </xdr:nvSpPr>
      <xdr:spPr bwMode="auto">
        <a:xfrm>
          <a:off x="133350" y="59912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38</xdr:row>
      <xdr:rowOff>66675</xdr:rowOff>
    </xdr:from>
    <xdr:to>
      <xdr:col>1</xdr:col>
      <xdr:colOff>76200</xdr:colOff>
      <xdr:row>38</xdr:row>
      <xdr:rowOff>123825</xdr:rowOff>
    </xdr:to>
    <xdr:sp macro="" textlink="">
      <xdr:nvSpPr>
        <xdr:cNvPr id="20" name="52 Elipse"/>
        <xdr:cNvSpPr>
          <a:spLocks noChangeArrowheads="1"/>
        </xdr:cNvSpPr>
      </xdr:nvSpPr>
      <xdr:spPr bwMode="auto">
        <a:xfrm>
          <a:off x="133350" y="6362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24</xdr:row>
      <xdr:rowOff>66675</xdr:rowOff>
    </xdr:from>
    <xdr:to>
      <xdr:col>1</xdr:col>
      <xdr:colOff>76200</xdr:colOff>
      <xdr:row>24</xdr:row>
      <xdr:rowOff>123825</xdr:rowOff>
    </xdr:to>
    <xdr:sp macro="" textlink="">
      <xdr:nvSpPr>
        <xdr:cNvPr id="21" name="52 Elipse"/>
        <xdr:cNvSpPr>
          <a:spLocks noChangeArrowheads="1"/>
        </xdr:cNvSpPr>
      </xdr:nvSpPr>
      <xdr:spPr bwMode="auto">
        <a:xfrm>
          <a:off x="133350" y="46482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26</xdr:row>
      <xdr:rowOff>47625</xdr:rowOff>
    </xdr:from>
    <xdr:to>
      <xdr:col>1</xdr:col>
      <xdr:colOff>76200</xdr:colOff>
      <xdr:row>26</xdr:row>
      <xdr:rowOff>104775</xdr:rowOff>
    </xdr:to>
    <xdr:sp macro="" textlink="">
      <xdr:nvSpPr>
        <xdr:cNvPr id="22" name="52 Elipse"/>
        <xdr:cNvSpPr>
          <a:spLocks noChangeArrowheads="1"/>
        </xdr:cNvSpPr>
      </xdr:nvSpPr>
      <xdr:spPr bwMode="auto">
        <a:xfrm>
          <a:off x="133350" y="50101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23</xdr:row>
      <xdr:rowOff>85725</xdr:rowOff>
    </xdr:from>
    <xdr:to>
      <xdr:col>1</xdr:col>
      <xdr:colOff>76200</xdr:colOff>
      <xdr:row>23</xdr:row>
      <xdr:rowOff>142875</xdr:rowOff>
    </xdr:to>
    <xdr:sp macro="" textlink="">
      <xdr:nvSpPr>
        <xdr:cNvPr id="23" name="52 Elipse"/>
        <xdr:cNvSpPr>
          <a:spLocks noChangeArrowheads="1"/>
        </xdr:cNvSpPr>
      </xdr:nvSpPr>
      <xdr:spPr bwMode="auto">
        <a:xfrm>
          <a:off x="133350" y="44767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30</xdr:row>
      <xdr:rowOff>0</xdr:rowOff>
    </xdr:from>
    <xdr:to>
      <xdr:col>1</xdr:col>
      <xdr:colOff>76200</xdr:colOff>
      <xdr:row>30</xdr:row>
      <xdr:rowOff>57150</xdr:rowOff>
    </xdr:to>
    <xdr:sp macro="" textlink="">
      <xdr:nvSpPr>
        <xdr:cNvPr id="24" name="52 Elipse"/>
        <xdr:cNvSpPr>
          <a:spLocks noChangeArrowheads="1"/>
        </xdr:cNvSpPr>
      </xdr:nvSpPr>
      <xdr:spPr bwMode="auto">
        <a:xfrm>
          <a:off x="114300" y="60388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31</xdr:row>
      <xdr:rowOff>0</xdr:rowOff>
    </xdr:from>
    <xdr:to>
      <xdr:col>1</xdr:col>
      <xdr:colOff>76200</xdr:colOff>
      <xdr:row>31</xdr:row>
      <xdr:rowOff>57150</xdr:rowOff>
    </xdr:to>
    <xdr:sp macro="" textlink="">
      <xdr:nvSpPr>
        <xdr:cNvPr id="25" name="52 Elipse"/>
        <xdr:cNvSpPr>
          <a:spLocks noChangeArrowheads="1"/>
        </xdr:cNvSpPr>
      </xdr:nvSpPr>
      <xdr:spPr bwMode="auto">
        <a:xfrm>
          <a:off x="114300" y="62293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32</xdr:row>
      <xdr:rowOff>0</xdr:rowOff>
    </xdr:from>
    <xdr:to>
      <xdr:col>1</xdr:col>
      <xdr:colOff>76200</xdr:colOff>
      <xdr:row>32</xdr:row>
      <xdr:rowOff>57150</xdr:rowOff>
    </xdr:to>
    <xdr:sp macro="" textlink="">
      <xdr:nvSpPr>
        <xdr:cNvPr id="26" name="52 Elipse"/>
        <xdr:cNvSpPr>
          <a:spLocks noChangeArrowheads="1"/>
        </xdr:cNvSpPr>
      </xdr:nvSpPr>
      <xdr:spPr bwMode="auto">
        <a:xfrm>
          <a:off x="114300" y="64198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33</xdr:row>
      <xdr:rowOff>0</xdr:rowOff>
    </xdr:from>
    <xdr:to>
      <xdr:col>1</xdr:col>
      <xdr:colOff>76200</xdr:colOff>
      <xdr:row>33</xdr:row>
      <xdr:rowOff>57150</xdr:rowOff>
    </xdr:to>
    <xdr:sp macro="" textlink="">
      <xdr:nvSpPr>
        <xdr:cNvPr id="27" name="52 Elipse"/>
        <xdr:cNvSpPr>
          <a:spLocks noChangeArrowheads="1"/>
        </xdr:cNvSpPr>
      </xdr:nvSpPr>
      <xdr:spPr bwMode="auto">
        <a:xfrm>
          <a:off x="114300" y="6610350"/>
          <a:ext cx="76200" cy="57150"/>
        </a:xfrm>
        <a:prstGeom prst="ellipse">
          <a:avLst/>
        </a:prstGeom>
        <a:solidFill>
          <a:srgbClr val="FFFFFF"/>
        </a:solidFill>
        <a:ln w="9525" algn="ctr">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66675</xdr:rowOff>
    </xdr:from>
    <xdr:to>
      <xdr:col>5</xdr:col>
      <xdr:colOff>581025</xdr:colOff>
      <xdr:row>3</xdr:row>
      <xdr:rowOff>171450</xdr:rowOff>
    </xdr:to>
    <xdr:pic>
      <xdr:nvPicPr>
        <xdr:cNvPr id="2" name="Picture 87"/>
        <xdr:cNvPicPr>
          <a:picLocks noChangeAspect="1" noChangeArrowheads="1"/>
        </xdr:cNvPicPr>
      </xdr:nvPicPr>
      <xdr:blipFill>
        <a:blip xmlns:r="http://schemas.openxmlformats.org/officeDocument/2006/relationships" r:embed="rId1" cstate="print"/>
        <a:srcRect/>
        <a:stretch>
          <a:fillRect/>
        </a:stretch>
      </xdr:blipFill>
      <xdr:spPr bwMode="auto">
        <a:xfrm>
          <a:off x="0" y="66675"/>
          <a:ext cx="2552700" cy="676275"/>
        </a:xfrm>
        <a:prstGeom prst="rect">
          <a:avLst/>
        </a:prstGeom>
        <a:noFill/>
        <a:ln w="9525">
          <a:noFill/>
          <a:miter lim="800000"/>
          <a:headEnd/>
          <a:tailEnd/>
        </a:ln>
      </xdr:spPr>
    </xdr:pic>
    <xdr:clientData/>
  </xdr:twoCellAnchor>
  <xdr:twoCellAnchor>
    <xdr:from>
      <xdr:col>1</xdr:col>
      <xdr:colOff>0</xdr:colOff>
      <xdr:row>9</xdr:row>
      <xdr:rowOff>66675</xdr:rowOff>
    </xdr:from>
    <xdr:to>
      <xdr:col>1</xdr:col>
      <xdr:colOff>76200</xdr:colOff>
      <xdr:row>9</xdr:row>
      <xdr:rowOff>123825</xdr:rowOff>
    </xdr:to>
    <xdr:sp macro="" textlink="">
      <xdr:nvSpPr>
        <xdr:cNvPr id="3" name="33 Elipse"/>
        <xdr:cNvSpPr>
          <a:spLocks noChangeArrowheads="1"/>
        </xdr:cNvSpPr>
      </xdr:nvSpPr>
      <xdr:spPr bwMode="auto">
        <a:xfrm>
          <a:off x="114300" y="1790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11</xdr:row>
      <xdr:rowOff>57150</xdr:rowOff>
    </xdr:from>
    <xdr:to>
      <xdr:col>1</xdr:col>
      <xdr:colOff>76200</xdr:colOff>
      <xdr:row>11</xdr:row>
      <xdr:rowOff>114300</xdr:rowOff>
    </xdr:to>
    <xdr:sp macro="" textlink="">
      <xdr:nvSpPr>
        <xdr:cNvPr id="4" name="45 Elipse"/>
        <xdr:cNvSpPr>
          <a:spLocks noChangeArrowheads="1"/>
        </xdr:cNvSpPr>
      </xdr:nvSpPr>
      <xdr:spPr bwMode="auto">
        <a:xfrm>
          <a:off x="114300" y="21621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14</xdr:row>
      <xdr:rowOff>66675</xdr:rowOff>
    </xdr:from>
    <xdr:to>
      <xdr:col>1</xdr:col>
      <xdr:colOff>76200</xdr:colOff>
      <xdr:row>14</xdr:row>
      <xdr:rowOff>123825</xdr:rowOff>
    </xdr:to>
    <xdr:sp macro="" textlink="">
      <xdr:nvSpPr>
        <xdr:cNvPr id="5" name="33 Elipse"/>
        <xdr:cNvSpPr>
          <a:spLocks noChangeArrowheads="1"/>
        </xdr:cNvSpPr>
      </xdr:nvSpPr>
      <xdr:spPr bwMode="auto">
        <a:xfrm>
          <a:off x="114300" y="2743200"/>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16</xdr:row>
      <xdr:rowOff>57150</xdr:rowOff>
    </xdr:from>
    <xdr:to>
      <xdr:col>1</xdr:col>
      <xdr:colOff>66675</xdr:colOff>
      <xdr:row>16</xdr:row>
      <xdr:rowOff>114300</xdr:rowOff>
    </xdr:to>
    <xdr:sp macro="" textlink="">
      <xdr:nvSpPr>
        <xdr:cNvPr id="6" name="33 Elipse"/>
        <xdr:cNvSpPr>
          <a:spLocks noChangeArrowheads="1"/>
        </xdr:cNvSpPr>
      </xdr:nvSpPr>
      <xdr:spPr bwMode="auto">
        <a:xfrm>
          <a:off x="114300" y="3114675"/>
          <a:ext cx="66675"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8</xdr:row>
      <xdr:rowOff>57150</xdr:rowOff>
    </xdr:from>
    <xdr:to>
      <xdr:col>1</xdr:col>
      <xdr:colOff>76200</xdr:colOff>
      <xdr:row>8</xdr:row>
      <xdr:rowOff>114300</xdr:rowOff>
    </xdr:to>
    <xdr:sp macro="" textlink="">
      <xdr:nvSpPr>
        <xdr:cNvPr id="7" name="33 Elipse"/>
        <xdr:cNvSpPr>
          <a:spLocks noChangeArrowheads="1"/>
        </xdr:cNvSpPr>
      </xdr:nvSpPr>
      <xdr:spPr bwMode="auto">
        <a:xfrm>
          <a:off x="114300" y="15906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10</xdr:row>
      <xdr:rowOff>57150</xdr:rowOff>
    </xdr:from>
    <xdr:to>
      <xdr:col>1</xdr:col>
      <xdr:colOff>76200</xdr:colOff>
      <xdr:row>10</xdr:row>
      <xdr:rowOff>114300</xdr:rowOff>
    </xdr:to>
    <xdr:sp macro="" textlink="">
      <xdr:nvSpPr>
        <xdr:cNvPr id="8" name="33 Elipse"/>
        <xdr:cNvSpPr>
          <a:spLocks noChangeArrowheads="1"/>
        </xdr:cNvSpPr>
      </xdr:nvSpPr>
      <xdr:spPr bwMode="auto">
        <a:xfrm>
          <a:off x="114300" y="19716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28</xdr:row>
      <xdr:rowOff>57150</xdr:rowOff>
    </xdr:from>
    <xdr:to>
      <xdr:col>1</xdr:col>
      <xdr:colOff>76200</xdr:colOff>
      <xdr:row>28</xdr:row>
      <xdr:rowOff>114300</xdr:rowOff>
    </xdr:to>
    <xdr:sp macro="" textlink="">
      <xdr:nvSpPr>
        <xdr:cNvPr id="9" name="33 Elipse"/>
        <xdr:cNvSpPr>
          <a:spLocks noChangeArrowheads="1"/>
        </xdr:cNvSpPr>
      </xdr:nvSpPr>
      <xdr:spPr bwMode="auto">
        <a:xfrm>
          <a:off x="114300" y="54006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29</xdr:row>
      <xdr:rowOff>66675</xdr:rowOff>
    </xdr:from>
    <xdr:to>
      <xdr:col>1</xdr:col>
      <xdr:colOff>85725</xdr:colOff>
      <xdr:row>29</xdr:row>
      <xdr:rowOff>123825</xdr:rowOff>
    </xdr:to>
    <xdr:sp macro="" textlink="">
      <xdr:nvSpPr>
        <xdr:cNvPr id="10" name="33 Elipse"/>
        <xdr:cNvSpPr>
          <a:spLocks noChangeArrowheads="1"/>
        </xdr:cNvSpPr>
      </xdr:nvSpPr>
      <xdr:spPr bwMode="auto">
        <a:xfrm>
          <a:off x="123825" y="5600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13</xdr:row>
      <xdr:rowOff>47625</xdr:rowOff>
    </xdr:from>
    <xdr:to>
      <xdr:col>1</xdr:col>
      <xdr:colOff>76200</xdr:colOff>
      <xdr:row>13</xdr:row>
      <xdr:rowOff>104775</xdr:rowOff>
    </xdr:to>
    <xdr:sp macro="" textlink="">
      <xdr:nvSpPr>
        <xdr:cNvPr id="11" name="45 Elipse"/>
        <xdr:cNvSpPr>
          <a:spLocks noChangeArrowheads="1"/>
        </xdr:cNvSpPr>
      </xdr:nvSpPr>
      <xdr:spPr bwMode="auto">
        <a:xfrm>
          <a:off x="114300" y="25336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18</xdr:row>
      <xdr:rowOff>66675</xdr:rowOff>
    </xdr:from>
    <xdr:to>
      <xdr:col>1</xdr:col>
      <xdr:colOff>85725</xdr:colOff>
      <xdr:row>18</xdr:row>
      <xdr:rowOff>123825</xdr:rowOff>
    </xdr:to>
    <xdr:sp macro="" textlink="">
      <xdr:nvSpPr>
        <xdr:cNvPr id="12" name="52 Elipse"/>
        <xdr:cNvSpPr>
          <a:spLocks noChangeArrowheads="1"/>
        </xdr:cNvSpPr>
      </xdr:nvSpPr>
      <xdr:spPr bwMode="auto">
        <a:xfrm>
          <a:off x="123825" y="35052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9</xdr:row>
      <xdr:rowOff>66675</xdr:rowOff>
    </xdr:from>
    <xdr:to>
      <xdr:col>1</xdr:col>
      <xdr:colOff>76200</xdr:colOff>
      <xdr:row>9</xdr:row>
      <xdr:rowOff>123825</xdr:rowOff>
    </xdr:to>
    <xdr:sp macro="" textlink="">
      <xdr:nvSpPr>
        <xdr:cNvPr id="13" name="33 Elipse"/>
        <xdr:cNvSpPr>
          <a:spLocks noChangeArrowheads="1"/>
        </xdr:cNvSpPr>
      </xdr:nvSpPr>
      <xdr:spPr bwMode="auto">
        <a:xfrm>
          <a:off x="114300" y="1790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11</xdr:row>
      <xdr:rowOff>57150</xdr:rowOff>
    </xdr:from>
    <xdr:to>
      <xdr:col>1</xdr:col>
      <xdr:colOff>76200</xdr:colOff>
      <xdr:row>11</xdr:row>
      <xdr:rowOff>114300</xdr:rowOff>
    </xdr:to>
    <xdr:sp macro="" textlink="">
      <xdr:nvSpPr>
        <xdr:cNvPr id="14" name="45 Elipse"/>
        <xdr:cNvSpPr>
          <a:spLocks noChangeArrowheads="1"/>
        </xdr:cNvSpPr>
      </xdr:nvSpPr>
      <xdr:spPr bwMode="auto">
        <a:xfrm>
          <a:off x="114300" y="21621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14</xdr:row>
      <xdr:rowOff>66675</xdr:rowOff>
    </xdr:from>
    <xdr:to>
      <xdr:col>1</xdr:col>
      <xdr:colOff>76200</xdr:colOff>
      <xdr:row>14</xdr:row>
      <xdr:rowOff>123825</xdr:rowOff>
    </xdr:to>
    <xdr:sp macro="" textlink="">
      <xdr:nvSpPr>
        <xdr:cNvPr id="15" name="33 Elipse"/>
        <xdr:cNvSpPr>
          <a:spLocks noChangeArrowheads="1"/>
        </xdr:cNvSpPr>
      </xdr:nvSpPr>
      <xdr:spPr bwMode="auto">
        <a:xfrm>
          <a:off x="114300" y="2743200"/>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16</xdr:row>
      <xdr:rowOff>57150</xdr:rowOff>
    </xdr:from>
    <xdr:to>
      <xdr:col>1</xdr:col>
      <xdr:colOff>66675</xdr:colOff>
      <xdr:row>16</xdr:row>
      <xdr:rowOff>114300</xdr:rowOff>
    </xdr:to>
    <xdr:sp macro="" textlink="">
      <xdr:nvSpPr>
        <xdr:cNvPr id="16" name="33 Elipse"/>
        <xdr:cNvSpPr>
          <a:spLocks noChangeArrowheads="1"/>
        </xdr:cNvSpPr>
      </xdr:nvSpPr>
      <xdr:spPr bwMode="auto">
        <a:xfrm>
          <a:off x="114300" y="3114675"/>
          <a:ext cx="66675"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13</xdr:row>
      <xdr:rowOff>47625</xdr:rowOff>
    </xdr:from>
    <xdr:to>
      <xdr:col>1</xdr:col>
      <xdr:colOff>76200</xdr:colOff>
      <xdr:row>13</xdr:row>
      <xdr:rowOff>104775</xdr:rowOff>
    </xdr:to>
    <xdr:sp macro="" textlink="">
      <xdr:nvSpPr>
        <xdr:cNvPr id="17" name="45 Elipse"/>
        <xdr:cNvSpPr>
          <a:spLocks noChangeArrowheads="1"/>
        </xdr:cNvSpPr>
      </xdr:nvSpPr>
      <xdr:spPr bwMode="auto">
        <a:xfrm>
          <a:off x="114300" y="25336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19</xdr:row>
      <xdr:rowOff>66675</xdr:rowOff>
    </xdr:from>
    <xdr:to>
      <xdr:col>1</xdr:col>
      <xdr:colOff>85725</xdr:colOff>
      <xdr:row>19</xdr:row>
      <xdr:rowOff>123825</xdr:rowOff>
    </xdr:to>
    <xdr:sp macro="" textlink="">
      <xdr:nvSpPr>
        <xdr:cNvPr id="18" name="52 Elipse"/>
        <xdr:cNvSpPr>
          <a:spLocks noChangeArrowheads="1"/>
        </xdr:cNvSpPr>
      </xdr:nvSpPr>
      <xdr:spPr bwMode="auto">
        <a:xfrm>
          <a:off x="123825" y="3695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40</xdr:row>
      <xdr:rowOff>76200</xdr:rowOff>
    </xdr:from>
    <xdr:to>
      <xdr:col>1</xdr:col>
      <xdr:colOff>76200</xdr:colOff>
      <xdr:row>40</xdr:row>
      <xdr:rowOff>133350</xdr:rowOff>
    </xdr:to>
    <xdr:sp macro="" textlink="">
      <xdr:nvSpPr>
        <xdr:cNvPr id="19" name="52 Elipse"/>
        <xdr:cNvSpPr>
          <a:spLocks noChangeArrowheads="1"/>
        </xdr:cNvSpPr>
      </xdr:nvSpPr>
      <xdr:spPr bwMode="auto">
        <a:xfrm>
          <a:off x="114300" y="67532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42</xdr:row>
      <xdr:rowOff>66675</xdr:rowOff>
    </xdr:from>
    <xdr:to>
      <xdr:col>1</xdr:col>
      <xdr:colOff>76200</xdr:colOff>
      <xdr:row>42</xdr:row>
      <xdr:rowOff>123825</xdr:rowOff>
    </xdr:to>
    <xdr:sp macro="" textlink="">
      <xdr:nvSpPr>
        <xdr:cNvPr id="20" name="52 Elipse"/>
        <xdr:cNvSpPr>
          <a:spLocks noChangeArrowheads="1"/>
        </xdr:cNvSpPr>
      </xdr:nvSpPr>
      <xdr:spPr bwMode="auto">
        <a:xfrm>
          <a:off x="114300" y="7124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25</xdr:row>
      <xdr:rowOff>66675</xdr:rowOff>
    </xdr:from>
    <xdr:to>
      <xdr:col>1</xdr:col>
      <xdr:colOff>76200</xdr:colOff>
      <xdr:row>25</xdr:row>
      <xdr:rowOff>123825</xdr:rowOff>
    </xdr:to>
    <xdr:sp macro="" textlink="">
      <xdr:nvSpPr>
        <xdr:cNvPr id="21" name="52 Elipse"/>
        <xdr:cNvSpPr>
          <a:spLocks noChangeArrowheads="1"/>
        </xdr:cNvSpPr>
      </xdr:nvSpPr>
      <xdr:spPr bwMode="auto">
        <a:xfrm>
          <a:off x="114300" y="4838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27</xdr:row>
      <xdr:rowOff>47625</xdr:rowOff>
    </xdr:from>
    <xdr:to>
      <xdr:col>1</xdr:col>
      <xdr:colOff>76200</xdr:colOff>
      <xdr:row>27</xdr:row>
      <xdr:rowOff>104775</xdr:rowOff>
    </xdr:to>
    <xdr:sp macro="" textlink="">
      <xdr:nvSpPr>
        <xdr:cNvPr id="22" name="52 Elipse"/>
        <xdr:cNvSpPr>
          <a:spLocks noChangeArrowheads="1"/>
        </xdr:cNvSpPr>
      </xdr:nvSpPr>
      <xdr:spPr bwMode="auto">
        <a:xfrm>
          <a:off x="114300" y="52006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24</xdr:row>
      <xdr:rowOff>76200</xdr:rowOff>
    </xdr:from>
    <xdr:to>
      <xdr:col>1</xdr:col>
      <xdr:colOff>76200</xdr:colOff>
      <xdr:row>24</xdr:row>
      <xdr:rowOff>133350</xdr:rowOff>
    </xdr:to>
    <xdr:sp macro="" textlink="">
      <xdr:nvSpPr>
        <xdr:cNvPr id="23" name="52 Elipse"/>
        <xdr:cNvSpPr>
          <a:spLocks noChangeArrowheads="1"/>
        </xdr:cNvSpPr>
      </xdr:nvSpPr>
      <xdr:spPr bwMode="auto">
        <a:xfrm>
          <a:off x="114300" y="46577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30</xdr:row>
      <xdr:rowOff>76200</xdr:rowOff>
    </xdr:from>
    <xdr:to>
      <xdr:col>1</xdr:col>
      <xdr:colOff>76200</xdr:colOff>
      <xdr:row>30</xdr:row>
      <xdr:rowOff>133350</xdr:rowOff>
    </xdr:to>
    <xdr:sp macro="" textlink="">
      <xdr:nvSpPr>
        <xdr:cNvPr id="24" name="33 Elipse"/>
        <xdr:cNvSpPr>
          <a:spLocks noChangeArrowheads="1"/>
        </xdr:cNvSpPr>
      </xdr:nvSpPr>
      <xdr:spPr bwMode="auto">
        <a:xfrm>
          <a:off x="114300" y="58007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31</xdr:row>
      <xdr:rowOff>66675</xdr:rowOff>
    </xdr:from>
    <xdr:to>
      <xdr:col>1</xdr:col>
      <xdr:colOff>76200</xdr:colOff>
      <xdr:row>31</xdr:row>
      <xdr:rowOff>123825</xdr:rowOff>
    </xdr:to>
    <xdr:sp macro="" textlink="">
      <xdr:nvSpPr>
        <xdr:cNvPr id="25" name="33 Elipse"/>
        <xdr:cNvSpPr>
          <a:spLocks noChangeArrowheads="1"/>
        </xdr:cNvSpPr>
      </xdr:nvSpPr>
      <xdr:spPr bwMode="auto">
        <a:xfrm>
          <a:off x="114300" y="5981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19050</xdr:colOff>
      <xdr:row>20</xdr:row>
      <xdr:rowOff>66675</xdr:rowOff>
    </xdr:from>
    <xdr:to>
      <xdr:col>1</xdr:col>
      <xdr:colOff>95250</xdr:colOff>
      <xdr:row>20</xdr:row>
      <xdr:rowOff>123825</xdr:rowOff>
    </xdr:to>
    <xdr:sp macro="" textlink="">
      <xdr:nvSpPr>
        <xdr:cNvPr id="26" name="52 Elipse"/>
        <xdr:cNvSpPr>
          <a:spLocks noChangeArrowheads="1"/>
        </xdr:cNvSpPr>
      </xdr:nvSpPr>
      <xdr:spPr bwMode="auto">
        <a:xfrm>
          <a:off x="133350" y="38862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34</xdr:row>
      <xdr:rowOff>0</xdr:rowOff>
    </xdr:from>
    <xdr:to>
      <xdr:col>1</xdr:col>
      <xdr:colOff>76200</xdr:colOff>
      <xdr:row>34</xdr:row>
      <xdr:rowOff>57150</xdr:rowOff>
    </xdr:to>
    <xdr:sp macro="" textlink="">
      <xdr:nvSpPr>
        <xdr:cNvPr id="27" name="52 Elipse"/>
        <xdr:cNvSpPr>
          <a:spLocks noChangeArrowheads="1"/>
        </xdr:cNvSpPr>
      </xdr:nvSpPr>
      <xdr:spPr bwMode="auto">
        <a:xfrm>
          <a:off x="114300" y="57245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35</xdr:row>
      <xdr:rowOff>0</xdr:rowOff>
    </xdr:from>
    <xdr:to>
      <xdr:col>1</xdr:col>
      <xdr:colOff>76200</xdr:colOff>
      <xdr:row>35</xdr:row>
      <xdr:rowOff>57150</xdr:rowOff>
    </xdr:to>
    <xdr:sp macro="" textlink="">
      <xdr:nvSpPr>
        <xdr:cNvPr id="28" name="52 Elipse"/>
        <xdr:cNvSpPr>
          <a:spLocks noChangeArrowheads="1"/>
        </xdr:cNvSpPr>
      </xdr:nvSpPr>
      <xdr:spPr bwMode="auto">
        <a:xfrm>
          <a:off x="114300" y="59150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36</xdr:row>
      <xdr:rowOff>0</xdr:rowOff>
    </xdr:from>
    <xdr:to>
      <xdr:col>1</xdr:col>
      <xdr:colOff>76200</xdr:colOff>
      <xdr:row>36</xdr:row>
      <xdr:rowOff>57150</xdr:rowOff>
    </xdr:to>
    <xdr:sp macro="" textlink="">
      <xdr:nvSpPr>
        <xdr:cNvPr id="29" name="52 Elipse"/>
        <xdr:cNvSpPr>
          <a:spLocks noChangeArrowheads="1"/>
        </xdr:cNvSpPr>
      </xdr:nvSpPr>
      <xdr:spPr bwMode="auto">
        <a:xfrm>
          <a:off x="114300" y="61055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37</xdr:row>
      <xdr:rowOff>0</xdr:rowOff>
    </xdr:from>
    <xdr:to>
      <xdr:col>1</xdr:col>
      <xdr:colOff>76200</xdr:colOff>
      <xdr:row>37</xdr:row>
      <xdr:rowOff>57150</xdr:rowOff>
    </xdr:to>
    <xdr:sp macro="" textlink="">
      <xdr:nvSpPr>
        <xdr:cNvPr id="30" name="52 Elipse"/>
        <xdr:cNvSpPr>
          <a:spLocks noChangeArrowheads="1"/>
        </xdr:cNvSpPr>
      </xdr:nvSpPr>
      <xdr:spPr bwMode="auto">
        <a:xfrm>
          <a:off x="114300" y="6296025"/>
          <a:ext cx="76200" cy="57150"/>
        </a:xfrm>
        <a:prstGeom prst="ellipse">
          <a:avLst/>
        </a:prstGeom>
        <a:solidFill>
          <a:srgbClr val="FFFFFF"/>
        </a:solidFill>
        <a:ln w="9525" algn="ctr">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571500</xdr:colOff>
      <xdr:row>30</xdr:row>
      <xdr:rowOff>38100</xdr:rowOff>
    </xdr:from>
    <xdr:to>
      <xdr:col>1</xdr:col>
      <xdr:colOff>704850</xdr:colOff>
      <xdr:row>30</xdr:row>
      <xdr:rowOff>152400</xdr:rowOff>
    </xdr:to>
    <xdr:sp macro="" textlink="">
      <xdr:nvSpPr>
        <xdr:cNvPr id="2" name="1 Rectángulo"/>
        <xdr:cNvSpPr/>
      </xdr:nvSpPr>
      <xdr:spPr>
        <a:xfrm>
          <a:off x="1333500" y="6076950"/>
          <a:ext cx="133350" cy="1143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PA" sz="1100"/>
        </a:p>
      </xdr:txBody>
    </xdr:sp>
    <xdr:clientData/>
  </xdr:twoCellAnchor>
  <xdr:twoCellAnchor>
    <xdr:from>
      <xdr:col>1</xdr:col>
      <xdr:colOff>571500</xdr:colOff>
      <xdr:row>31</xdr:row>
      <xdr:rowOff>38100</xdr:rowOff>
    </xdr:from>
    <xdr:to>
      <xdr:col>1</xdr:col>
      <xdr:colOff>704850</xdr:colOff>
      <xdr:row>31</xdr:row>
      <xdr:rowOff>152400</xdr:rowOff>
    </xdr:to>
    <xdr:sp macro="" textlink="">
      <xdr:nvSpPr>
        <xdr:cNvPr id="3" name="2 Rectángulo"/>
        <xdr:cNvSpPr/>
      </xdr:nvSpPr>
      <xdr:spPr>
        <a:xfrm>
          <a:off x="1333500" y="6267450"/>
          <a:ext cx="133350" cy="1143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PA" sz="1100"/>
        </a:p>
      </xdr:txBody>
    </xdr:sp>
    <xdr:clientData/>
  </xdr:twoCellAnchor>
  <xdr:twoCellAnchor>
    <xdr:from>
      <xdr:col>1</xdr:col>
      <xdr:colOff>571500</xdr:colOff>
      <xdr:row>32</xdr:row>
      <xdr:rowOff>38100</xdr:rowOff>
    </xdr:from>
    <xdr:to>
      <xdr:col>1</xdr:col>
      <xdr:colOff>704850</xdr:colOff>
      <xdr:row>32</xdr:row>
      <xdr:rowOff>152400</xdr:rowOff>
    </xdr:to>
    <xdr:sp macro="" textlink="">
      <xdr:nvSpPr>
        <xdr:cNvPr id="4" name="3 Rectángulo"/>
        <xdr:cNvSpPr/>
      </xdr:nvSpPr>
      <xdr:spPr>
        <a:xfrm>
          <a:off x="1333500" y="6457950"/>
          <a:ext cx="133350" cy="1143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PA" sz="1100"/>
        </a:p>
      </xdr:txBody>
    </xdr:sp>
    <xdr:clientData/>
  </xdr:twoCellAnchor>
  <xdr:twoCellAnchor>
    <xdr:from>
      <xdr:col>1</xdr:col>
      <xdr:colOff>571500</xdr:colOff>
      <xdr:row>33</xdr:row>
      <xdr:rowOff>38100</xdr:rowOff>
    </xdr:from>
    <xdr:to>
      <xdr:col>1</xdr:col>
      <xdr:colOff>704850</xdr:colOff>
      <xdr:row>33</xdr:row>
      <xdr:rowOff>152400</xdr:rowOff>
    </xdr:to>
    <xdr:sp macro="" textlink="">
      <xdr:nvSpPr>
        <xdr:cNvPr id="5" name="4 Rectángulo"/>
        <xdr:cNvSpPr/>
      </xdr:nvSpPr>
      <xdr:spPr>
        <a:xfrm>
          <a:off x="1333500" y="6648450"/>
          <a:ext cx="133350" cy="1143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PA" sz="1100"/>
        </a:p>
      </xdr:txBody>
    </xdr:sp>
    <xdr:clientData/>
  </xdr:twoCellAnchor>
  <xdr:twoCellAnchor>
    <xdr:from>
      <xdr:col>1</xdr:col>
      <xdr:colOff>571500</xdr:colOff>
      <xdr:row>37</xdr:row>
      <xdr:rowOff>76200</xdr:rowOff>
    </xdr:from>
    <xdr:to>
      <xdr:col>1</xdr:col>
      <xdr:colOff>704850</xdr:colOff>
      <xdr:row>38</xdr:row>
      <xdr:rowOff>0</xdr:rowOff>
    </xdr:to>
    <xdr:sp macro="" textlink="">
      <xdr:nvSpPr>
        <xdr:cNvPr id="6" name="5 Rectángulo"/>
        <xdr:cNvSpPr/>
      </xdr:nvSpPr>
      <xdr:spPr>
        <a:xfrm>
          <a:off x="1333500" y="7448550"/>
          <a:ext cx="133350" cy="1143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PA" sz="1100"/>
        </a:p>
      </xdr:txBody>
    </xdr:sp>
    <xdr:clientData/>
  </xdr:twoCellAnchor>
  <xdr:twoCellAnchor>
    <xdr:from>
      <xdr:col>1</xdr:col>
      <xdr:colOff>571500</xdr:colOff>
      <xdr:row>36</xdr:row>
      <xdr:rowOff>66675</xdr:rowOff>
    </xdr:from>
    <xdr:to>
      <xdr:col>1</xdr:col>
      <xdr:colOff>704850</xdr:colOff>
      <xdr:row>36</xdr:row>
      <xdr:rowOff>180975</xdr:rowOff>
    </xdr:to>
    <xdr:sp macro="" textlink="">
      <xdr:nvSpPr>
        <xdr:cNvPr id="7" name="6 Rectángulo"/>
        <xdr:cNvSpPr/>
      </xdr:nvSpPr>
      <xdr:spPr>
        <a:xfrm>
          <a:off x="1333500" y="7248525"/>
          <a:ext cx="133350" cy="1143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PA" sz="1100"/>
        </a:p>
      </xdr:txBody>
    </xdr:sp>
    <xdr:clientData/>
  </xdr:twoCellAnchor>
  <xdr:twoCellAnchor>
    <xdr:from>
      <xdr:col>1</xdr:col>
      <xdr:colOff>571500</xdr:colOff>
      <xdr:row>35</xdr:row>
      <xdr:rowOff>47625</xdr:rowOff>
    </xdr:from>
    <xdr:to>
      <xdr:col>1</xdr:col>
      <xdr:colOff>704850</xdr:colOff>
      <xdr:row>35</xdr:row>
      <xdr:rowOff>161925</xdr:rowOff>
    </xdr:to>
    <xdr:sp macro="" textlink="">
      <xdr:nvSpPr>
        <xdr:cNvPr id="8" name="7 Rectángulo"/>
        <xdr:cNvSpPr/>
      </xdr:nvSpPr>
      <xdr:spPr>
        <a:xfrm>
          <a:off x="1333500" y="7038975"/>
          <a:ext cx="133350" cy="1143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PA" sz="1100"/>
        </a:p>
      </xdr:txBody>
    </xdr:sp>
    <xdr:clientData/>
  </xdr:twoCellAnchor>
  <xdr:twoCellAnchor>
    <xdr:from>
      <xdr:col>1</xdr:col>
      <xdr:colOff>571500</xdr:colOff>
      <xdr:row>34</xdr:row>
      <xdr:rowOff>38100</xdr:rowOff>
    </xdr:from>
    <xdr:to>
      <xdr:col>1</xdr:col>
      <xdr:colOff>704850</xdr:colOff>
      <xdr:row>34</xdr:row>
      <xdr:rowOff>152400</xdr:rowOff>
    </xdr:to>
    <xdr:sp macro="" textlink="">
      <xdr:nvSpPr>
        <xdr:cNvPr id="9" name="8 Rectángulo"/>
        <xdr:cNvSpPr/>
      </xdr:nvSpPr>
      <xdr:spPr>
        <a:xfrm>
          <a:off x="1333500" y="6838950"/>
          <a:ext cx="133350" cy="1143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PA" sz="1100"/>
        </a:p>
      </xdr:txBody>
    </xdr:sp>
    <xdr:clientData/>
  </xdr:twoCellAnchor>
  <xdr:twoCellAnchor>
    <xdr:from>
      <xdr:col>1</xdr:col>
      <xdr:colOff>571500</xdr:colOff>
      <xdr:row>38</xdr:row>
      <xdr:rowOff>76200</xdr:rowOff>
    </xdr:from>
    <xdr:to>
      <xdr:col>1</xdr:col>
      <xdr:colOff>704850</xdr:colOff>
      <xdr:row>39</xdr:row>
      <xdr:rowOff>0</xdr:rowOff>
    </xdr:to>
    <xdr:sp macro="" textlink="">
      <xdr:nvSpPr>
        <xdr:cNvPr id="10" name="9 Rectángulo"/>
        <xdr:cNvSpPr/>
      </xdr:nvSpPr>
      <xdr:spPr>
        <a:xfrm>
          <a:off x="1333500" y="7639050"/>
          <a:ext cx="133350" cy="1143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PA" sz="1100"/>
        </a:p>
      </xdr:txBody>
    </xdr:sp>
    <xdr:clientData/>
  </xdr:twoCellAnchor>
  <xdr:twoCellAnchor>
    <xdr:from>
      <xdr:col>1</xdr:col>
      <xdr:colOff>571500</xdr:colOff>
      <xdr:row>39</xdr:row>
      <xdr:rowOff>57150</xdr:rowOff>
    </xdr:from>
    <xdr:to>
      <xdr:col>1</xdr:col>
      <xdr:colOff>704850</xdr:colOff>
      <xdr:row>39</xdr:row>
      <xdr:rowOff>171450</xdr:rowOff>
    </xdr:to>
    <xdr:sp macro="" textlink="">
      <xdr:nvSpPr>
        <xdr:cNvPr id="11" name="10 Rectángulo"/>
        <xdr:cNvSpPr/>
      </xdr:nvSpPr>
      <xdr:spPr>
        <a:xfrm>
          <a:off x="1333500" y="7810500"/>
          <a:ext cx="133350" cy="1143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PA" sz="1100"/>
        </a:p>
      </xdr:txBody>
    </xdr:sp>
    <xdr:clientData/>
  </xdr:twoCellAnchor>
  <xdr:twoCellAnchor>
    <xdr:from>
      <xdr:col>1</xdr:col>
      <xdr:colOff>581025</xdr:colOff>
      <xdr:row>40</xdr:row>
      <xdr:rowOff>57150</xdr:rowOff>
    </xdr:from>
    <xdr:to>
      <xdr:col>1</xdr:col>
      <xdr:colOff>714375</xdr:colOff>
      <xdr:row>40</xdr:row>
      <xdr:rowOff>171450</xdr:rowOff>
    </xdr:to>
    <xdr:sp macro="" textlink="">
      <xdr:nvSpPr>
        <xdr:cNvPr id="12" name="11 Rectángulo"/>
        <xdr:cNvSpPr/>
      </xdr:nvSpPr>
      <xdr:spPr>
        <a:xfrm>
          <a:off x="1343025" y="8001000"/>
          <a:ext cx="133350" cy="1143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PA" sz="1100"/>
        </a:p>
      </xdr:txBody>
    </xdr:sp>
    <xdr:clientData/>
  </xdr:twoCellAnchor>
  <xdr:twoCellAnchor>
    <xdr:from>
      <xdr:col>1</xdr:col>
      <xdr:colOff>581025</xdr:colOff>
      <xdr:row>41</xdr:row>
      <xdr:rowOff>38100</xdr:rowOff>
    </xdr:from>
    <xdr:to>
      <xdr:col>1</xdr:col>
      <xdr:colOff>714375</xdr:colOff>
      <xdr:row>41</xdr:row>
      <xdr:rowOff>152400</xdr:rowOff>
    </xdr:to>
    <xdr:sp macro="" textlink="">
      <xdr:nvSpPr>
        <xdr:cNvPr id="13" name="12 Rectángulo"/>
        <xdr:cNvSpPr/>
      </xdr:nvSpPr>
      <xdr:spPr>
        <a:xfrm>
          <a:off x="1343025" y="8172450"/>
          <a:ext cx="133350" cy="1143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PA" sz="1100"/>
        </a:p>
      </xdr:txBody>
    </xdr:sp>
    <xdr:clientData/>
  </xdr:twoCellAnchor>
  <xdr:twoCellAnchor>
    <xdr:from>
      <xdr:col>1</xdr:col>
      <xdr:colOff>581025</xdr:colOff>
      <xdr:row>42</xdr:row>
      <xdr:rowOff>28575</xdr:rowOff>
    </xdr:from>
    <xdr:to>
      <xdr:col>1</xdr:col>
      <xdr:colOff>714375</xdr:colOff>
      <xdr:row>42</xdr:row>
      <xdr:rowOff>142875</xdr:rowOff>
    </xdr:to>
    <xdr:sp macro="" textlink="">
      <xdr:nvSpPr>
        <xdr:cNvPr id="14" name="13 Rectángulo"/>
        <xdr:cNvSpPr/>
      </xdr:nvSpPr>
      <xdr:spPr>
        <a:xfrm>
          <a:off x="1343025" y="8353425"/>
          <a:ext cx="133350" cy="1143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PA"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48682</xdr:colOff>
      <xdr:row>0</xdr:row>
      <xdr:rowOff>61384</xdr:rowOff>
    </xdr:from>
    <xdr:to>
      <xdr:col>2</xdr:col>
      <xdr:colOff>581191</xdr:colOff>
      <xdr:row>3</xdr:row>
      <xdr:rowOff>78071</xdr:rowOff>
    </xdr:to>
    <xdr:pic>
      <xdr:nvPicPr>
        <xdr:cNvPr id="2" name="webImgShrinked" descr="Imagen">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84401" y="61384"/>
          <a:ext cx="2223197" cy="61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2</xdr:col>
          <xdr:colOff>1152525</xdr:colOff>
          <xdr:row>78</xdr:row>
          <xdr:rowOff>0</xdr:rowOff>
        </xdr:from>
        <xdr:to>
          <xdr:col>3</xdr:col>
          <xdr:colOff>133350</xdr:colOff>
          <xdr:row>79</xdr:row>
          <xdr:rowOff>28575</xdr:rowOff>
        </xdr:to>
        <xdr:sp macro="" textlink="">
          <xdr:nvSpPr>
            <xdr:cNvPr id="1155" name="Check Box 131" hidden="1">
              <a:extLst>
                <a:ext uri="{63B3BB69-23CF-44E3-9099-C40C66FF867C}">
                  <a14:compatExt spid="_x0000_s1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323850</xdr:colOff>
          <xdr:row>78</xdr:row>
          <xdr:rowOff>0</xdr:rowOff>
        </xdr:from>
        <xdr:to>
          <xdr:col>5</xdr:col>
          <xdr:colOff>628650</xdr:colOff>
          <xdr:row>79</xdr:row>
          <xdr:rowOff>28575</xdr:rowOff>
        </xdr:to>
        <xdr:sp macro="" textlink="">
          <xdr:nvSpPr>
            <xdr:cNvPr id="1156" name="Check Box 132" hidden="1">
              <a:extLst>
                <a:ext uri="{63B3BB69-23CF-44E3-9099-C40C66FF867C}">
                  <a14:compatExt spid="_x0000_s1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704850</xdr:colOff>
          <xdr:row>78</xdr:row>
          <xdr:rowOff>0</xdr:rowOff>
        </xdr:from>
        <xdr:to>
          <xdr:col>6</xdr:col>
          <xdr:colOff>1009650</xdr:colOff>
          <xdr:row>79</xdr:row>
          <xdr:rowOff>28575</xdr:rowOff>
        </xdr:to>
        <xdr:sp macro="" textlink="">
          <xdr:nvSpPr>
            <xdr:cNvPr id="1157" name="Check Box 133" hidden="1">
              <a:extLst>
                <a:ext uri="{63B3BB69-23CF-44E3-9099-C40C66FF867C}">
                  <a14:compatExt spid="_x0000_s1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933450</xdr:colOff>
          <xdr:row>78</xdr:row>
          <xdr:rowOff>0</xdr:rowOff>
        </xdr:from>
        <xdr:to>
          <xdr:col>7</xdr:col>
          <xdr:colOff>1247775</xdr:colOff>
          <xdr:row>79</xdr:row>
          <xdr:rowOff>28575</xdr:rowOff>
        </xdr:to>
        <xdr:sp macro="" textlink="">
          <xdr:nvSpPr>
            <xdr:cNvPr id="1158" name="Check Box 134" hidden="1">
              <a:extLst>
                <a:ext uri="{63B3BB69-23CF-44E3-9099-C40C66FF867C}">
                  <a14:compatExt spid="_x0000_s1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48</xdr:row>
          <xdr:rowOff>238125</xdr:rowOff>
        </xdr:from>
        <xdr:to>
          <xdr:col>3</xdr:col>
          <xdr:colOff>1314450</xdr:colOff>
          <xdr:row>50</xdr:row>
          <xdr:rowOff>0</xdr:rowOff>
        </xdr:to>
        <xdr:sp macro="" textlink="">
          <xdr:nvSpPr>
            <xdr:cNvPr id="1202" name="Check Box 178" hidden="1">
              <a:extLst>
                <a:ext uri="{63B3BB69-23CF-44E3-9099-C40C66FF867C}">
                  <a14:compatExt spid="_x0000_s1202"/>
                </a:ext>
              </a:extLst>
            </xdr:cNvPr>
            <xdr:cNvSpPr/>
          </xdr:nvSpPr>
          <xdr:spPr bwMode="auto">
            <a:xfrm>
              <a:off x="0" y="0"/>
              <a:ext cx="0" cy="0"/>
            </a:xfrm>
            <a:prstGeom prst="rect">
              <a:avLst/>
            </a:prstGeom>
            <a:solidFill>
              <a:srgbClr val="B0C4F2">
                <a:alpha val="86000"/>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Endosa</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50</xdr:row>
          <xdr:rowOff>38100</xdr:rowOff>
        </xdr:from>
        <xdr:to>
          <xdr:col>3</xdr:col>
          <xdr:colOff>1314450</xdr:colOff>
          <xdr:row>51</xdr:row>
          <xdr:rowOff>9525</xdr:rowOff>
        </xdr:to>
        <xdr:sp macro="" textlink="">
          <xdr:nvSpPr>
            <xdr:cNvPr id="1205" name="Check Box 181" hidden="1">
              <a:extLst>
                <a:ext uri="{63B3BB69-23CF-44E3-9099-C40C66FF867C}">
                  <a14:compatExt spid="_x0000_s1205"/>
                </a:ext>
              </a:extLst>
            </xdr:cNvPr>
            <xdr:cNvSpPr/>
          </xdr:nvSpPr>
          <xdr:spPr bwMode="auto">
            <a:xfrm>
              <a:off x="0" y="0"/>
              <a:ext cx="0" cy="0"/>
            </a:xfrm>
            <a:prstGeom prst="rect">
              <a:avLst/>
            </a:prstGeom>
            <a:solidFill>
              <a:srgbClr val="B0C4F2">
                <a:alpha val="50999"/>
              </a:srgbClr>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Endosa</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1152525</xdr:colOff>
          <xdr:row>74</xdr:row>
          <xdr:rowOff>9525</xdr:rowOff>
        </xdr:from>
        <xdr:to>
          <xdr:col>3</xdr:col>
          <xdr:colOff>133350</xdr:colOff>
          <xdr:row>75</xdr:row>
          <xdr:rowOff>38100</xdr:rowOff>
        </xdr:to>
        <xdr:sp macro="" textlink="">
          <xdr:nvSpPr>
            <xdr:cNvPr id="1206" name="Check Box 182" hidden="1">
              <a:extLst>
                <a:ext uri="{63B3BB69-23CF-44E3-9099-C40C66FF867C}">
                  <a14:compatExt spid="_x0000_s1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323850</xdr:colOff>
          <xdr:row>74</xdr:row>
          <xdr:rowOff>0</xdr:rowOff>
        </xdr:from>
        <xdr:to>
          <xdr:col>5</xdr:col>
          <xdr:colOff>628650</xdr:colOff>
          <xdr:row>75</xdr:row>
          <xdr:rowOff>28575</xdr:rowOff>
        </xdr:to>
        <xdr:sp macro="" textlink="">
          <xdr:nvSpPr>
            <xdr:cNvPr id="1207" name="Check Box 183" hidden="1">
              <a:extLst>
                <a:ext uri="{63B3BB69-23CF-44E3-9099-C40C66FF867C}">
                  <a14:compatExt spid="_x0000_s1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704850</xdr:colOff>
          <xdr:row>74</xdr:row>
          <xdr:rowOff>0</xdr:rowOff>
        </xdr:from>
        <xdr:to>
          <xdr:col>6</xdr:col>
          <xdr:colOff>1009650</xdr:colOff>
          <xdr:row>75</xdr:row>
          <xdr:rowOff>28575</xdr:rowOff>
        </xdr:to>
        <xdr:sp macro="" textlink="">
          <xdr:nvSpPr>
            <xdr:cNvPr id="1208" name="Check Box 184" hidden="1">
              <a:extLst>
                <a:ext uri="{63B3BB69-23CF-44E3-9099-C40C66FF867C}">
                  <a14:compatExt spid="_x0000_s1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933450</xdr:colOff>
          <xdr:row>74</xdr:row>
          <xdr:rowOff>0</xdr:rowOff>
        </xdr:from>
        <xdr:to>
          <xdr:col>7</xdr:col>
          <xdr:colOff>1247775</xdr:colOff>
          <xdr:row>75</xdr:row>
          <xdr:rowOff>28575</xdr:rowOff>
        </xdr:to>
        <xdr:sp macro="" textlink="">
          <xdr:nvSpPr>
            <xdr:cNvPr id="1209" name="Check Box 185" hidden="1">
              <a:extLst>
                <a:ext uri="{63B3BB69-23CF-44E3-9099-C40C66FF867C}">
                  <a14:compatExt spid="_x0000_s1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581025</xdr:colOff>
      <xdr:row>3</xdr:row>
      <xdr:rowOff>38100</xdr:rowOff>
    </xdr:to>
    <xdr:pic>
      <xdr:nvPicPr>
        <xdr:cNvPr id="2" name="Picture 87"/>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428875" cy="609600"/>
        </a:xfrm>
        <a:prstGeom prst="rect">
          <a:avLst/>
        </a:prstGeom>
        <a:noFill/>
        <a:ln w="9525">
          <a:noFill/>
          <a:miter lim="800000"/>
          <a:headEnd/>
          <a:tailEnd/>
        </a:ln>
      </xdr:spPr>
    </xdr:pic>
    <xdr:clientData/>
  </xdr:twoCellAnchor>
  <xdr:twoCellAnchor>
    <xdr:from>
      <xdr:col>1</xdr:col>
      <xdr:colOff>0</xdr:colOff>
      <xdr:row>7</xdr:row>
      <xdr:rowOff>66675</xdr:rowOff>
    </xdr:from>
    <xdr:to>
      <xdr:col>1</xdr:col>
      <xdr:colOff>76200</xdr:colOff>
      <xdr:row>7</xdr:row>
      <xdr:rowOff>123825</xdr:rowOff>
    </xdr:to>
    <xdr:sp macro="" textlink="">
      <xdr:nvSpPr>
        <xdr:cNvPr id="3" name="33 Elipse"/>
        <xdr:cNvSpPr>
          <a:spLocks noChangeArrowheads="1"/>
        </xdr:cNvSpPr>
      </xdr:nvSpPr>
      <xdr:spPr bwMode="auto">
        <a:xfrm>
          <a:off x="133350" y="13430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9</xdr:row>
      <xdr:rowOff>57150</xdr:rowOff>
    </xdr:from>
    <xdr:to>
      <xdr:col>1</xdr:col>
      <xdr:colOff>76200</xdr:colOff>
      <xdr:row>9</xdr:row>
      <xdr:rowOff>114300</xdr:rowOff>
    </xdr:to>
    <xdr:sp macro="" textlink="">
      <xdr:nvSpPr>
        <xdr:cNvPr id="4" name="45 Elipse"/>
        <xdr:cNvSpPr>
          <a:spLocks noChangeArrowheads="1"/>
        </xdr:cNvSpPr>
      </xdr:nvSpPr>
      <xdr:spPr bwMode="auto">
        <a:xfrm>
          <a:off x="133350" y="17145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12</xdr:row>
      <xdr:rowOff>66675</xdr:rowOff>
    </xdr:from>
    <xdr:to>
      <xdr:col>1</xdr:col>
      <xdr:colOff>76200</xdr:colOff>
      <xdr:row>12</xdr:row>
      <xdr:rowOff>123825</xdr:rowOff>
    </xdr:to>
    <xdr:sp macro="" textlink="">
      <xdr:nvSpPr>
        <xdr:cNvPr id="5" name="33 Elipse"/>
        <xdr:cNvSpPr>
          <a:spLocks noChangeArrowheads="1"/>
        </xdr:cNvSpPr>
      </xdr:nvSpPr>
      <xdr:spPr bwMode="auto">
        <a:xfrm>
          <a:off x="133350" y="2257425"/>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14</xdr:row>
      <xdr:rowOff>57150</xdr:rowOff>
    </xdr:from>
    <xdr:to>
      <xdr:col>1</xdr:col>
      <xdr:colOff>66675</xdr:colOff>
      <xdr:row>14</xdr:row>
      <xdr:rowOff>114300</xdr:rowOff>
    </xdr:to>
    <xdr:sp macro="" textlink="">
      <xdr:nvSpPr>
        <xdr:cNvPr id="6" name="33 Elipse"/>
        <xdr:cNvSpPr>
          <a:spLocks noChangeArrowheads="1"/>
        </xdr:cNvSpPr>
      </xdr:nvSpPr>
      <xdr:spPr bwMode="auto">
        <a:xfrm>
          <a:off x="123825" y="25908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6</xdr:row>
      <xdr:rowOff>57150</xdr:rowOff>
    </xdr:from>
    <xdr:to>
      <xdr:col>1</xdr:col>
      <xdr:colOff>76200</xdr:colOff>
      <xdr:row>6</xdr:row>
      <xdr:rowOff>114300</xdr:rowOff>
    </xdr:to>
    <xdr:sp macro="" textlink="">
      <xdr:nvSpPr>
        <xdr:cNvPr id="7" name="33 Elipse"/>
        <xdr:cNvSpPr>
          <a:spLocks noChangeArrowheads="1"/>
        </xdr:cNvSpPr>
      </xdr:nvSpPr>
      <xdr:spPr bwMode="auto">
        <a:xfrm>
          <a:off x="133350" y="11430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8</xdr:row>
      <xdr:rowOff>57150</xdr:rowOff>
    </xdr:from>
    <xdr:to>
      <xdr:col>1</xdr:col>
      <xdr:colOff>76200</xdr:colOff>
      <xdr:row>8</xdr:row>
      <xdr:rowOff>114300</xdr:rowOff>
    </xdr:to>
    <xdr:sp macro="" textlink="">
      <xdr:nvSpPr>
        <xdr:cNvPr id="8" name="33 Elipse"/>
        <xdr:cNvSpPr>
          <a:spLocks noChangeArrowheads="1"/>
        </xdr:cNvSpPr>
      </xdr:nvSpPr>
      <xdr:spPr bwMode="auto">
        <a:xfrm>
          <a:off x="133350" y="15240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11</xdr:row>
      <xdr:rowOff>47625</xdr:rowOff>
    </xdr:from>
    <xdr:to>
      <xdr:col>1</xdr:col>
      <xdr:colOff>76200</xdr:colOff>
      <xdr:row>11</xdr:row>
      <xdr:rowOff>104775</xdr:rowOff>
    </xdr:to>
    <xdr:sp macro="" textlink="">
      <xdr:nvSpPr>
        <xdr:cNvPr id="9" name="45 Elipse"/>
        <xdr:cNvSpPr>
          <a:spLocks noChangeArrowheads="1"/>
        </xdr:cNvSpPr>
      </xdr:nvSpPr>
      <xdr:spPr bwMode="auto">
        <a:xfrm>
          <a:off x="133350" y="20478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16</xdr:row>
      <xdr:rowOff>66675</xdr:rowOff>
    </xdr:from>
    <xdr:to>
      <xdr:col>1</xdr:col>
      <xdr:colOff>85725</xdr:colOff>
      <xdr:row>16</xdr:row>
      <xdr:rowOff>123825</xdr:rowOff>
    </xdr:to>
    <xdr:sp macro="" textlink="">
      <xdr:nvSpPr>
        <xdr:cNvPr id="10" name="52 Elipse"/>
        <xdr:cNvSpPr>
          <a:spLocks noChangeArrowheads="1"/>
        </xdr:cNvSpPr>
      </xdr:nvSpPr>
      <xdr:spPr bwMode="auto">
        <a:xfrm>
          <a:off x="142875" y="29813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7</xdr:row>
      <xdr:rowOff>66675</xdr:rowOff>
    </xdr:from>
    <xdr:to>
      <xdr:col>1</xdr:col>
      <xdr:colOff>76200</xdr:colOff>
      <xdr:row>7</xdr:row>
      <xdr:rowOff>123825</xdr:rowOff>
    </xdr:to>
    <xdr:sp macro="" textlink="">
      <xdr:nvSpPr>
        <xdr:cNvPr id="11" name="33 Elipse"/>
        <xdr:cNvSpPr>
          <a:spLocks noChangeArrowheads="1"/>
        </xdr:cNvSpPr>
      </xdr:nvSpPr>
      <xdr:spPr bwMode="auto">
        <a:xfrm>
          <a:off x="133350" y="13430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9</xdr:row>
      <xdr:rowOff>57150</xdr:rowOff>
    </xdr:from>
    <xdr:to>
      <xdr:col>1</xdr:col>
      <xdr:colOff>76200</xdr:colOff>
      <xdr:row>9</xdr:row>
      <xdr:rowOff>114300</xdr:rowOff>
    </xdr:to>
    <xdr:sp macro="" textlink="">
      <xdr:nvSpPr>
        <xdr:cNvPr id="12" name="45 Elipse"/>
        <xdr:cNvSpPr>
          <a:spLocks noChangeArrowheads="1"/>
        </xdr:cNvSpPr>
      </xdr:nvSpPr>
      <xdr:spPr bwMode="auto">
        <a:xfrm>
          <a:off x="133350" y="17145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12</xdr:row>
      <xdr:rowOff>66675</xdr:rowOff>
    </xdr:from>
    <xdr:to>
      <xdr:col>1</xdr:col>
      <xdr:colOff>76200</xdr:colOff>
      <xdr:row>12</xdr:row>
      <xdr:rowOff>123825</xdr:rowOff>
    </xdr:to>
    <xdr:sp macro="" textlink="">
      <xdr:nvSpPr>
        <xdr:cNvPr id="13" name="33 Elipse"/>
        <xdr:cNvSpPr>
          <a:spLocks noChangeArrowheads="1"/>
        </xdr:cNvSpPr>
      </xdr:nvSpPr>
      <xdr:spPr bwMode="auto">
        <a:xfrm>
          <a:off x="133350" y="2257425"/>
          <a:ext cx="76200" cy="57150"/>
        </a:xfrm>
        <a:prstGeom prst="ellipse">
          <a:avLst/>
        </a:prstGeom>
        <a:solidFill>
          <a:srgbClr val="FFFFFF"/>
        </a:solidFill>
        <a:ln w="9525" algn="ctr">
          <a:solidFill>
            <a:srgbClr val="000000"/>
          </a:solidFill>
          <a:round/>
          <a:headEnd/>
          <a:tailEnd/>
        </a:ln>
      </xdr:spPr>
    </xdr:sp>
    <xdr:clientData/>
  </xdr:twoCellAnchor>
  <xdr:twoCellAnchor>
    <xdr:from>
      <xdr:col>0</xdr:col>
      <xdr:colOff>123825</xdr:colOff>
      <xdr:row>14</xdr:row>
      <xdr:rowOff>57150</xdr:rowOff>
    </xdr:from>
    <xdr:to>
      <xdr:col>1</xdr:col>
      <xdr:colOff>66675</xdr:colOff>
      <xdr:row>14</xdr:row>
      <xdr:rowOff>114300</xdr:rowOff>
    </xdr:to>
    <xdr:sp macro="" textlink="">
      <xdr:nvSpPr>
        <xdr:cNvPr id="14" name="33 Elipse"/>
        <xdr:cNvSpPr>
          <a:spLocks noChangeArrowheads="1"/>
        </xdr:cNvSpPr>
      </xdr:nvSpPr>
      <xdr:spPr bwMode="auto">
        <a:xfrm>
          <a:off x="123825" y="25908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11</xdr:row>
      <xdr:rowOff>47625</xdr:rowOff>
    </xdr:from>
    <xdr:to>
      <xdr:col>1</xdr:col>
      <xdr:colOff>76200</xdr:colOff>
      <xdr:row>11</xdr:row>
      <xdr:rowOff>104775</xdr:rowOff>
    </xdr:to>
    <xdr:sp macro="" textlink="">
      <xdr:nvSpPr>
        <xdr:cNvPr id="15" name="45 Elipse"/>
        <xdr:cNvSpPr>
          <a:spLocks noChangeArrowheads="1"/>
        </xdr:cNvSpPr>
      </xdr:nvSpPr>
      <xdr:spPr bwMode="auto">
        <a:xfrm>
          <a:off x="133350" y="20478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17</xdr:row>
      <xdr:rowOff>66675</xdr:rowOff>
    </xdr:from>
    <xdr:to>
      <xdr:col>1</xdr:col>
      <xdr:colOff>85725</xdr:colOff>
      <xdr:row>17</xdr:row>
      <xdr:rowOff>123825</xdr:rowOff>
    </xdr:to>
    <xdr:sp macro="" textlink="">
      <xdr:nvSpPr>
        <xdr:cNvPr id="16" name="52 Elipse"/>
        <xdr:cNvSpPr>
          <a:spLocks noChangeArrowheads="1"/>
        </xdr:cNvSpPr>
      </xdr:nvSpPr>
      <xdr:spPr bwMode="auto">
        <a:xfrm>
          <a:off x="142875" y="31718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41</xdr:row>
      <xdr:rowOff>76200</xdr:rowOff>
    </xdr:from>
    <xdr:to>
      <xdr:col>1</xdr:col>
      <xdr:colOff>76200</xdr:colOff>
      <xdr:row>41</xdr:row>
      <xdr:rowOff>133350</xdr:rowOff>
    </xdr:to>
    <xdr:sp macro="" textlink="">
      <xdr:nvSpPr>
        <xdr:cNvPr id="17" name="52 Elipse"/>
        <xdr:cNvSpPr>
          <a:spLocks noChangeArrowheads="1"/>
        </xdr:cNvSpPr>
      </xdr:nvSpPr>
      <xdr:spPr bwMode="auto">
        <a:xfrm>
          <a:off x="133350" y="75819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43</xdr:row>
      <xdr:rowOff>66675</xdr:rowOff>
    </xdr:from>
    <xdr:to>
      <xdr:col>1</xdr:col>
      <xdr:colOff>76200</xdr:colOff>
      <xdr:row>43</xdr:row>
      <xdr:rowOff>123825</xdr:rowOff>
    </xdr:to>
    <xdr:sp macro="" textlink="">
      <xdr:nvSpPr>
        <xdr:cNvPr id="18" name="52 Elipse"/>
        <xdr:cNvSpPr>
          <a:spLocks noChangeArrowheads="1"/>
        </xdr:cNvSpPr>
      </xdr:nvSpPr>
      <xdr:spPr bwMode="auto">
        <a:xfrm>
          <a:off x="133350" y="79057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18</xdr:row>
      <xdr:rowOff>85725</xdr:rowOff>
    </xdr:from>
    <xdr:to>
      <xdr:col>1</xdr:col>
      <xdr:colOff>76200</xdr:colOff>
      <xdr:row>18</xdr:row>
      <xdr:rowOff>142875</xdr:rowOff>
    </xdr:to>
    <xdr:sp macro="" textlink="">
      <xdr:nvSpPr>
        <xdr:cNvPr id="19" name="52 Elipse"/>
        <xdr:cNvSpPr>
          <a:spLocks noChangeArrowheads="1"/>
        </xdr:cNvSpPr>
      </xdr:nvSpPr>
      <xdr:spPr bwMode="auto">
        <a:xfrm>
          <a:off x="133350" y="33813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22</xdr:row>
      <xdr:rowOff>47625</xdr:rowOff>
    </xdr:from>
    <xdr:to>
      <xdr:col>1</xdr:col>
      <xdr:colOff>76200</xdr:colOff>
      <xdr:row>22</xdr:row>
      <xdr:rowOff>104775</xdr:rowOff>
    </xdr:to>
    <xdr:sp macro="" textlink="">
      <xdr:nvSpPr>
        <xdr:cNvPr id="20" name="52 Elipse"/>
        <xdr:cNvSpPr>
          <a:spLocks noChangeArrowheads="1"/>
        </xdr:cNvSpPr>
      </xdr:nvSpPr>
      <xdr:spPr bwMode="auto">
        <a:xfrm>
          <a:off x="133350" y="39719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23</xdr:row>
      <xdr:rowOff>19050</xdr:rowOff>
    </xdr:from>
    <xdr:to>
      <xdr:col>1</xdr:col>
      <xdr:colOff>76200</xdr:colOff>
      <xdr:row>23</xdr:row>
      <xdr:rowOff>76200</xdr:rowOff>
    </xdr:to>
    <xdr:sp macro="" textlink="">
      <xdr:nvSpPr>
        <xdr:cNvPr id="21" name="52 Elipse"/>
        <xdr:cNvSpPr>
          <a:spLocks noChangeArrowheads="1"/>
        </xdr:cNvSpPr>
      </xdr:nvSpPr>
      <xdr:spPr bwMode="auto">
        <a:xfrm>
          <a:off x="133350" y="41338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24</xdr:row>
      <xdr:rowOff>47625</xdr:rowOff>
    </xdr:from>
    <xdr:to>
      <xdr:col>1</xdr:col>
      <xdr:colOff>76200</xdr:colOff>
      <xdr:row>24</xdr:row>
      <xdr:rowOff>104775</xdr:rowOff>
    </xdr:to>
    <xdr:sp macro="" textlink="">
      <xdr:nvSpPr>
        <xdr:cNvPr id="22" name="52 Elipse"/>
        <xdr:cNvSpPr>
          <a:spLocks noChangeArrowheads="1"/>
        </xdr:cNvSpPr>
      </xdr:nvSpPr>
      <xdr:spPr bwMode="auto">
        <a:xfrm>
          <a:off x="133350" y="43529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25</xdr:row>
      <xdr:rowOff>57150</xdr:rowOff>
    </xdr:from>
    <xdr:to>
      <xdr:col>1</xdr:col>
      <xdr:colOff>76200</xdr:colOff>
      <xdr:row>25</xdr:row>
      <xdr:rowOff>114300</xdr:rowOff>
    </xdr:to>
    <xdr:sp macro="" textlink="">
      <xdr:nvSpPr>
        <xdr:cNvPr id="23" name="52 Elipse"/>
        <xdr:cNvSpPr>
          <a:spLocks noChangeArrowheads="1"/>
        </xdr:cNvSpPr>
      </xdr:nvSpPr>
      <xdr:spPr bwMode="auto">
        <a:xfrm>
          <a:off x="133350" y="45529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28</xdr:row>
      <xdr:rowOff>38100</xdr:rowOff>
    </xdr:from>
    <xdr:to>
      <xdr:col>1</xdr:col>
      <xdr:colOff>76200</xdr:colOff>
      <xdr:row>28</xdr:row>
      <xdr:rowOff>95250</xdr:rowOff>
    </xdr:to>
    <xdr:sp macro="" textlink="">
      <xdr:nvSpPr>
        <xdr:cNvPr id="24" name="52 Elipse"/>
        <xdr:cNvSpPr>
          <a:spLocks noChangeArrowheads="1"/>
        </xdr:cNvSpPr>
      </xdr:nvSpPr>
      <xdr:spPr bwMode="auto">
        <a:xfrm>
          <a:off x="133350" y="51054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27</xdr:row>
      <xdr:rowOff>38100</xdr:rowOff>
    </xdr:from>
    <xdr:to>
      <xdr:col>1</xdr:col>
      <xdr:colOff>76200</xdr:colOff>
      <xdr:row>27</xdr:row>
      <xdr:rowOff>95250</xdr:rowOff>
    </xdr:to>
    <xdr:sp macro="" textlink="">
      <xdr:nvSpPr>
        <xdr:cNvPr id="25" name="52 Elipse"/>
        <xdr:cNvSpPr>
          <a:spLocks noChangeArrowheads="1"/>
        </xdr:cNvSpPr>
      </xdr:nvSpPr>
      <xdr:spPr bwMode="auto">
        <a:xfrm>
          <a:off x="133350" y="49149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29</xdr:row>
      <xdr:rowOff>66675</xdr:rowOff>
    </xdr:from>
    <xdr:to>
      <xdr:col>1</xdr:col>
      <xdr:colOff>76200</xdr:colOff>
      <xdr:row>29</xdr:row>
      <xdr:rowOff>123825</xdr:rowOff>
    </xdr:to>
    <xdr:sp macro="" textlink="">
      <xdr:nvSpPr>
        <xdr:cNvPr id="26" name="52 Elipse"/>
        <xdr:cNvSpPr>
          <a:spLocks noChangeArrowheads="1"/>
        </xdr:cNvSpPr>
      </xdr:nvSpPr>
      <xdr:spPr bwMode="auto">
        <a:xfrm>
          <a:off x="133350" y="53244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31</xdr:row>
      <xdr:rowOff>38100</xdr:rowOff>
    </xdr:from>
    <xdr:to>
      <xdr:col>1</xdr:col>
      <xdr:colOff>76200</xdr:colOff>
      <xdr:row>31</xdr:row>
      <xdr:rowOff>95250</xdr:rowOff>
    </xdr:to>
    <xdr:sp macro="" textlink="">
      <xdr:nvSpPr>
        <xdr:cNvPr id="27" name="52 Elipse"/>
        <xdr:cNvSpPr>
          <a:spLocks noChangeArrowheads="1"/>
        </xdr:cNvSpPr>
      </xdr:nvSpPr>
      <xdr:spPr bwMode="auto">
        <a:xfrm>
          <a:off x="133350" y="56769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33</xdr:row>
      <xdr:rowOff>47625</xdr:rowOff>
    </xdr:from>
    <xdr:to>
      <xdr:col>1</xdr:col>
      <xdr:colOff>76200</xdr:colOff>
      <xdr:row>33</xdr:row>
      <xdr:rowOff>104775</xdr:rowOff>
    </xdr:to>
    <xdr:sp macro="" textlink="">
      <xdr:nvSpPr>
        <xdr:cNvPr id="28" name="52 Elipse"/>
        <xdr:cNvSpPr>
          <a:spLocks noChangeArrowheads="1"/>
        </xdr:cNvSpPr>
      </xdr:nvSpPr>
      <xdr:spPr bwMode="auto">
        <a:xfrm>
          <a:off x="133350" y="60674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35</xdr:row>
      <xdr:rowOff>38100</xdr:rowOff>
    </xdr:from>
    <xdr:to>
      <xdr:col>1</xdr:col>
      <xdr:colOff>76200</xdr:colOff>
      <xdr:row>35</xdr:row>
      <xdr:rowOff>95250</xdr:rowOff>
    </xdr:to>
    <xdr:sp macro="" textlink="">
      <xdr:nvSpPr>
        <xdr:cNvPr id="29" name="52 Elipse"/>
        <xdr:cNvSpPr>
          <a:spLocks noChangeArrowheads="1"/>
        </xdr:cNvSpPr>
      </xdr:nvSpPr>
      <xdr:spPr bwMode="auto">
        <a:xfrm>
          <a:off x="133350" y="64389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36</xdr:row>
      <xdr:rowOff>38100</xdr:rowOff>
    </xdr:from>
    <xdr:to>
      <xdr:col>1</xdr:col>
      <xdr:colOff>76200</xdr:colOff>
      <xdr:row>36</xdr:row>
      <xdr:rowOff>95250</xdr:rowOff>
    </xdr:to>
    <xdr:sp macro="" textlink="">
      <xdr:nvSpPr>
        <xdr:cNvPr id="30" name="52 Elipse"/>
        <xdr:cNvSpPr>
          <a:spLocks noChangeArrowheads="1"/>
        </xdr:cNvSpPr>
      </xdr:nvSpPr>
      <xdr:spPr bwMode="auto">
        <a:xfrm>
          <a:off x="133350" y="66294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37</xdr:row>
      <xdr:rowOff>47625</xdr:rowOff>
    </xdr:from>
    <xdr:to>
      <xdr:col>1</xdr:col>
      <xdr:colOff>76200</xdr:colOff>
      <xdr:row>37</xdr:row>
      <xdr:rowOff>104775</xdr:rowOff>
    </xdr:to>
    <xdr:sp macro="" textlink="">
      <xdr:nvSpPr>
        <xdr:cNvPr id="31" name="52 Elipse"/>
        <xdr:cNvSpPr>
          <a:spLocks noChangeArrowheads="1"/>
        </xdr:cNvSpPr>
      </xdr:nvSpPr>
      <xdr:spPr bwMode="auto">
        <a:xfrm>
          <a:off x="133350" y="68294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39</xdr:row>
      <xdr:rowOff>38100</xdr:rowOff>
    </xdr:from>
    <xdr:to>
      <xdr:col>1</xdr:col>
      <xdr:colOff>76200</xdr:colOff>
      <xdr:row>39</xdr:row>
      <xdr:rowOff>95250</xdr:rowOff>
    </xdr:to>
    <xdr:sp macro="" textlink="">
      <xdr:nvSpPr>
        <xdr:cNvPr id="32" name="52 Elipse"/>
        <xdr:cNvSpPr>
          <a:spLocks noChangeArrowheads="1"/>
        </xdr:cNvSpPr>
      </xdr:nvSpPr>
      <xdr:spPr bwMode="auto">
        <a:xfrm>
          <a:off x="133350" y="71818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19</xdr:row>
      <xdr:rowOff>85725</xdr:rowOff>
    </xdr:from>
    <xdr:to>
      <xdr:col>1</xdr:col>
      <xdr:colOff>76200</xdr:colOff>
      <xdr:row>19</xdr:row>
      <xdr:rowOff>142875</xdr:rowOff>
    </xdr:to>
    <xdr:sp macro="" textlink="">
      <xdr:nvSpPr>
        <xdr:cNvPr id="33" name="52 Elipse"/>
        <xdr:cNvSpPr>
          <a:spLocks noChangeArrowheads="1"/>
        </xdr:cNvSpPr>
      </xdr:nvSpPr>
      <xdr:spPr bwMode="auto">
        <a:xfrm>
          <a:off x="133350" y="3552825"/>
          <a:ext cx="76200" cy="57150"/>
        </a:xfrm>
        <a:prstGeom prst="ellipse">
          <a:avLst/>
        </a:prstGeom>
        <a:solidFill>
          <a:srgbClr val="FFFFFF"/>
        </a:solidFill>
        <a:ln w="9525" algn="ctr">
          <a:solidFill>
            <a:srgbClr val="000000"/>
          </a:solidFill>
          <a:round/>
          <a:headEnd/>
          <a:tailEnd/>
        </a:ln>
      </xdr:spPr>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57150</xdr:rowOff>
    </xdr:from>
    <xdr:to>
      <xdr:col>5</xdr:col>
      <xdr:colOff>581025</xdr:colOff>
      <xdr:row>4</xdr:row>
      <xdr:rowOff>28575</xdr:rowOff>
    </xdr:to>
    <xdr:pic>
      <xdr:nvPicPr>
        <xdr:cNvPr id="2" name="Picture 87"/>
        <xdr:cNvPicPr>
          <a:picLocks noChangeAspect="1" noChangeArrowheads="1"/>
        </xdr:cNvPicPr>
      </xdr:nvPicPr>
      <xdr:blipFill>
        <a:blip xmlns:r="http://schemas.openxmlformats.org/officeDocument/2006/relationships" r:embed="rId1" cstate="print"/>
        <a:srcRect/>
        <a:stretch>
          <a:fillRect/>
        </a:stretch>
      </xdr:blipFill>
      <xdr:spPr bwMode="auto">
        <a:xfrm>
          <a:off x="0" y="57150"/>
          <a:ext cx="2428875" cy="733425"/>
        </a:xfrm>
        <a:prstGeom prst="rect">
          <a:avLst/>
        </a:prstGeom>
        <a:noFill/>
        <a:ln w="9525">
          <a:noFill/>
          <a:miter lim="800000"/>
          <a:headEnd/>
          <a:tailEnd/>
        </a:ln>
      </xdr:spPr>
    </xdr:pic>
    <xdr:clientData/>
  </xdr:twoCellAnchor>
  <xdr:twoCellAnchor>
    <xdr:from>
      <xdr:col>1</xdr:col>
      <xdr:colOff>0</xdr:colOff>
      <xdr:row>9</xdr:row>
      <xdr:rowOff>66675</xdr:rowOff>
    </xdr:from>
    <xdr:to>
      <xdr:col>1</xdr:col>
      <xdr:colOff>76200</xdr:colOff>
      <xdr:row>9</xdr:row>
      <xdr:rowOff>123825</xdr:rowOff>
    </xdr:to>
    <xdr:sp macro="" textlink="">
      <xdr:nvSpPr>
        <xdr:cNvPr id="3" name="33 Elipse"/>
        <xdr:cNvSpPr>
          <a:spLocks noChangeArrowheads="1"/>
        </xdr:cNvSpPr>
      </xdr:nvSpPr>
      <xdr:spPr bwMode="auto">
        <a:xfrm>
          <a:off x="133350" y="1790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13</xdr:row>
      <xdr:rowOff>57150</xdr:rowOff>
    </xdr:from>
    <xdr:to>
      <xdr:col>1</xdr:col>
      <xdr:colOff>76200</xdr:colOff>
      <xdr:row>13</xdr:row>
      <xdr:rowOff>114300</xdr:rowOff>
    </xdr:to>
    <xdr:sp macro="" textlink="">
      <xdr:nvSpPr>
        <xdr:cNvPr id="4" name="45 Elipse"/>
        <xdr:cNvSpPr>
          <a:spLocks noChangeArrowheads="1"/>
        </xdr:cNvSpPr>
      </xdr:nvSpPr>
      <xdr:spPr bwMode="auto">
        <a:xfrm>
          <a:off x="133350" y="25431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22</xdr:row>
      <xdr:rowOff>57150</xdr:rowOff>
    </xdr:from>
    <xdr:to>
      <xdr:col>1</xdr:col>
      <xdr:colOff>76200</xdr:colOff>
      <xdr:row>22</xdr:row>
      <xdr:rowOff>114300</xdr:rowOff>
    </xdr:to>
    <xdr:sp macro="" textlink="">
      <xdr:nvSpPr>
        <xdr:cNvPr id="6" name="52 Elipse"/>
        <xdr:cNvSpPr>
          <a:spLocks noChangeArrowheads="1"/>
        </xdr:cNvSpPr>
      </xdr:nvSpPr>
      <xdr:spPr bwMode="auto">
        <a:xfrm>
          <a:off x="133350" y="42576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16</xdr:row>
      <xdr:rowOff>66675</xdr:rowOff>
    </xdr:from>
    <xdr:to>
      <xdr:col>1</xdr:col>
      <xdr:colOff>76200</xdr:colOff>
      <xdr:row>16</xdr:row>
      <xdr:rowOff>123825</xdr:rowOff>
    </xdr:to>
    <xdr:sp macro="" textlink="">
      <xdr:nvSpPr>
        <xdr:cNvPr id="7" name="33 Elipse"/>
        <xdr:cNvSpPr>
          <a:spLocks noChangeArrowheads="1"/>
        </xdr:cNvSpPr>
      </xdr:nvSpPr>
      <xdr:spPr bwMode="auto">
        <a:xfrm>
          <a:off x="133350" y="31242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19050</xdr:colOff>
      <xdr:row>20</xdr:row>
      <xdr:rowOff>0</xdr:rowOff>
    </xdr:from>
    <xdr:to>
      <xdr:col>1</xdr:col>
      <xdr:colOff>94650</xdr:colOff>
      <xdr:row>20</xdr:row>
      <xdr:rowOff>57150</xdr:rowOff>
    </xdr:to>
    <xdr:sp macro="" textlink="">
      <xdr:nvSpPr>
        <xdr:cNvPr id="8" name="33 Elipse"/>
        <xdr:cNvSpPr>
          <a:spLocks noChangeArrowheads="1"/>
        </xdr:cNvSpPr>
      </xdr:nvSpPr>
      <xdr:spPr bwMode="auto">
        <a:xfrm>
          <a:off x="781050" y="3819525"/>
          <a:ext cx="756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8</xdr:row>
      <xdr:rowOff>85725</xdr:rowOff>
    </xdr:from>
    <xdr:to>
      <xdr:col>1</xdr:col>
      <xdr:colOff>76200</xdr:colOff>
      <xdr:row>8</xdr:row>
      <xdr:rowOff>142875</xdr:rowOff>
    </xdr:to>
    <xdr:sp macro="" textlink="">
      <xdr:nvSpPr>
        <xdr:cNvPr id="9" name="33 Elipse"/>
        <xdr:cNvSpPr>
          <a:spLocks noChangeArrowheads="1"/>
        </xdr:cNvSpPr>
      </xdr:nvSpPr>
      <xdr:spPr bwMode="auto">
        <a:xfrm>
          <a:off x="133350" y="16192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10</xdr:row>
      <xdr:rowOff>57150</xdr:rowOff>
    </xdr:from>
    <xdr:to>
      <xdr:col>1</xdr:col>
      <xdr:colOff>76200</xdr:colOff>
      <xdr:row>10</xdr:row>
      <xdr:rowOff>114300</xdr:rowOff>
    </xdr:to>
    <xdr:sp macro="" textlink="">
      <xdr:nvSpPr>
        <xdr:cNvPr id="10" name="33 Elipse"/>
        <xdr:cNvSpPr>
          <a:spLocks noChangeArrowheads="1"/>
        </xdr:cNvSpPr>
      </xdr:nvSpPr>
      <xdr:spPr bwMode="auto">
        <a:xfrm>
          <a:off x="133350" y="19716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11</xdr:row>
      <xdr:rowOff>57150</xdr:rowOff>
    </xdr:from>
    <xdr:to>
      <xdr:col>1</xdr:col>
      <xdr:colOff>76200</xdr:colOff>
      <xdr:row>11</xdr:row>
      <xdr:rowOff>114300</xdr:rowOff>
    </xdr:to>
    <xdr:sp macro="" textlink="">
      <xdr:nvSpPr>
        <xdr:cNvPr id="11" name="33 Elipse"/>
        <xdr:cNvSpPr>
          <a:spLocks noChangeArrowheads="1"/>
        </xdr:cNvSpPr>
      </xdr:nvSpPr>
      <xdr:spPr bwMode="auto">
        <a:xfrm>
          <a:off x="133350" y="21621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12</xdr:row>
      <xdr:rowOff>66675</xdr:rowOff>
    </xdr:from>
    <xdr:to>
      <xdr:col>1</xdr:col>
      <xdr:colOff>85725</xdr:colOff>
      <xdr:row>12</xdr:row>
      <xdr:rowOff>123825</xdr:rowOff>
    </xdr:to>
    <xdr:sp macro="" textlink="">
      <xdr:nvSpPr>
        <xdr:cNvPr id="12" name="33 Elipse"/>
        <xdr:cNvSpPr>
          <a:spLocks noChangeArrowheads="1"/>
        </xdr:cNvSpPr>
      </xdr:nvSpPr>
      <xdr:spPr bwMode="auto">
        <a:xfrm>
          <a:off x="142875" y="23622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15</xdr:row>
      <xdr:rowOff>47625</xdr:rowOff>
    </xdr:from>
    <xdr:to>
      <xdr:col>1</xdr:col>
      <xdr:colOff>76200</xdr:colOff>
      <xdr:row>15</xdr:row>
      <xdr:rowOff>104775</xdr:rowOff>
    </xdr:to>
    <xdr:sp macro="" textlink="">
      <xdr:nvSpPr>
        <xdr:cNvPr id="13" name="45 Elipse"/>
        <xdr:cNvSpPr>
          <a:spLocks noChangeArrowheads="1"/>
        </xdr:cNvSpPr>
      </xdr:nvSpPr>
      <xdr:spPr bwMode="auto">
        <a:xfrm>
          <a:off x="133350" y="29146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24</xdr:row>
      <xdr:rowOff>66675</xdr:rowOff>
    </xdr:from>
    <xdr:to>
      <xdr:col>1</xdr:col>
      <xdr:colOff>85725</xdr:colOff>
      <xdr:row>24</xdr:row>
      <xdr:rowOff>123825</xdr:rowOff>
    </xdr:to>
    <xdr:sp macro="" textlink="">
      <xdr:nvSpPr>
        <xdr:cNvPr id="14" name="52 Elipse"/>
        <xdr:cNvSpPr>
          <a:spLocks noChangeArrowheads="1"/>
        </xdr:cNvSpPr>
      </xdr:nvSpPr>
      <xdr:spPr bwMode="auto">
        <a:xfrm>
          <a:off x="142875" y="46482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9</xdr:row>
      <xdr:rowOff>66675</xdr:rowOff>
    </xdr:from>
    <xdr:to>
      <xdr:col>1</xdr:col>
      <xdr:colOff>76200</xdr:colOff>
      <xdr:row>9</xdr:row>
      <xdr:rowOff>123825</xdr:rowOff>
    </xdr:to>
    <xdr:sp macro="" textlink="">
      <xdr:nvSpPr>
        <xdr:cNvPr id="15" name="33 Elipse"/>
        <xdr:cNvSpPr>
          <a:spLocks noChangeArrowheads="1"/>
        </xdr:cNvSpPr>
      </xdr:nvSpPr>
      <xdr:spPr bwMode="auto">
        <a:xfrm>
          <a:off x="133350" y="1790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13</xdr:row>
      <xdr:rowOff>57150</xdr:rowOff>
    </xdr:from>
    <xdr:to>
      <xdr:col>1</xdr:col>
      <xdr:colOff>76200</xdr:colOff>
      <xdr:row>13</xdr:row>
      <xdr:rowOff>114300</xdr:rowOff>
    </xdr:to>
    <xdr:sp macro="" textlink="">
      <xdr:nvSpPr>
        <xdr:cNvPr id="16" name="45 Elipse"/>
        <xdr:cNvSpPr>
          <a:spLocks noChangeArrowheads="1"/>
        </xdr:cNvSpPr>
      </xdr:nvSpPr>
      <xdr:spPr bwMode="auto">
        <a:xfrm>
          <a:off x="133350" y="25431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16</xdr:row>
      <xdr:rowOff>66675</xdr:rowOff>
    </xdr:from>
    <xdr:to>
      <xdr:col>1</xdr:col>
      <xdr:colOff>76200</xdr:colOff>
      <xdr:row>16</xdr:row>
      <xdr:rowOff>123825</xdr:rowOff>
    </xdr:to>
    <xdr:sp macro="" textlink="">
      <xdr:nvSpPr>
        <xdr:cNvPr id="17" name="33 Elipse"/>
        <xdr:cNvSpPr>
          <a:spLocks noChangeArrowheads="1"/>
        </xdr:cNvSpPr>
      </xdr:nvSpPr>
      <xdr:spPr bwMode="auto">
        <a:xfrm>
          <a:off x="133350" y="31242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19050</xdr:colOff>
      <xdr:row>18</xdr:row>
      <xdr:rowOff>47625</xdr:rowOff>
    </xdr:from>
    <xdr:to>
      <xdr:col>1</xdr:col>
      <xdr:colOff>94650</xdr:colOff>
      <xdr:row>18</xdr:row>
      <xdr:rowOff>104775</xdr:rowOff>
    </xdr:to>
    <xdr:sp macro="" textlink="">
      <xdr:nvSpPr>
        <xdr:cNvPr id="18" name="33 Elipse"/>
        <xdr:cNvSpPr>
          <a:spLocks noChangeArrowheads="1"/>
        </xdr:cNvSpPr>
      </xdr:nvSpPr>
      <xdr:spPr bwMode="auto">
        <a:xfrm>
          <a:off x="781050" y="3486150"/>
          <a:ext cx="756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8</xdr:row>
      <xdr:rowOff>85725</xdr:rowOff>
    </xdr:from>
    <xdr:to>
      <xdr:col>1</xdr:col>
      <xdr:colOff>76200</xdr:colOff>
      <xdr:row>8</xdr:row>
      <xdr:rowOff>142875</xdr:rowOff>
    </xdr:to>
    <xdr:sp macro="" textlink="">
      <xdr:nvSpPr>
        <xdr:cNvPr id="19" name="33 Elipse"/>
        <xdr:cNvSpPr>
          <a:spLocks noChangeArrowheads="1"/>
        </xdr:cNvSpPr>
      </xdr:nvSpPr>
      <xdr:spPr bwMode="auto">
        <a:xfrm>
          <a:off x="133350" y="16192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15</xdr:row>
      <xdr:rowOff>47625</xdr:rowOff>
    </xdr:from>
    <xdr:to>
      <xdr:col>1</xdr:col>
      <xdr:colOff>76200</xdr:colOff>
      <xdr:row>15</xdr:row>
      <xdr:rowOff>104775</xdr:rowOff>
    </xdr:to>
    <xdr:sp macro="" textlink="">
      <xdr:nvSpPr>
        <xdr:cNvPr id="20" name="45 Elipse"/>
        <xdr:cNvSpPr>
          <a:spLocks noChangeArrowheads="1"/>
        </xdr:cNvSpPr>
      </xdr:nvSpPr>
      <xdr:spPr bwMode="auto">
        <a:xfrm>
          <a:off x="133350" y="29146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9525</xdr:colOff>
      <xdr:row>25</xdr:row>
      <xdr:rowOff>66675</xdr:rowOff>
    </xdr:from>
    <xdr:to>
      <xdr:col>1</xdr:col>
      <xdr:colOff>85725</xdr:colOff>
      <xdr:row>25</xdr:row>
      <xdr:rowOff>123825</xdr:rowOff>
    </xdr:to>
    <xdr:sp macro="" textlink="">
      <xdr:nvSpPr>
        <xdr:cNvPr id="21" name="52 Elipse"/>
        <xdr:cNvSpPr>
          <a:spLocks noChangeArrowheads="1"/>
        </xdr:cNvSpPr>
      </xdr:nvSpPr>
      <xdr:spPr bwMode="auto">
        <a:xfrm>
          <a:off x="142875" y="48387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28</xdr:row>
      <xdr:rowOff>133350</xdr:rowOff>
    </xdr:from>
    <xdr:to>
      <xdr:col>1</xdr:col>
      <xdr:colOff>76200</xdr:colOff>
      <xdr:row>28</xdr:row>
      <xdr:rowOff>190500</xdr:rowOff>
    </xdr:to>
    <xdr:sp macro="" textlink="">
      <xdr:nvSpPr>
        <xdr:cNvPr id="22" name="52 Elipse"/>
        <xdr:cNvSpPr>
          <a:spLocks noChangeArrowheads="1"/>
        </xdr:cNvSpPr>
      </xdr:nvSpPr>
      <xdr:spPr bwMode="auto">
        <a:xfrm>
          <a:off x="133350" y="54006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37</xdr:row>
      <xdr:rowOff>66675</xdr:rowOff>
    </xdr:from>
    <xdr:to>
      <xdr:col>1</xdr:col>
      <xdr:colOff>76200</xdr:colOff>
      <xdr:row>37</xdr:row>
      <xdr:rowOff>123825</xdr:rowOff>
    </xdr:to>
    <xdr:sp macro="" textlink="">
      <xdr:nvSpPr>
        <xdr:cNvPr id="23" name="52 Elipse"/>
        <xdr:cNvSpPr>
          <a:spLocks noChangeArrowheads="1"/>
        </xdr:cNvSpPr>
      </xdr:nvSpPr>
      <xdr:spPr bwMode="auto">
        <a:xfrm>
          <a:off x="133350" y="71056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39</xdr:row>
      <xdr:rowOff>0</xdr:rowOff>
    </xdr:from>
    <xdr:to>
      <xdr:col>1</xdr:col>
      <xdr:colOff>76200</xdr:colOff>
      <xdr:row>39</xdr:row>
      <xdr:rowOff>57150</xdr:rowOff>
    </xdr:to>
    <xdr:sp macro="" textlink="">
      <xdr:nvSpPr>
        <xdr:cNvPr id="24" name="52 Elipse"/>
        <xdr:cNvSpPr>
          <a:spLocks noChangeArrowheads="1"/>
        </xdr:cNvSpPr>
      </xdr:nvSpPr>
      <xdr:spPr bwMode="auto">
        <a:xfrm>
          <a:off x="133350" y="741997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29</xdr:row>
      <xdr:rowOff>57150</xdr:rowOff>
    </xdr:from>
    <xdr:to>
      <xdr:col>1</xdr:col>
      <xdr:colOff>76200</xdr:colOff>
      <xdr:row>29</xdr:row>
      <xdr:rowOff>114300</xdr:rowOff>
    </xdr:to>
    <xdr:sp macro="" textlink="">
      <xdr:nvSpPr>
        <xdr:cNvPr id="25" name="52 Elipse"/>
        <xdr:cNvSpPr>
          <a:spLocks noChangeArrowheads="1"/>
        </xdr:cNvSpPr>
      </xdr:nvSpPr>
      <xdr:spPr bwMode="auto">
        <a:xfrm>
          <a:off x="133350" y="55721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30</xdr:row>
      <xdr:rowOff>57150</xdr:rowOff>
    </xdr:from>
    <xdr:to>
      <xdr:col>1</xdr:col>
      <xdr:colOff>76200</xdr:colOff>
      <xdr:row>30</xdr:row>
      <xdr:rowOff>114300</xdr:rowOff>
    </xdr:to>
    <xdr:sp macro="" textlink="">
      <xdr:nvSpPr>
        <xdr:cNvPr id="26" name="52 Elipse"/>
        <xdr:cNvSpPr>
          <a:spLocks noChangeArrowheads="1"/>
        </xdr:cNvSpPr>
      </xdr:nvSpPr>
      <xdr:spPr bwMode="auto">
        <a:xfrm>
          <a:off x="133350" y="5762625"/>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31</xdr:row>
      <xdr:rowOff>66675</xdr:rowOff>
    </xdr:from>
    <xdr:to>
      <xdr:col>1</xdr:col>
      <xdr:colOff>76200</xdr:colOff>
      <xdr:row>31</xdr:row>
      <xdr:rowOff>123825</xdr:rowOff>
    </xdr:to>
    <xdr:sp macro="" textlink="">
      <xdr:nvSpPr>
        <xdr:cNvPr id="27" name="52 Elipse"/>
        <xdr:cNvSpPr>
          <a:spLocks noChangeArrowheads="1"/>
        </xdr:cNvSpPr>
      </xdr:nvSpPr>
      <xdr:spPr bwMode="auto">
        <a:xfrm>
          <a:off x="133350" y="596265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33</xdr:row>
      <xdr:rowOff>47625</xdr:rowOff>
    </xdr:from>
    <xdr:to>
      <xdr:col>1</xdr:col>
      <xdr:colOff>76200</xdr:colOff>
      <xdr:row>33</xdr:row>
      <xdr:rowOff>104775</xdr:rowOff>
    </xdr:to>
    <xdr:sp macro="" textlink="">
      <xdr:nvSpPr>
        <xdr:cNvPr id="28" name="52 Elipse"/>
        <xdr:cNvSpPr>
          <a:spLocks noChangeArrowheads="1"/>
        </xdr:cNvSpPr>
      </xdr:nvSpPr>
      <xdr:spPr bwMode="auto">
        <a:xfrm>
          <a:off x="133350" y="6324600"/>
          <a:ext cx="76200" cy="57150"/>
        </a:xfrm>
        <a:prstGeom prst="ellipse">
          <a:avLst/>
        </a:prstGeom>
        <a:solidFill>
          <a:srgbClr val="FFFFFF"/>
        </a:solidFill>
        <a:ln w="9525" algn="ctr">
          <a:solidFill>
            <a:srgbClr val="000000"/>
          </a:solidFill>
          <a:round/>
          <a:headEnd/>
          <a:tailEnd/>
        </a:ln>
      </xdr:spPr>
    </xdr:sp>
    <xdr:clientData/>
  </xdr:twoCellAnchor>
  <xdr:twoCellAnchor>
    <xdr:from>
      <xdr:col>1</xdr:col>
      <xdr:colOff>0</xdr:colOff>
      <xdr:row>34</xdr:row>
      <xdr:rowOff>47625</xdr:rowOff>
    </xdr:from>
    <xdr:to>
      <xdr:col>1</xdr:col>
      <xdr:colOff>76200</xdr:colOff>
      <xdr:row>34</xdr:row>
      <xdr:rowOff>104775</xdr:rowOff>
    </xdr:to>
    <xdr:sp macro="" textlink="">
      <xdr:nvSpPr>
        <xdr:cNvPr id="29" name="52 Elipse"/>
        <xdr:cNvSpPr>
          <a:spLocks noChangeArrowheads="1"/>
        </xdr:cNvSpPr>
      </xdr:nvSpPr>
      <xdr:spPr bwMode="auto">
        <a:xfrm>
          <a:off x="133350" y="6515100"/>
          <a:ext cx="76200" cy="57150"/>
        </a:xfrm>
        <a:prstGeom prst="ellipse">
          <a:avLst/>
        </a:prstGeom>
        <a:solidFill>
          <a:srgbClr val="FFFFFF"/>
        </a:solidFill>
        <a:ln w="9525" algn="ctr">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1097757</xdr:colOff>
      <xdr:row>0</xdr:row>
      <xdr:rowOff>23812</xdr:rowOff>
    </xdr:from>
    <xdr:to>
      <xdr:col>5</xdr:col>
      <xdr:colOff>1473995</xdr:colOff>
      <xdr:row>2</xdr:row>
      <xdr:rowOff>88106</xdr:rowOff>
    </xdr:to>
    <xdr:pic>
      <xdr:nvPicPr>
        <xdr:cNvPr id="2" name="Picture 59"/>
        <xdr:cNvPicPr>
          <a:picLocks noChangeAspect="1" noChangeArrowheads="1"/>
        </xdr:cNvPicPr>
      </xdr:nvPicPr>
      <xdr:blipFill>
        <a:blip xmlns:r="http://schemas.openxmlformats.org/officeDocument/2006/relationships" r:embed="rId1" cstate="print"/>
        <a:srcRect/>
        <a:stretch>
          <a:fillRect/>
        </a:stretch>
      </xdr:blipFill>
      <xdr:spPr bwMode="auto">
        <a:xfrm>
          <a:off x="2895601" y="23812"/>
          <a:ext cx="4257675" cy="635794"/>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48682</xdr:colOff>
      <xdr:row>0</xdr:row>
      <xdr:rowOff>61384</xdr:rowOff>
    </xdr:from>
    <xdr:to>
      <xdr:col>2</xdr:col>
      <xdr:colOff>711968</xdr:colOff>
      <xdr:row>3</xdr:row>
      <xdr:rowOff>114071</xdr:rowOff>
    </xdr:to>
    <xdr:pic>
      <xdr:nvPicPr>
        <xdr:cNvPr id="2" name="webImgShrinked" descr="Imagen">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84401" y="61384"/>
          <a:ext cx="2353973" cy="648000"/>
        </a:xfrm>
        <a:prstGeom prst="rect">
          <a:avLst/>
        </a:prstGeom>
        <a:noFill/>
        <a:ln w="9525">
          <a:noFill/>
          <a:miter lim="800000"/>
          <a:headEnd/>
          <a:tailEnd/>
        </a:ln>
      </xdr:spPr>
    </xdr:pic>
    <xdr:clientData/>
  </xdr:twoCellAnchor>
  <xdr:twoCellAnchor>
    <xdr:from>
      <xdr:col>6</xdr:col>
      <xdr:colOff>1512094</xdr:colOff>
      <xdr:row>16</xdr:row>
      <xdr:rowOff>11908</xdr:rowOff>
    </xdr:from>
    <xdr:to>
      <xdr:col>8</xdr:col>
      <xdr:colOff>464250</xdr:colOff>
      <xdr:row>18</xdr:row>
      <xdr:rowOff>95251</xdr:rowOff>
    </xdr:to>
    <xdr:sp macro="[0]!Regresar_HojaPpal" textlink="">
      <xdr:nvSpPr>
        <xdr:cNvPr id="8" name="7 Rectángulo redondeado"/>
        <xdr:cNvSpPr/>
      </xdr:nvSpPr>
      <xdr:spPr>
        <a:xfrm>
          <a:off x="7881938" y="2833689"/>
          <a:ext cx="1512000" cy="464343"/>
        </a:xfrm>
        <a:prstGeom prst="roundRect">
          <a:avLst/>
        </a:prstGeom>
        <a:solidFill>
          <a:schemeClr val="accent6">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rtlCol="0" anchor="ctr"/>
        <a:lstStyle/>
        <a:p>
          <a:pPr algn="ctr"/>
          <a:r>
            <a:rPr lang="es-PA" sz="1050" b="1"/>
            <a:t>Regresar Hoja Cotización</a:t>
          </a:r>
          <a:r>
            <a:rPr lang="es-PA" sz="1050" b="1" baseline="0"/>
            <a:t> Principal</a:t>
          </a:r>
          <a:endParaRPr lang="es-PA" sz="1050" b="1"/>
        </a:p>
      </xdr:txBody>
    </xdr:sp>
    <xdr:clientData/>
  </xdr:twoCellAnchor>
  <mc:AlternateContent xmlns:mc="http://schemas.openxmlformats.org/markup-compatibility/2006">
    <mc:Choice xmlns:a14="http://schemas.microsoft.com/office/drawing/2010/main" Requires="a14">
      <xdr:twoCellAnchor editAs="oneCell">
        <xdr:from>
          <xdr:col>2</xdr:col>
          <xdr:colOff>1152525</xdr:colOff>
          <xdr:row>73</xdr:row>
          <xdr:rowOff>0</xdr:rowOff>
        </xdr:from>
        <xdr:to>
          <xdr:col>2</xdr:col>
          <xdr:colOff>1457325</xdr:colOff>
          <xdr:row>74</xdr:row>
          <xdr:rowOff>28575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704850</xdr:colOff>
          <xdr:row>73</xdr:row>
          <xdr:rowOff>0</xdr:rowOff>
        </xdr:from>
        <xdr:to>
          <xdr:col>5</xdr:col>
          <xdr:colOff>247650</xdr:colOff>
          <xdr:row>74</xdr:row>
          <xdr:rowOff>28575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704850</xdr:colOff>
          <xdr:row>73</xdr:row>
          <xdr:rowOff>0</xdr:rowOff>
        </xdr:from>
        <xdr:to>
          <xdr:col>6</xdr:col>
          <xdr:colOff>1009650</xdr:colOff>
          <xdr:row>74</xdr:row>
          <xdr:rowOff>28575</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933450</xdr:colOff>
          <xdr:row>73</xdr:row>
          <xdr:rowOff>0</xdr:rowOff>
        </xdr:from>
        <xdr:to>
          <xdr:col>8</xdr:col>
          <xdr:colOff>180975</xdr:colOff>
          <xdr:row>74</xdr:row>
          <xdr:rowOff>28575</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37</xdr:row>
          <xdr:rowOff>114300</xdr:rowOff>
        </xdr:from>
        <xdr:to>
          <xdr:col>8</xdr:col>
          <xdr:colOff>771525</xdr:colOff>
          <xdr:row>37</xdr:row>
          <xdr:rowOff>333375</xdr:rowOff>
        </xdr:to>
        <xdr:sp macro="" textlink="">
          <xdr:nvSpPr>
            <xdr:cNvPr id="8243" name="Check Box 51" hidden="1">
              <a:extLst>
                <a:ext uri="{63B3BB69-23CF-44E3-9099-C40C66FF867C}">
                  <a14:compatExt spid="_x0000_s8243"/>
                </a:ext>
              </a:extLst>
            </xdr:cNvPr>
            <xdr:cNvSpPr/>
          </xdr:nvSpPr>
          <xdr:spPr bwMode="auto">
            <a:xfrm>
              <a:off x="0" y="0"/>
              <a:ext cx="0" cy="0"/>
            </a:xfrm>
            <a:prstGeom prst="rect">
              <a:avLst/>
            </a:prstGeom>
            <a:solidFill>
              <a:srgbClr val="CCCCFF" mc:Ignorable="a14" a14:legacySpreadsheetColorIndex="3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Endosa</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1143000</xdr:colOff>
          <xdr:row>69</xdr:row>
          <xdr:rowOff>0</xdr:rowOff>
        </xdr:from>
        <xdr:to>
          <xdr:col>2</xdr:col>
          <xdr:colOff>1457325</xdr:colOff>
          <xdr:row>70</xdr:row>
          <xdr:rowOff>28575</xdr:rowOff>
        </xdr:to>
        <xdr:sp macro="" textlink="">
          <xdr:nvSpPr>
            <xdr:cNvPr id="8245" name="Check Box 53" hidden="1">
              <a:extLst>
                <a:ext uri="{63B3BB69-23CF-44E3-9099-C40C66FF867C}">
                  <a14:compatExt spid="_x0000_s8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752475</xdr:colOff>
          <xdr:row>69</xdr:row>
          <xdr:rowOff>0</xdr:rowOff>
        </xdr:from>
        <xdr:to>
          <xdr:col>5</xdr:col>
          <xdr:colOff>295275</xdr:colOff>
          <xdr:row>70</xdr:row>
          <xdr:rowOff>28575</xdr:rowOff>
        </xdr:to>
        <xdr:sp macro="" textlink="">
          <xdr:nvSpPr>
            <xdr:cNvPr id="8246" name="Check Box 54" hidden="1">
              <a:extLst>
                <a:ext uri="{63B3BB69-23CF-44E3-9099-C40C66FF867C}">
                  <a14:compatExt spid="_x0000_s8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704850</xdr:colOff>
          <xdr:row>69</xdr:row>
          <xdr:rowOff>0</xdr:rowOff>
        </xdr:from>
        <xdr:to>
          <xdr:col>6</xdr:col>
          <xdr:colOff>1009650</xdr:colOff>
          <xdr:row>70</xdr:row>
          <xdr:rowOff>28575</xdr:rowOff>
        </xdr:to>
        <xdr:sp macro="" textlink="">
          <xdr:nvSpPr>
            <xdr:cNvPr id="8247" name="Check Box 55" hidden="1">
              <a:extLst>
                <a:ext uri="{63B3BB69-23CF-44E3-9099-C40C66FF867C}">
                  <a14:compatExt spid="_x0000_s8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933450</xdr:colOff>
          <xdr:row>69</xdr:row>
          <xdr:rowOff>0</xdr:rowOff>
        </xdr:from>
        <xdr:to>
          <xdr:col>8</xdr:col>
          <xdr:colOff>180975</xdr:colOff>
          <xdr:row>70</xdr:row>
          <xdr:rowOff>28575</xdr:rowOff>
        </xdr:to>
        <xdr:sp macro="" textlink="">
          <xdr:nvSpPr>
            <xdr:cNvPr id="8248" name="Check Box 56" hidden="1">
              <a:extLst>
                <a:ext uri="{63B3BB69-23CF-44E3-9099-C40C66FF867C}">
                  <a14:compatExt spid="_x0000_s8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2</xdr:col>
      <xdr:colOff>1097757</xdr:colOff>
      <xdr:row>0</xdr:row>
      <xdr:rowOff>23812</xdr:rowOff>
    </xdr:from>
    <xdr:to>
      <xdr:col>5</xdr:col>
      <xdr:colOff>1473995</xdr:colOff>
      <xdr:row>2</xdr:row>
      <xdr:rowOff>4762</xdr:rowOff>
    </xdr:to>
    <xdr:pic>
      <xdr:nvPicPr>
        <xdr:cNvPr id="2" name="Picture 59"/>
        <xdr:cNvPicPr>
          <a:picLocks noChangeAspect="1" noChangeArrowheads="1"/>
        </xdr:cNvPicPr>
      </xdr:nvPicPr>
      <xdr:blipFill>
        <a:blip xmlns:r="http://schemas.openxmlformats.org/officeDocument/2006/relationships" r:embed="rId1" cstate="print"/>
        <a:srcRect/>
        <a:stretch>
          <a:fillRect/>
        </a:stretch>
      </xdr:blipFill>
      <xdr:spPr bwMode="auto">
        <a:xfrm>
          <a:off x="2897982" y="23812"/>
          <a:ext cx="4262438" cy="638175"/>
        </a:xfrm>
        <a:prstGeom prst="rect">
          <a:avLst/>
        </a:prstGeom>
        <a:noFill/>
        <a:ln w="9525">
          <a:noFill/>
          <a:miter lim="800000"/>
          <a:headEnd/>
          <a:tailEnd/>
        </a:ln>
      </xdr:spPr>
    </xdr:pic>
    <xdr:clientData/>
  </xdr:twoCellAnchor>
  <xdr:twoCellAnchor>
    <xdr:from>
      <xdr:col>9</xdr:col>
      <xdr:colOff>23813</xdr:colOff>
      <xdr:row>25</xdr:row>
      <xdr:rowOff>154780</xdr:rowOff>
    </xdr:from>
    <xdr:to>
      <xdr:col>11</xdr:col>
      <xdr:colOff>321468</xdr:colOff>
      <xdr:row>28</xdr:row>
      <xdr:rowOff>107155</xdr:rowOff>
    </xdr:to>
    <xdr:sp macro="[0]!Regresar_HojaCambio" textlink="">
      <xdr:nvSpPr>
        <xdr:cNvPr id="3" name="2 Rectángulo redondeado"/>
        <xdr:cNvSpPr/>
      </xdr:nvSpPr>
      <xdr:spPr>
        <a:xfrm>
          <a:off x="10263188" y="5572124"/>
          <a:ext cx="1821655" cy="511969"/>
        </a:xfrm>
        <a:prstGeom prst="roundRect">
          <a:avLst/>
        </a:prstGeom>
        <a:solidFill>
          <a:schemeClr val="accent1">
            <a:lumMod val="75000"/>
          </a:schemeClr>
        </a:solidFill>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es-PA" sz="1100"/>
            <a:t>Regresar</a:t>
          </a:r>
          <a:r>
            <a:rPr lang="es-PA" sz="1100" baseline="0"/>
            <a:t> a Hoja  de Cotización  de Cambio</a:t>
          </a:r>
          <a:endParaRPr lang="es-PA"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10</xdr:row>
      <xdr:rowOff>57150</xdr:rowOff>
    </xdr:from>
    <xdr:to>
      <xdr:col>4</xdr:col>
      <xdr:colOff>638176</xdr:colOff>
      <xdr:row>17</xdr:row>
      <xdr:rowOff>36391</xdr:rowOff>
    </xdr:to>
    <xdr:pic>
      <xdr:nvPicPr>
        <xdr:cNvPr id="2" name="Imagen 3" descr="cid:image003.jpg@01D3CD9C.5EB3CBB0"/>
        <xdr:cNvPicPr>
          <a:picLocks noChangeAspect="1" noChangeArrowheads="1"/>
        </xdr:cNvPicPr>
      </xdr:nvPicPr>
      <xdr:blipFill>
        <a:blip xmlns:r="http://schemas.openxmlformats.org/officeDocument/2006/relationships" r:embed="rId1" r:link="rId2" cstate="print"/>
        <a:srcRect t="64371"/>
        <a:stretch>
          <a:fillRect/>
        </a:stretch>
      </xdr:blipFill>
      <xdr:spPr bwMode="auto">
        <a:xfrm>
          <a:off x="762000" y="1962150"/>
          <a:ext cx="2924176" cy="1312741"/>
        </a:xfrm>
        <a:prstGeom prst="rect">
          <a:avLst/>
        </a:prstGeom>
        <a:noFill/>
      </xdr:spPr>
    </xdr:pic>
    <xdr:clientData/>
  </xdr:twoCellAnchor>
  <xdr:twoCellAnchor>
    <xdr:from>
      <xdr:col>3</xdr:col>
      <xdr:colOff>723900</xdr:colOff>
      <xdr:row>9</xdr:row>
      <xdr:rowOff>485775</xdr:rowOff>
    </xdr:from>
    <xdr:to>
      <xdr:col>4</xdr:col>
      <xdr:colOff>38100</xdr:colOff>
      <xdr:row>11</xdr:row>
      <xdr:rowOff>57149</xdr:rowOff>
    </xdr:to>
    <xdr:sp macro="" textlink="">
      <xdr:nvSpPr>
        <xdr:cNvPr id="3" name="2 Llamada rectangular"/>
        <xdr:cNvSpPr/>
      </xdr:nvSpPr>
      <xdr:spPr>
        <a:xfrm>
          <a:off x="3009900" y="1905000"/>
          <a:ext cx="76200" cy="247649"/>
        </a:xfrm>
        <a:prstGeom prst="wedgeRectCallout">
          <a:avLst>
            <a:gd name="adj1" fmla="val -83228"/>
            <a:gd name="adj2" fmla="val 116858"/>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PA" sz="1100">
              <a:solidFill>
                <a:sysClr val="windowText" lastClr="000000"/>
              </a:solidFill>
            </a:rPr>
            <a:t>Ejemplo</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9525</xdr:colOff>
      <xdr:row>0</xdr:row>
      <xdr:rowOff>1723</xdr:rowOff>
    </xdr:from>
    <xdr:to>
      <xdr:col>1</xdr:col>
      <xdr:colOff>2886075</xdr:colOff>
      <xdr:row>0</xdr:row>
      <xdr:rowOff>381000</xdr:rowOff>
    </xdr:to>
    <xdr:pic>
      <xdr:nvPicPr>
        <xdr:cNvPr id="2" name="Picture 17"/>
        <xdr:cNvPicPr>
          <a:picLocks noChangeAspect="1" noChangeArrowheads="1"/>
        </xdr:cNvPicPr>
      </xdr:nvPicPr>
      <xdr:blipFill>
        <a:blip xmlns:r="http://schemas.openxmlformats.org/officeDocument/2006/relationships" r:embed="rId1" cstate="print"/>
        <a:srcRect/>
        <a:stretch>
          <a:fillRect/>
        </a:stretch>
      </xdr:blipFill>
      <xdr:spPr bwMode="auto">
        <a:xfrm>
          <a:off x="9525" y="1723"/>
          <a:ext cx="3257550" cy="379277"/>
        </a:xfrm>
        <a:prstGeom prst="rect">
          <a:avLst/>
        </a:prstGeom>
        <a:noFill/>
        <a:ln w="9525">
          <a:noFill/>
          <a:miter lim="800000"/>
          <a:headEnd/>
          <a:tailEnd/>
        </a:ln>
      </xdr:spPr>
    </xdr:pic>
    <xdr:clientData/>
  </xdr:twoCellAnchor>
  <xdr:twoCellAnchor>
    <xdr:from>
      <xdr:col>1</xdr:col>
      <xdr:colOff>3209925</xdr:colOff>
      <xdr:row>6</xdr:row>
      <xdr:rowOff>38100</xdr:rowOff>
    </xdr:from>
    <xdr:to>
      <xdr:col>1</xdr:col>
      <xdr:colOff>3388523</xdr:colOff>
      <xdr:row>6</xdr:row>
      <xdr:rowOff>192882</xdr:rowOff>
    </xdr:to>
    <xdr:sp macro="" textlink="">
      <xdr:nvSpPr>
        <xdr:cNvPr id="3" name="67 Rectángulo"/>
        <xdr:cNvSpPr>
          <a:spLocks noChangeArrowheads="1"/>
        </xdr:cNvSpPr>
      </xdr:nvSpPr>
      <xdr:spPr bwMode="auto">
        <a:xfrm>
          <a:off x="3590925" y="197167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2105025</xdr:colOff>
      <xdr:row>6</xdr:row>
      <xdr:rowOff>38100</xdr:rowOff>
    </xdr:from>
    <xdr:to>
      <xdr:col>1</xdr:col>
      <xdr:colOff>2283623</xdr:colOff>
      <xdr:row>6</xdr:row>
      <xdr:rowOff>192882</xdr:rowOff>
    </xdr:to>
    <xdr:sp macro="" textlink="">
      <xdr:nvSpPr>
        <xdr:cNvPr id="4" name="67 Rectángulo"/>
        <xdr:cNvSpPr>
          <a:spLocks noChangeArrowheads="1"/>
        </xdr:cNvSpPr>
      </xdr:nvSpPr>
      <xdr:spPr bwMode="auto">
        <a:xfrm>
          <a:off x="2486025" y="197167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47625</xdr:colOff>
      <xdr:row>6</xdr:row>
      <xdr:rowOff>38100</xdr:rowOff>
    </xdr:from>
    <xdr:to>
      <xdr:col>1</xdr:col>
      <xdr:colOff>226223</xdr:colOff>
      <xdr:row>6</xdr:row>
      <xdr:rowOff>192882</xdr:rowOff>
    </xdr:to>
    <xdr:sp macro="" textlink="">
      <xdr:nvSpPr>
        <xdr:cNvPr id="5" name="67 Rectángulo"/>
        <xdr:cNvSpPr>
          <a:spLocks noChangeArrowheads="1"/>
        </xdr:cNvSpPr>
      </xdr:nvSpPr>
      <xdr:spPr bwMode="auto">
        <a:xfrm>
          <a:off x="428625" y="197167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47625</xdr:colOff>
      <xdr:row>7</xdr:row>
      <xdr:rowOff>28575</xdr:rowOff>
    </xdr:from>
    <xdr:to>
      <xdr:col>1</xdr:col>
      <xdr:colOff>226223</xdr:colOff>
      <xdr:row>7</xdr:row>
      <xdr:rowOff>183357</xdr:rowOff>
    </xdr:to>
    <xdr:sp macro="" textlink="">
      <xdr:nvSpPr>
        <xdr:cNvPr id="6" name="67 Rectángulo"/>
        <xdr:cNvSpPr>
          <a:spLocks noChangeArrowheads="1"/>
        </xdr:cNvSpPr>
      </xdr:nvSpPr>
      <xdr:spPr bwMode="auto">
        <a:xfrm>
          <a:off x="428625" y="219075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47625</xdr:colOff>
      <xdr:row>8</xdr:row>
      <xdr:rowOff>28575</xdr:rowOff>
    </xdr:from>
    <xdr:to>
      <xdr:col>1</xdr:col>
      <xdr:colOff>226223</xdr:colOff>
      <xdr:row>8</xdr:row>
      <xdr:rowOff>183357</xdr:rowOff>
    </xdr:to>
    <xdr:sp macro="" textlink="">
      <xdr:nvSpPr>
        <xdr:cNvPr id="7" name="67 Rectángulo"/>
        <xdr:cNvSpPr>
          <a:spLocks noChangeArrowheads="1"/>
        </xdr:cNvSpPr>
      </xdr:nvSpPr>
      <xdr:spPr bwMode="auto">
        <a:xfrm>
          <a:off x="428625" y="241935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1419225</xdr:colOff>
      <xdr:row>25</xdr:row>
      <xdr:rowOff>38100</xdr:rowOff>
    </xdr:from>
    <xdr:to>
      <xdr:col>1</xdr:col>
      <xdr:colOff>1597823</xdr:colOff>
      <xdr:row>25</xdr:row>
      <xdr:rowOff>192882</xdr:rowOff>
    </xdr:to>
    <xdr:sp macro="" textlink="">
      <xdr:nvSpPr>
        <xdr:cNvPr id="8" name="67 Rectángulo"/>
        <xdr:cNvSpPr>
          <a:spLocks noChangeArrowheads="1"/>
        </xdr:cNvSpPr>
      </xdr:nvSpPr>
      <xdr:spPr bwMode="auto">
        <a:xfrm>
          <a:off x="1800225" y="655320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2619375</xdr:colOff>
      <xdr:row>27</xdr:row>
      <xdr:rowOff>57150</xdr:rowOff>
    </xdr:from>
    <xdr:to>
      <xdr:col>1</xdr:col>
      <xdr:colOff>2790825</xdr:colOff>
      <xdr:row>27</xdr:row>
      <xdr:rowOff>192882</xdr:rowOff>
    </xdr:to>
    <xdr:sp macro="" textlink="">
      <xdr:nvSpPr>
        <xdr:cNvPr id="9" name="67 Rectángulo"/>
        <xdr:cNvSpPr>
          <a:spLocks noChangeArrowheads="1"/>
        </xdr:cNvSpPr>
      </xdr:nvSpPr>
      <xdr:spPr bwMode="auto">
        <a:xfrm>
          <a:off x="3000375" y="7029450"/>
          <a:ext cx="171450" cy="13573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3333750</xdr:colOff>
      <xdr:row>27</xdr:row>
      <xdr:rowOff>57150</xdr:rowOff>
    </xdr:from>
    <xdr:to>
      <xdr:col>1</xdr:col>
      <xdr:colOff>3505200</xdr:colOff>
      <xdr:row>27</xdr:row>
      <xdr:rowOff>192882</xdr:rowOff>
    </xdr:to>
    <xdr:sp macro="" textlink="">
      <xdr:nvSpPr>
        <xdr:cNvPr id="10" name="67 Rectángulo"/>
        <xdr:cNvSpPr>
          <a:spLocks noChangeArrowheads="1"/>
        </xdr:cNvSpPr>
      </xdr:nvSpPr>
      <xdr:spPr bwMode="auto">
        <a:xfrm>
          <a:off x="3714750" y="7029450"/>
          <a:ext cx="171450" cy="13573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2619375</xdr:colOff>
      <xdr:row>28</xdr:row>
      <xdr:rowOff>47625</xdr:rowOff>
    </xdr:from>
    <xdr:to>
      <xdr:col>1</xdr:col>
      <xdr:colOff>2790825</xdr:colOff>
      <xdr:row>28</xdr:row>
      <xdr:rowOff>183357</xdr:rowOff>
    </xdr:to>
    <xdr:sp macro="" textlink="">
      <xdr:nvSpPr>
        <xdr:cNvPr id="11" name="67 Rectángulo"/>
        <xdr:cNvSpPr>
          <a:spLocks noChangeArrowheads="1"/>
        </xdr:cNvSpPr>
      </xdr:nvSpPr>
      <xdr:spPr bwMode="auto">
        <a:xfrm>
          <a:off x="3000375" y="7248525"/>
          <a:ext cx="171450" cy="13573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3333750</xdr:colOff>
      <xdr:row>28</xdr:row>
      <xdr:rowOff>47625</xdr:rowOff>
    </xdr:from>
    <xdr:to>
      <xdr:col>1</xdr:col>
      <xdr:colOff>3505200</xdr:colOff>
      <xdr:row>28</xdr:row>
      <xdr:rowOff>183357</xdr:rowOff>
    </xdr:to>
    <xdr:sp macro="" textlink="">
      <xdr:nvSpPr>
        <xdr:cNvPr id="12" name="67 Rectángulo"/>
        <xdr:cNvSpPr>
          <a:spLocks noChangeArrowheads="1"/>
        </xdr:cNvSpPr>
      </xdr:nvSpPr>
      <xdr:spPr bwMode="auto">
        <a:xfrm>
          <a:off x="3714750" y="7248525"/>
          <a:ext cx="171450" cy="13573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2619375</xdr:colOff>
      <xdr:row>29</xdr:row>
      <xdr:rowOff>47625</xdr:rowOff>
    </xdr:from>
    <xdr:to>
      <xdr:col>1</xdr:col>
      <xdr:colOff>2790825</xdr:colOff>
      <xdr:row>29</xdr:row>
      <xdr:rowOff>183357</xdr:rowOff>
    </xdr:to>
    <xdr:sp macro="" textlink="">
      <xdr:nvSpPr>
        <xdr:cNvPr id="13" name="67 Rectángulo"/>
        <xdr:cNvSpPr>
          <a:spLocks noChangeArrowheads="1"/>
        </xdr:cNvSpPr>
      </xdr:nvSpPr>
      <xdr:spPr bwMode="auto">
        <a:xfrm>
          <a:off x="3000375" y="7477125"/>
          <a:ext cx="171450" cy="13573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3324225</xdr:colOff>
      <xdr:row>29</xdr:row>
      <xdr:rowOff>47625</xdr:rowOff>
    </xdr:from>
    <xdr:to>
      <xdr:col>1</xdr:col>
      <xdr:colOff>3495675</xdr:colOff>
      <xdr:row>29</xdr:row>
      <xdr:rowOff>183357</xdr:rowOff>
    </xdr:to>
    <xdr:sp macro="" textlink="">
      <xdr:nvSpPr>
        <xdr:cNvPr id="14" name="67 Rectángulo"/>
        <xdr:cNvSpPr>
          <a:spLocks noChangeArrowheads="1"/>
        </xdr:cNvSpPr>
      </xdr:nvSpPr>
      <xdr:spPr bwMode="auto">
        <a:xfrm>
          <a:off x="3705225" y="7477125"/>
          <a:ext cx="171450" cy="13573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11</xdr:col>
      <xdr:colOff>104775</xdr:colOff>
      <xdr:row>27</xdr:row>
      <xdr:rowOff>47625</xdr:rowOff>
    </xdr:from>
    <xdr:to>
      <xdr:col>11</xdr:col>
      <xdr:colOff>276225</xdr:colOff>
      <xdr:row>27</xdr:row>
      <xdr:rowOff>183357</xdr:rowOff>
    </xdr:to>
    <xdr:sp macro="" textlink="">
      <xdr:nvSpPr>
        <xdr:cNvPr id="15" name="67 Rectángulo"/>
        <xdr:cNvSpPr>
          <a:spLocks noChangeArrowheads="1"/>
        </xdr:cNvSpPr>
      </xdr:nvSpPr>
      <xdr:spPr bwMode="auto">
        <a:xfrm>
          <a:off x="6162675" y="7019925"/>
          <a:ext cx="171450" cy="13573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2190750</xdr:colOff>
      <xdr:row>23</xdr:row>
      <xdr:rowOff>38100</xdr:rowOff>
    </xdr:from>
    <xdr:to>
      <xdr:col>1</xdr:col>
      <xdr:colOff>2369348</xdr:colOff>
      <xdr:row>23</xdr:row>
      <xdr:rowOff>192882</xdr:rowOff>
    </xdr:to>
    <xdr:sp macro="" textlink="">
      <xdr:nvSpPr>
        <xdr:cNvPr id="16" name="67 Rectángulo"/>
        <xdr:cNvSpPr>
          <a:spLocks noChangeArrowheads="1"/>
        </xdr:cNvSpPr>
      </xdr:nvSpPr>
      <xdr:spPr bwMode="auto">
        <a:xfrm>
          <a:off x="2571750" y="609600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2476500</xdr:colOff>
      <xdr:row>22</xdr:row>
      <xdr:rowOff>28575</xdr:rowOff>
    </xdr:from>
    <xdr:to>
      <xdr:col>1</xdr:col>
      <xdr:colOff>2655098</xdr:colOff>
      <xdr:row>22</xdr:row>
      <xdr:rowOff>183357</xdr:rowOff>
    </xdr:to>
    <xdr:sp macro="" textlink="">
      <xdr:nvSpPr>
        <xdr:cNvPr id="17" name="67 Rectángulo"/>
        <xdr:cNvSpPr>
          <a:spLocks noChangeArrowheads="1"/>
        </xdr:cNvSpPr>
      </xdr:nvSpPr>
      <xdr:spPr bwMode="auto">
        <a:xfrm>
          <a:off x="2857500" y="585787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1266825</xdr:colOff>
      <xdr:row>22</xdr:row>
      <xdr:rowOff>38100</xdr:rowOff>
    </xdr:from>
    <xdr:to>
      <xdr:col>1</xdr:col>
      <xdr:colOff>1445423</xdr:colOff>
      <xdr:row>22</xdr:row>
      <xdr:rowOff>192882</xdr:rowOff>
    </xdr:to>
    <xdr:sp macro="" textlink="">
      <xdr:nvSpPr>
        <xdr:cNvPr id="18" name="67 Rectángulo"/>
        <xdr:cNvSpPr>
          <a:spLocks noChangeArrowheads="1"/>
        </xdr:cNvSpPr>
      </xdr:nvSpPr>
      <xdr:spPr bwMode="auto">
        <a:xfrm>
          <a:off x="1647825" y="586740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76200</xdr:colOff>
      <xdr:row>26</xdr:row>
      <xdr:rowOff>28575</xdr:rowOff>
    </xdr:from>
    <xdr:to>
      <xdr:col>1</xdr:col>
      <xdr:colOff>254798</xdr:colOff>
      <xdr:row>26</xdr:row>
      <xdr:rowOff>183357</xdr:rowOff>
    </xdr:to>
    <xdr:sp macro="" textlink="">
      <xdr:nvSpPr>
        <xdr:cNvPr id="19" name="67 Rectángulo"/>
        <xdr:cNvSpPr>
          <a:spLocks noChangeArrowheads="1"/>
        </xdr:cNvSpPr>
      </xdr:nvSpPr>
      <xdr:spPr bwMode="auto">
        <a:xfrm>
          <a:off x="457200" y="677227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1647825</xdr:colOff>
      <xdr:row>26</xdr:row>
      <xdr:rowOff>28575</xdr:rowOff>
    </xdr:from>
    <xdr:to>
      <xdr:col>1</xdr:col>
      <xdr:colOff>1826423</xdr:colOff>
      <xdr:row>26</xdr:row>
      <xdr:rowOff>183357</xdr:rowOff>
    </xdr:to>
    <xdr:sp macro="" textlink="">
      <xdr:nvSpPr>
        <xdr:cNvPr id="20" name="67 Rectángulo"/>
        <xdr:cNvSpPr>
          <a:spLocks noChangeArrowheads="1"/>
        </xdr:cNvSpPr>
      </xdr:nvSpPr>
      <xdr:spPr bwMode="auto">
        <a:xfrm>
          <a:off x="2028825" y="677227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57150</xdr:colOff>
      <xdr:row>32</xdr:row>
      <xdr:rowOff>19050</xdr:rowOff>
    </xdr:from>
    <xdr:to>
      <xdr:col>1</xdr:col>
      <xdr:colOff>235748</xdr:colOff>
      <xdr:row>32</xdr:row>
      <xdr:rowOff>173832</xdr:rowOff>
    </xdr:to>
    <xdr:sp macro="" textlink="">
      <xdr:nvSpPr>
        <xdr:cNvPr id="21" name="67 Rectángulo"/>
        <xdr:cNvSpPr>
          <a:spLocks noChangeArrowheads="1"/>
        </xdr:cNvSpPr>
      </xdr:nvSpPr>
      <xdr:spPr bwMode="auto">
        <a:xfrm>
          <a:off x="438150" y="813435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1323975</xdr:colOff>
      <xdr:row>32</xdr:row>
      <xdr:rowOff>9525</xdr:rowOff>
    </xdr:from>
    <xdr:to>
      <xdr:col>1</xdr:col>
      <xdr:colOff>1502573</xdr:colOff>
      <xdr:row>32</xdr:row>
      <xdr:rowOff>164307</xdr:rowOff>
    </xdr:to>
    <xdr:sp macro="" textlink="">
      <xdr:nvSpPr>
        <xdr:cNvPr id="22" name="21 Rectángulo"/>
        <xdr:cNvSpPr>
          <a:spLocks noChangeArrowheads="1"/>
        </xdr:cNvSpPr>
      </xdr:nvSpPr>
      <xdr:spPr bwMode="auto">
        <a:xfrm>
          <a:off x="1704975" y="812482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66675</xdr:colOff>
      <xdr:row>34</xdr:row>
      <xdr:rowOff>19050</xdr:rowOff>
    </xdr:from>
    <xdr:to>
      <xdr:col>1</xdr:col>
      <xdr:colOff>245273</xdr:colOff>
      <xdr:row>34</xdr:row>
      <xdr:rowOff>173832</xdr:rowOff>
    </xdr:to>
    <xdr:sp macro="" textlink="">
      <xdr:nvSpPr>
        <xdr:cNvPr id="23" name="67 Rectángulo"/>
        <xdr:cNvSpPr>
          <a:spLocks noChangeArrowheads="1"/>
        </xdr:cNvSpPr>
      </xdr:nvSpPr>
      <xdr:spPr bwMode="auto">
        <a:xfrm>
          <a:off x="447675" y="855345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66675</xdr:colOff>
      <xdr:row>35</xdr:row>
      <xdr:rowOff>19050</xdr:rowOff>
    </xdr:from>
    <xdr:to>
      <xdr:col>1</xdr:col>
      <xdr:colOff>245273</xdr:colOff>
      <xdr:row>35</xdr:row>
      <xdr:rowOff>173832</xdr:rowOff>
    </xdr:to>
    <xdr:sp macro="" textlink="">
      <xdr:nvSpPr>
        <xdr:cNvPr id="24" name="67 Rectángulo"/>
        <xdr:cNvSpPr>
          <a:spLocks noChangeArrowheads="1"/>
        </xdr:cNvSpPr>
      </xdr:nvSpPr>
      <xdr:spPr bwMode="auto">
        <a:xfrm>
          <a:off x="447675" y="876300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66675</xdr:colOff>
      <xdr:row>36</xdr:row>
      <xdr:rowOff>28575</xdr:rowOff>
    </xdr:from>
    <xdr:to>
      <xdr:col>1</xdr:col>
      <xdr:colOff>245273</xdr:colOff>
      <xdr:row>36</xdr:row>
      <xdr:rowOff>183357</xdr:rowOff>
    </xdr:to>
    <xdr:sp macro="" textlink="">
      <xdr:nvSpPr>
        <xdr:cNvPr id="25" name="67 Rectángulo"/>
        <xdr:cNvSpPr>
          <a:spLocks noChangeArrowheads="1"/>
        </xdr:cNvSpPr>
      </xdr:nvSpPr>
      <xdr:spPr bwMode="auto">
        <a:xfrm>
          <a:off x="447675" y="898207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66675</xdr:colOff>
      <xdr:row>37</xdr:row>
      <xdr:rowOff>19050</xdr:rowOff>
    </xdr:from>
    <xdr:to>
      <xdr:col>1</xdr:col>
      <xdr:colOff>245273</xdr:colOff>
      <xdr:row>37</xdr:row>
      <xdr:rowOff>173832</xdr:rowOff>
    </xdr:to>
    <xdr:sp macro="" textlink="">
      <xdr:nvSpPr>
        <xdr:cNvPr id="26" name="67 Rectángulo"/>
        <xdr:cNvSpPr>
          <a:spLocks noChangeArrowheads="1"/>
        </xdr:cNvSpPr>
      </xdr:nvSpPr>
      <xdr:spPr bwMode="auto">
        <a:xfrm>
          <a:off x="447675" y="918210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66675</xdr:colOff>
      <xdr:row>38</xdr:row>
      <xdr:rowOff>28575</xdr:rowOff>
    </xdr:from>
    <xdr:to>
      <xdr:col>1</xdr:col>
      <xdr:colOff>245273</xdr:colOff>
      <xdr:row>38</xdr:row>
      <xdr:rowOff>183357</xdr:rowOff>
    </xdr:to>
    <xdr:sp macro="" textlink="">
      <xdr:nvSpPr>
        <xdr:cNvPr id="27" name="67 Rectángulo"/>
        <xdr:cNvSpPr>
          <a:spLocks noChangeArrowheads="1"/>
        </xdr:cNvSpPr>
      </xdr:nvSpPr>
      <xdr:spPr bwMode="auto">
        <a:xfrm>
          <a:off x="447675" y="940117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66675</xdr:colOff>
      <xdr:row>39</xdr:row>
      <xdr:rowOff>28575</xdr:rowOff>
    </xdr:from>
    <xdr:to>
      <xdr:col>1</xdr:col>
      <xdr:colOff>245273</xdr:colOff>
      <xdr:row>39</xdr:row>
      <xdr:rowOff>183357</xdr:rowOff>
    </xdr:to>
    <xdr:sp macro="" textlink="">
      <xdr:nvSpPr>
        <xdr:cNvPr id="28" name="67 Rectángulo"/>
        <xdr:cNvSpPr>
          <a:spLocks noChangeArrowheads="1"/>
        </xdr:cNvSpPr>
      </xdr:nvSpPr>
      <xdr:spPr bwMode="auto">
        <a:xfrm>
          <a:off x="447675" y="961072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66675</xdr:colOff>
      <xdr:row>40</xdr:row>
      <xdr:rowOff>28575</xdr:rowOff>
    </xdr:from>
    <xdr:to>
      <xdr:col>1</xdr:col>
      <xdr:colOff>245273</xdr:colOff>
      <xdr:row>40</xdr:row>
      <xdr:rowOff>183357</xdr:rowOff>
    </xdr:to>
    <xdr:sp macro="" textlink="">
      <xdr:nvSpPr>
        <xdr:cNvPr id="29" name="67 Rectángulo"/>
        <xdr:cNvSpPr>
          <a:spLocks noChangeArrowheads="1"/>
        </xdr:cNvSpPr>
      </xdr:nvSpPr>
      <xdr:spPr bwMode="auto">
        <a:xfrm>
          <a:off x="447675" y="982027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66675</xdr:colOff>
      <xdr:row>41</xdr:row>
      <xdr:rowOff>28575</xdr:rowOff>
    </xdr:from>
    <xdr:to>
      <xdr:col>1</xdr:col>
      <xdr:colOff>245273</xdr:colOff>
      <xdr:row>41</xdr:row>
      <xdr:rowOff>183357</xdr:rowOff>
    </xdr:to>
    <xdr:sp macro="" textlink="">
      <xdr:nvSpPr>
        <xdr:cNvPr id="30" name="67 Rectángulo"/>
        <xdr:cNvSpPr>
          <a:spLocks noChangeArrowheads="1"/>
        </xdr:cNvSpPr>
      </xdr:nvSpPr>
      <xdr:spPr bwMode="auto">
        <a:xfrm>
          <a:off x="447675" y="1002982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66675</xdr:colOff>
      <xdr:row>43</xdr:row>
      <xdr:rowOff>19050</xdr:rowOff>
    </xdr:from>
    <xdr:to>
      <xdr:col>1</xdr:col>
      <xdr:colOff>245273</xdr:colOff>
      <xdr:row>43</xdr:row>
      <xdr:rowOff>173832</xdr:rowOff>
    </xdr:to>
    <xdr:sp macro="" textlink="">
      <xdr:nvSpPr>
        <xdr:cNvPr id="31" name="67 Rectángulo"/>
        <xdr:cNvSpPr>
          <a:spLocks noChangeArrowheads="1"/>
        </xdr:cNvSpPr>
      </xdr:nvSpPr>
      <xdr:spPr bwMode="auto">
        <a:xfrm>
          <a:off x="447675" y="1057275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66675</xdr:colOff>
      <xdr:row>45</xdr:row>
      <xdr:rowOff>28575</xdr:rowOff>
    </xdr:from>
    <xdr:to>
      <xdr:col>1</xdr:col>
      <xdr:colOff>245273</xdr:colOff>
      <xdr:row>45</xdr:row>
      <xdr:rowOff>183357</xdr:rowOff>
    </xdr:to>
    <xdr:sp macro="" textlink="">
      <xdr:nvSpPr>
        <xdr:cNvPr id="32" name="67 Rectángulo"/>
        <xdr:cNvSpPr>
          <a:spLocks noChangeArrowheads="1"/>
        </xdr:cNvSpPr>
      </xdr:nvSpPr>
      <xdr:spPr bwMode="auto">
        <a:xfrm>
          <a:off x="447675" y="1106805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66675</xdr:colOff>
      <xdr:row>46</xdr:row>
      <xdr:rowOff>28575</xdr:rowOff>
    </xdr:from>
    <xdr:to>
      <xdr:col>1</xdr:col>
      <xdr:colOff>245273</xdr:colOff>
      <xdr:row>46</xdr:row>
      <xdr:rowOff>183357</xdr:rowOff>
    </xdr:to>
    <xdr:sp macro="" textlink="">
      <xdr:nvSpPr>
        <xdr:cNvPr id="33" name="67 Rectángulo"/>
        <xdr:cNvSpPr>
          <a:spLocks noChangeArrowheads="1"/>
        </xdr:cNvSpPr>
      </xdr:nvSpPr>
      <xdr:spPr bwMode="auto">
        <a:xfrm>
          <a:off x="447675" y="1127760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1209675</xdr:colOff>
      <xdr:row>46</xdr:row>
      <xdr:rowOff>19050</xdr:rowOff>
    </xdr:from>
    <xdr:to>
      <xdr:col>1</xdr:col>
      <xdr:colOff>1388273</xdr:colOff>
      <xdr:row>46</xdr:row>
      <xdr:rowOff>173832</xdr:rowOff>
    </xdr:to>
    <xdr:sp macro="" textlink="">
      <xdr:nvSpPr>
        <xdr:cNvPr id="34" name="67 Rectángulo"/>
        <xdr:cNvSpPr>
          <a:spLocks noChangeArrowheads="1"/>
        </xdr:cNvSpPr>
      </xdr:nvSpPr>
      <xdr:spPr bwMode="auto">
        <a:xfrm>
          <a:off x="1590675" y="1126807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1209675</xdr:colOff>
      <xdr:row>47</xdr:row>
      <xdr:rowOff>19050</xdr:rowOff>
    </xdr:from>
    <xdr:to>
      <xdr:col>1</xdr:col>
      <xdr:colOff>1388273</xdr:colOff>
      <xdr:row>47</xdr:row>
      <xdr:rowOff>173832</xdr:rowOff>
    </xdr:to>
    <xdr:sp macro="" textlink="">
      <xdr:nvSpPr>
        <xdr:cNvPr id="35" name="67 Rectángulo"/>
        <xdr:cNvSpPr>
          <a:spLocks noChangeArrowheads="1"/>
        </xdr:cNvSpPr>
      </xdr:nvSpPr>
      <xdr:spPr bwMode="auto">
        <a:xfrm>
          <a:off x="1590675" y="1147762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76200</xdr:colOff>
      <xdr:row>48</xdr:row>
      <xdr:rowOff>28575</xdr:rowOff>
    </xdr:from>
    <xdr:to>
      <xdr:col>1</xdr:col>
      <xdr:colOff>254798</xdr:colOff>
      <xdr:row>48</xdr:row>
      <xdr:rowOff>183357</xdr:rowOff>
    </xdr:to>
    <xdr:sp macro="" textlink="">
      <xdr:nvSpPr>
        <xdr:cNvPr id="36" name="67 Rectángulo"/>
        <xdr:cNvSpPr>
          <a:spLocks noChangeArrowheads="1"/>
        </xdr:cNvSpPr>
      </xdr:nvSpPr>
      <xdr:spPr bwMode="auto">
        <a:xfrm>
          <a:off x="457200" y="1169670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76200</xdr:colOff>
      <xdr:row>50</xdr:row>
      <xdr:rowOff>28575</xdr:rowOff>
    </xdr:from>
    <xdr:to>
      <xdr:col>1</xdr:col>
      <xdr:colOff>254798</xdr:colOff>
      <xdr:row>50</xdr:row>
      <xdr:rowOff>183357</xdr:rowOff>
    </xdr:to>
    <xdr:sp macro="" textlink="">
      <xdr:nvSpPr>
        <xdr:cNvPr id="37" name="67 Rectángulo"/>
        <xdr:cNvSpPr>
          <a:spLocks noChangeArrowheads="1"/>
        </xdr:cNvSpPr>
      </xdr:nvSpPr>
      <xdr:spPr bwMode="auto">
        <a:xfrm>
          <a:off x="457200" y="1215390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76200</xdr:colOff>
      <xdr:row>51</xdr:row>
      <xdr:rowOff>19050</xdr:rowOff>
    </xdr:from>
    <xdr:to>
      <xdr:col>1</xdr:col>
      <xdr:colOff>254798</xdr:colOff>
      <xdr:row>51</xdr:row>
      <xdr:rowOff>173832</xdr:rowOff>
    </xdr:to>
    <xdr:sp macro="" textlink="">
      <xdr:nvSpPr>
        <xdr:cNvPr id="38" name="67 Rectángulo"/>
        <xdr:cNvSpPr>
          <a:spLocks noChangeArrowheads="1"/>
        </xdr:cNvSpPr>
      </xdr:nvSpPr>
      <xdr:spPr bwMode="auto">
        <a:xfrm>
          <a:off x="457200" y="1235392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2295525</xdr:colOff>
      <xdr:row>50</xdr:row>
      <xdr:rowOff>28575</xdr:rowOff>
    </xdr:from>
    <xdr:to>
      <xdr:col>1</xdr:col>
      <xdr:colOff>2474123</xdr:colOff>
      <xdr:row>50</xdr:row>
      <xdr:rowOff>183357</xdr:rowOff>
    </xdr:to>
    <xdr:sp macro="" textlink="">
      <xdr:nvSpPr>
        <xdr:cNvPr id="39" name="67 Rectángulo"/>
        <xdr:cNvSpPr>
          <a:spLocks noChangeArrowheads="1"/>
        </xdr:cNvSpPr>
      </xdr:nvSpPr>
      <xdr:spPr bwMode="auto">
        <a:xfrm>
          <a:off x="2676525" y="1215390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76200</xdr:colOff>
      <xdr:row>53</xdr:row>
      <xdr:rowOff>19050</xdr:rowOff>
    </xdr:from>
    <xdr:to>
      <xdr:col>1</xdr:col>
      <xdr:colOff>254798</xdr:colOff>
      <xdr:row>53</xdr:row>
      <xdr:rowOff>173832</xdr:rowOff>
    </xdr:to>
    <xdr:sp macro="" textlink="">
      <xdr:nvSpPr>
        <xdr:cNvPr id="40" name="67 Rectángulo"/>
        <xdr:cNvSpPr>
          <a:spLocks noChangeArrowheads="1"/>
        </xdr:cNvSpPr>
      </xdr:nvSpPr>
      <xdr:spPr bwMode="auto">
        <a:xfrm>
          <a:off x="457200" y="1277302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76200</xdr:colOff>
      <xdr:row>54</xdr:row>
      <xdr:rowOff>19050</xdr:rowOff>
    </xdr:from>
    <xdr:to>
      <xdr:col>1</xdr:col>
      <xdr:colOff>254798</xdr:colOff>
      <xdr:row>54</xdr:row>
      <xdr:rowOff>173832</xdr:rowOff>
    </xdr:to>
    <xdr:sp macro="" textlink="">
      <xdr:nvSpPr>
        <xdr:cNvPr id="41" name="67 Rectángulo"/>
        <xdr:cNvSpPr>
          <a:spLocks noChangeArrowheads="1"/>
        </xdr:cNvSpPr>
      </xdr:nvSpPr>
      <xdr:spPr bwMode="auto">
        <a:xfrm>
          <a:off x="457200" y="1298257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1847850</xdr:colOff>
      <xdr:row>53</xdr:row>
      <xdr:rowOff>28575</xdr:rowOff>
    </xdr:from>
    <xdr:to>
      <xdr:col>1</xdr:col>
      <xdr:colOff>2026448</xdr:colOff>
      <xdr:row>53</xdr:row>
      <xdr:rowOff>183357</xdr:rowOff>
    </xdr:to>
    <xdr:sp macro="" textlink="">
      <xdr:nvSpPr>
        <xdr:cNvPr id="42" name="67 Rectángulo"/>
        <xdr:cNvSpPr>
          <a:spLocks noChangeArrowheads="1"/>
        </xdr:cNvSpPr>
      </xdr:nvSpPr>
      <xdr:spPr bwMode="auto">
        <a:xfrm>
          <a:off x="2228850" y="1278255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3429000</xdr:colOff>
      <xdr:row>53</xdr:row>
      <xdr:rowOff>28575</xdr:rowOff>
    </xdr:from>
    <xdr:to>
      <xdr:col>1</xdr:col>
      <xdr:colOff>3607598</xdr:colOff>
      <xdr:row>53</xdr:row>
      <xdr:rowOff>183357</xdr:rowOff>
    </xdr:to>
    <xdr:sp macro="" textlink="">
      <xdr:nvSpPr>
        <xdr:cNvPr id="43" name="67 Rectángulo"/>
        <xdr:cNvSpPr>
          <a:spLocks noChangeArrowheads="1"/>
        </xdr:cNvSpPr>
      </xdr:nvSpPr>
      <xdr:spPr bwMode="auto">
        <a:xfrm>
          <a:off x="3810000" y="1278255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2828925</xdr:colOff>
      <xdr:row>36</xdr:row>
      <xdr:rowOff>19050</xdr:rowOff>
    </xdr:from>
    <xdr:to>
      <xdr:col>1</xdr:col>
      <xdr:colOff>3007523</xdr:colOff>
      <xdr:row>36</xdr:row>
      <xdr:rowOff>173832</xdr:rowOff>
    </xdr:to>
    <xdr:sp macro="" textlink="">
      <xdr:nvSpPr>
        <xdr:cNvPr id="44" name="67 Rectángulo"/>
        <xdr:cNvSpPr>
          <a:spLocks noChangeArrowheads="1"/>
        </xdr:cNvSpPr>
      </xdr:nvSpPr>
      <xdr:spPr bwMode="auto">
        <a:xfrm>
          <a:off x="3209925" y="897255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6</xdr:col>
      <xdr:colOff>9525</xdr:colOff>
      <xdr:row>59</xdr:row>
      <xdr:rowOff>38100</xdr:rowOff>
    </xdr:from>
    <xdr:to>
      <xdr:col>7</xdr:col>
      <xdr:colOff>130973</xdr:colOff>
      <xdr:row>59</xdr:row>
      <xdr:rowOff>192882</xdr:rowOff>
    </xdr:to>
    <xdr:sp macro="" textlink="">
      <xdr:nvSpPr>
        <xdr:cNvPr id="45" name="67 Rectángulo"/>
        <xdr:cNvSpPr>
          <a:spLocks noChangeArrowheads="1"/>
        </xdr:cNvSpPr>
      </xdr:nvSpPr>
      <xdr:spPr bwMode="auto">
        <a:xfrm>
          <a:off x="5114925" y="1411605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9</xdr:col>
      <xdr:colOff>152400</xdr:colOff>
      <xdr:row>59</xdr:row>
      <xdr:rowOff>47625</xdr:rowOff>
    </xdr:from>
    <xdr:to>
      <xdr:col>9</xdr:col>
      <xdr:colOff>330998</xdr:colOff>
      <xdr:row>59</xdr:row>
      <xdr:rowOff>202407</xdr:rowOff>
    </xdr:to>
    <xdr:sp macro="" textlink="">
      <xdr:nvSpPr>
        <xdr:cNvPr id="46" name="67 Rectángulo"/>
        <xdr:cNvSpPr>
          <a:spLocks noChangeArrowheads="1"/>
        </xdr:cNvSpPr>
      </xdr:nvSpPr>
      <xdr:spPr bwMode="auto">
        <a:xfrm>
          <a:off x="5753100" y="1412557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11</xdr:col>
      <xdr:colOff>1123950</xdr:colOff>
      <xdr:row>59</xdr:row>
      <xdr:rowOff>38100</xdr:rowOff>
    </xdr:from>
    <xdr:to>
      <xdr:col>11</xdr:col>
      <xdr:colOff>1302548</xdr:colOff>
      <xdr:row>59</xdr:row>
      <xdr:rowOff>192882</xdr:rowOff>
    </xdr:to>
    <xdr:sp macro="" textlink="">
      <xdr:nvSpPr>
        <xdr:cNvPr id="47" name="67 Rectángulo"/>
        <xdr:cNvSpPr>
          <a:spLocks noChangeArrowheads="1"/>
        </xdr:cNvSpPr>
      </xdr:nvSpPr>
      <xdr:spPr bwMode="auto">
        <a:xfrm>
          <a:off x="7181850" y="1411605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11</xdr:col>
      <xdr:colOff>2047875</xdr:colOff>
      <xdr:row>59</xdr:row>
      <xdr:rowOff>38100</xdr:rowOff>
    </xdr:from>
    <xdr:to>
      <xdr:col>11</xdr:col>
      <xdr:colOff>2226473</xdr:colOff>
      <xdr:row>59</xdr:row>
      <xdr:rowOff>192882</xdr:rowOff>
    </xdr:to>
    <xdr:sp macro="" textlink="">
      <xdr:nvSpPr>
        <xdr:cNvPr id="48" name="67 Rectángulo"/>
        <xdr:cNvSpPr>
          <a:spLocks noChangeArrowheads="1"/>
        </xdr:cNvSpPr>
      </xdr:nvSpPr>
      <xdr:spPr bwMode="auto">
        <a:xfrm>
          <a:off x="8105775" y="1411605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3</xdr:col>
      <xdr:colOff>66675</xdr:colOff>
      <xdr:row>60</xdr:row>
      <xdr:rowOff>419100</xdr:rowOff>
    </xdr:from>
    <xdr:to>
      <xdr:col>3</xdr:col>
      <xdr:colOff>245273</xdr:colOff>
      <xdr:row>60</xdr:row>
      <xdr:rowOff>573882</xdr:rowOff>
    </xdr:to>
    <xdr:sp macro="" textlink="">
      <xdr:nvSpPr>
        <xdr:cNvPr id="49" name="67 Rectángulo"/>
        <xdr:cNvSpPr>
          <a:spLocks noChangeArrowheads="1"/>
        </xdr:cNvSpPr>
      </xdr:nvSpPr>
      <xdr:spPr bwMode="auto">
        <a:xfrm>
          <a:off x="4352925" y="1481137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7</xdr:col>
      <xdr:colOff>352425</xdr:colOff>
      <xdr:row>60</xdr:row>
      <xdr:rowOff>438150</xdr:rowOff>
    </xdr:from>
    <xdr:to>
      <xdr:col>9</xdr:col>
      <xdr:colOff>92873</xdr:colOff>
      <xdr:row>60</xdr:row>
      <xdr:rowOff>592932</xdr:rowOff>
    </xdr:to>
    <xdr:sp macro="" textlink="">
      <xdr:nvSpPr>
        <xdr:cNvPr id="50" name="67 Rectángulo"/>
        <xdr:cNvSpPr>
          <a:spLocks noChangeArrowheads="1"/>
        </xdr:cNvSpPr>
      </xdr:nvSpPr>
      <xdr:spPr bwMode="auto">
        <a:xfrm>
          <a:off x="5514975" y="1483042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11</xdr:col>
      <xdr:colOff>600075</xdr:colOff>
      <xdr:row>60</xdr:row>
      <xdr:rowOff>438150</xdr:rowOff>
    </xdr:from>
    <xdr:to>
      <xdr:col>11</xdr:col>
      <xdr:colOff>778673</xdr:colOff>
      <xdr:row>60</xdr:row>
      <xdr:rowOff>592932</xdr:rowOff>
    </xdr:to>
    <xdr:sp macro="" textlink="">
      <xdr:nvSpPr>
        <xdr:cNvPr id="51" name="67 Rectángulo"/>
        <xdr:cNvSpPr>
          <a:spLocks noChangeArrowheads="1"/>
        </xdr:cNvSpPr>
      </xdr:nvSpPr>
      <xdr:spPr bwMode="auto">
        <a:xfrm>
          <a:off x="6657975" y="1483042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11</xdr:col>
      <xdr:colOff>1695450</xdr:colOff>
      <xdr:row>60</xdr:row>
      <xdr:rowOff>447675</xdr:rowOff>
    </xdr:from>
    <xdr:to>
      <xdr:col>11</xdr:col>
      <xdr:colOff>1874048</xdr:colOff>
      <xdr:row>60</xdr:row>
      <xdr:rowOff>602457</xdr:rowOff>
    </xdr:to>
    <xdr:sp macro="" textlink="">
      <xdr:nvSpPr>
        <xdr:cNvPr id="52" name="67 Rectángulo"/>
        <xdr:cNvSpPr>
          <a:spLocks noChangeArrowheads="1"/>
        </xdr:cNvSpPr>
      </xdr:nvSpPr>
      <xdr:spPr bwMode="auto">
        <a:xfrm>
          <a:off x="7753350" y="1483995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oneCellAnchor>
    <xdr:from>
      <xdr:col>11</xdr:col>
      <xdr:colOff>762000</xdr:colOff>
      <xdr:row>9</xdr:row>
      <xdr:rowOff>28574</xdr:rowOff>
    </xdr:from>
    <xdr:ext cx="1981200" cy="409575"/>
    <xdr:sp macro="" textlink="">
      <xdr:nvSpPr>
        <xdr:cNvPr id="53" name="52 CuadroTexto"/>
        <xdr:cNvSpPr txBox="1"/>
      </xdr:nvSpPr>
      <xdr:spPr>
        <a:xfrm>
          <a:off x="6819900" y="2647949"/>
          <a:ext cx="1981200" cy="409575"/>
        </a:xfrm>
        <a:prstGeom prst="rect">
          <a:avLst/>
        </a:prstGeom>
        <a:solidFill>
          <a:srgbClr val="FFFF00"/>
        </a:solidFill>
        <a:ln>
          <a:noFill/>
        </a:ln>
      </xdr:spPr>
      <xdr:style>
        <a:lnRef idx="0">
          <a:scrgbClr r="0" g="0" b="0"/>
        </a:lnRef>
        <a:fillRef idx="0">
          <a:scrgbClr r="0" g="0" b="0"/>
        </a:fillRef>
        <a:effectRef idx="0">
          <a:scrgbClr r="0" g="0" b="0"/>
        </a:effectRef>
        <a:fontRef idx="minor">
          <a:schemeClr val="tx1"/>
        </a:fontRef>
      </xdr:style>
      <xdr:txBody>
        <a:bodyPr vertOverflow="clip" wrap="square" rtlCol="0" anchor="ctr" anchorCtr="0">
          <a:noAutofit/>
        </a:bodyPr>
        <a:lstStyle/>
        <a:p>
          <a:pPr algn="ctr"/>
          <a:r>
            <a:rPr lang="es-PA" sz="1000" b="1" i="1">
              <a:solidFill>
                <a:srgbClr val="FF0000"/>
              </a:solidFill>
            </a:rPr>
            <a:t>SI ES ENTREGA INMEDIATA</a:t>
          </a:r>
        </a:p>
        <a:p>
          <a:pPr algn="ctr"/>
          <a:r>
            <a:rPr lang="es-PA" sz="1000" b="1" i="1">
              <a:solidFill>
                <a:srgbClr val="FF0000"/>
              </a:solidFill>
            </a:rPr>
            <a:t>ADJUNTAR</a:t>
          </a:r>
          <a:r>
            <a:rPr lang="es-PA" sz="1000" b="1" i="1" baseline="0">
              <a:solidFill>
                <a:srgbClr val="FF0000"/>
              </a:solidFill>
            </a:rPr>
            <a:t> CONSTANCIA</a:t>
          </a:r>
          <a:endParaRPr lang="es-PA" sz="1000" b="1" i="1">
            <a:solidFill>
              <a:srgbClr val="FF0000"/>
            </a:solidFill>
          </a:endParaRPr>
        </a:p>
      </xdr:txBody>
    </xdr:sp>
    <xdr:clientData/>
  </xdr:oneCellAnchor>
  <xdr:twoCellAnchor>
    <xdr:from>
      <xdr:col>1</xdr:col>
      <xdr:colOff>1352550</xdr:colOff>
      <xdr:row>9</xdr:row>
      <xdr:rowOff>38100</xdr:rowOff>
    </xdr:from>
    <xdr:to>
      <xdr:col>1</xdr:col>
      <xdr:colOff>1531148</xdr:colOff>
      <xdr:row>9</xdr:row>
      <xdr:rowOff>192882</xdr:rowOff>
    </xdr:to>
    <xdr:sp macro="" textlink="">
      <xdr:nvSpPr>
        <xdr:cNvPr id="54" name="67 Rectángulo"/>
        <xdr:cNvSpPr>
          <a:spLocks noChangeArrowheads="1"/>
        </xdr:cNvSpPr>
      </xdr:nvSpPr>
      <xdr:spPr bwMode="auto">
        <a:xfrm>
          <a:off x="1733550" y="265747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1343025</xdr:colOff>
      <xdr:row>10</xdr:row>
      <xdr:rowOff>38100</xdr:rowOff>
    </xdr:from>
    <xdr:to>
      <xdr:col>1</xdr:col>
      <xdr:colOff>1521623</xdr:colOff>
      <xdr:row>10</xdr:row>
      <xdr:rowOff>192882</xdr:rowOff>
    </xdr:to>
    <xdr:sp macro="" textlink="">
      <xdr:nvSpPr>
        <xdr:cNvPr id="55" name="67 Rectángulo"/>
        <xdr:cNvSpPr>
          <a:spLocks noChangeArrowheads="1"/>
        </xdr:cNvSpPr>
      </xdr:nvSpPr>
      <xdr:spPr bwMode="auto">
        <a:xfrm>
          <a:off x="1724025" y="290512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1343025</xdr:colOff>
      <xdr:row>11</xdr:row>
      <xdr:rowOff>38100</xdr:rowOff>
    </xdr:from>
    <xdr:to>
      <xdr:col>1</xdr:col>
      <xdr:colOff>1521623</xdr:colOff>
      <xdr:row>11</xdr:row>
      <xdr:rowOff>192882</xdr:rowOff>
    </xdr:to>
    <xdr:sp macro="" textlink="">
      <xdr:nvSpPr>
        <xdr:cNvPr id="56" name="67 Rectángulo"/>
        <xdr:cNvSpPr>
          <a:spLocks noChangeArrowheads="1"/>
        </xdr:cNvSpPr>
      </xdr:nvSpPr>
      <xdr:spPr bwMode="auto">
        <a:xfrm>
          <a:off x="1724025" y="315277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3133725</xdr:colOff>
      <xdr:row>11</xdr:row>
      <xdr:rowOff>47625</xdr:rowOff>
    </xdr:from>
    <xdr:to>
      <xdr:col>1</xdr:col>
      <xdr:colOff>3312323</xdr:colOff>
      <xdr:row>11</xdr:row>
      <xdr:rowOff>202407</xdr:rowOff>
    </xdr:to>
    <xdr:sp macro="" textlink="">
      <xdr:nvSpPr>
        <xdr:cNvPr id="57" name="67 Rectángulo"/>
        <xdr:cNvSpPr>
          <a:spLocks noChangeArrowheads="1"/>
        </xdr:cNvSpPr>
      </xdr:nvSpPr>
      <xdr:spPr bwMode="auto">
        <a:xfrm>
          <a:off x="3514725" y="316230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3448050</xdr:colOff>
      <xdr:row>9</xdr:row>
      <xdr:rowOff>47625</xdr:rowOff>
    </xdr:from>
    <xdr:to>
      <xdr:col>1</xdr:col>
      <xdr:colOff>3626648</xdr:colOff>
      <xdr:row>9</xdr:row>
      <xdr:rowOff>202407</xdr:rowOff>
    </xdr:to>
    <xdr:sp macro="" textlink="">
      <xdr:nvSpPr>
        <xdr:cNvPr id="58" name="67 Rectángulo"/>
        <xdr:cNvSpPr>
          <a:spLocks noChangeArrowheads="1"/>
        </xdr:cNvSpPr>
      </xdr:nvSpPr>
      <xdr:spPr bwMode="auto">
        <a:xfrm>
          <a:off x="3829050" y="266700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7</xdr:col>
      <xdr:colOff>114300</xdr:colOff>
      <xdr:row>11</xdr:row>
      <xdr:rowOff>47625</xdr:rowOff>
    </xdr:from>
    <xdr:to>
      <xdr:col>7</xdr:col>
      <xdr:colOff>292898</xdr:colOff>
      <xdr:row>11</xdr:row>
      <xdr:rowOff>202407</xdr:rowOff>
    </xdr:to>
    <xdr:sp macro="" textlink="">
      <xdr:nvSpPr>
        <xdr:cNvPr id="59" name="67 Rectángulo"/>
        <xdr:cNvSpPr>
          <a:spLocks noChangeArrowheads="1"/>
        </xdr:cNvSpPr>
      </xdr:nvSpPr>
      <xdr:spPr bwMode="auto">
        <a:xfrm>
          <a:off x="5276850" y="3162300"/>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1314450</xdr:colOff>
      <xdr:row>23</xdr:row>
      <xdr:rowOff>0</xdr:rowOff>
    </xdr:from>
    <xdr:to>
      <xdr:col>1</xdr:col>
      <xdr:colOff>1493048</xdr:colOff>
      <xdr:row>23</xdr:row>
      <xdr:rowOff>0</xdr:rowOff>
    </xdr:to>
    <xdr:sp macro="" textlink="">
      <xdr:nvSpPr>
        <xdr:cNvPr id="60" name="67 Rectángulo"/>
        <xdr:cNvSpPr>
          <a:spLocks noChangeArrowheads="1"/>
        </xdr:cNvSpPr>
      </xdr:nvSpPr>
      <xdr:spPr bwMode="auto">
        <a:xfrm>
          <a:off x="1695450" y="6057900"/>
          <a:ext cx="178598" cy="0"/>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3133725</xdr:colOff>
      <xdr:row>23</xdr:row>
      <xdr:rowOff>0</xdr:rowOff>
    </xdr:from>
    <xdr:to>
      <xdr:col>1</xdr:col>
      <xdr:colOff>3312323</xdr:colOff>
      <xdr:row>23</xdr:row>
      <xdr:rowOff>0</xdr:rowOff>
    </xdr:to>
    <xdr:sp macro="" textlink="">
      <xdr:nvSpPr>
        <xdr:cNvPr id="61" name="67 Rectángulo"/>
        <xdr:cNvSpPr>
          <a:spLocks noChangeArrowheads="1"/>
        </xdr:cNvSpPr>
      </xdr:nvSpPr>
      <xdr:spPr bwMode="auto">
        <a:xfrm>
          <a:off x="3514725" y="6057900"/>
          <a:ext cx="178598" cy="0"/>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1333500</xdr:colOff>
      <xdr:row>17</xdr:row>
      <xdr:rowOff>209550</xdr:rowOff>
    </xdr:from>
    <xdr:to>
      <xdr:col>1</xdr:col>
      <xdr:colOff>1512098</xdr:colOff>
      <xdr:row>17</xdr:row>
      <xdr:rowOff>364332</xdr:rowOff>
    </xdr:to>
    <xdr:sp macro="" textlink="">
      <xdr:nvSpPr>
        <xdr:cNvPr id="62" name="67 Rectángulo"/>
        <xdr:cNvSpPr>
          <a:spLocks noChangeArrowheads="1"/>
        </xdr:cNvSpPr>
      </xdr:nvSpPr>
      <xdr:spPr bwMode="auto">
        <a:xfrm>
          <a:off x="1714500" y="465772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3171825</xdr:colOff>
      <xdr:row>17</xdr:row>
      <xdr:rowOff>190500</xdr:rowOff>
    </xdr:from>
    <xdr:to>
      <xdr:col>1</xdr:col>
      <xdr:colOff>3350423</xdr:colOff>
      <xdr:row>17</xdr:row>
      <xdr:rowOff>345282</xdr:rowOff>
    </xdr:to>
    <xdr:sp macro="" textlink="">
      <xdr:nvSpPr>
        <xdr:cNvPr id="63" name="67 Rectángulo"/>
        <xdr:cNvSpPr>
          <a:spLocks noChangeArrowheads="1"/>
        </xdr:cNvSpPr>
      </xdr:nvSpPr>
      <xdr:spPr bwMode="auto">
        <a:xfrm>
          <a:off x="3552825" y="463867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twoCellAnchor>
    <xdr:from>
      <xdr:col>1</xdr:col>
      <xdr:colOff>1333500</xdr:colOff>
      <xdr:row>18</xdr:row>
      <xdr:rowOff>38100</xdr:rowOff>
    </xdr:from>
    <xdr:to>
      <xdr:col>1</xdr:col>
      <xdr:colOff>1512098</xdr:colOff>
      <xdr:row>18</xdr:row>
      <xdr:rowOff>192882</xdr:rowOff>
    </xdr:to>
    <xdr:sp macro="" textlink="">
      <xdr:nvSpPr>
        <xdr:cNvPr id="64" name="67 Rectángulo"/>
        <xdr:cNvSpPr>
          <a:spLocks noChangeArrowheads="1"/>
        </xdr:cNvSpPr>
      </xdr:nvSpPr>
      <xdr:spPr bwMode="auto">
        <a:xfrm>
          <a:off x="1714500" y="4867275"/>
          <a:ext cx="178598" cy="154782"/>
        </a:xfrm>
        <a:prstGeom prst="rect">
          <a:avLst/>
        </a:prstGeom>
        <a:solidFill>
          <a:srgbClr val="FFFFFF"/>
        </a:solidFill>
        <a:ln w="9525" algn="ctr">
          <a:solidFill>
            <a:srgbClr val="000000"/>
          </a:solidFill>
          <a:round/>
          <a:headEnd/>
          <a:tailEnd/>
        </a:ln>
        <a:effectLst>
          <a:outerShdw blurRad="50800" dist="38100" algn="l" rotWithShape="0">
            <a:prstClr val="black">
              <a:alpha val="40000"/>
            </a:prstClr>
          </a:outerShdw>
        </a:effectLst>
      </xdr:spPr>
      <xdr:txBody>
        <a:bodyPr/>
        <a:lstStyle/>
        <a:p>
          <a:endParaRPr lang="es-PA"/>
        </a:p>
      </xdr:txBody>
    </xdr:sp>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266700</xdr:colOff>
          <xdr:row>4</xdr:row>
          <xdr:rowOff>171450</xdr:rowOff>
        </xdr:from>
        <xdr:to>
          <xdr:col>2</xdr:col>
          <xdr:colOff>419100</xdr:colOff>
          <xdr:row>8</xdr:row>
          <xdr:rowOff>95250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647700</xdr:colOff>
          <xdr:row>4</xdr:row>
          <xdr:rowOff>171450</xdr:rowOff>
        </xdr:from>
        <xdr:to>
          <xdr:col>4</xdr:col>
          <xdr:colOff>1562100</xdr:colOff>
          <xdr:row>8</xdr:row>
          <xdr:rowOff>95250</xdr:rowOff>
        </xdr:to>
        <xdr:sp macro="" textlink="">
          <xdr:nvSpPr>
            <xdr:cNvPr id="7170" name="Object 2" hidden="1">
              <a:extLst>
                <a:ext uri="{63B3BB69-23CF-44E3-9099-C40C66FF867C}">
                  <a14:compatExt spid="_x0000_s717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495300</xdr:colOff>
          <xdr:row>4</xdr:row>
          <xdr:rowOff>161925</xdr:rowOff>
        </xdr:from>
        <xdr:to>
          <xdr:col>9</xdr:col>
          <xdr:colOff>647700</xdr:colOff>
          <xdr:row>8</xdr:row>
          <xdr:rowOff>85725</xdr:rowOff>
        </xdr:to>
        <xdr:sp macro="" textlink="">
          <xdr:nvSpPr>
            <xdr:cNvPr id="7173" name="Object 5" hidden="1">
              <a:extLst>
                <a:ext uri="{63B3BB69-23CF-44E3-9099-C40C66FF867C}">
                  <a14:compatExt spid="_x0000_s717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4</xdr:row>
          <xdr:rowOff>114300</xdr:rowOff>
        </xdr:from>
        <xdr:to>
          <xdr:col>7</xdr:col>
          <xdr:colOff>361950</xdr:colOff>
          <xdr:row>8</xdr:row>
          <xdr:rowOff>38100</xdr:rowOff>
        </xdr:to>
        <xdr:sp macro="" textlink="">
          <xdr:nvSpPr>
            <xdr:cNvPr id="7175" name="Object 7" hidden="1">
              <a:extLst>
                <a:ext uri="{63B3BB69-23CF-44E3-9099-C40C66FF867C}">
                  <a14:compatExt spid="_x0000_s717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6458</xdr:rowOff>
    </xdr:from>
    <xdr:to>
      <xdr:col>3</xdr:col>
      <xdr:colOff>761999</xdr:colOff>
      <xdr:row>3</xdr:row>
      <xdr:rowOff>19051</xdr:rowOff>
    </xdr:to>
    <xdr:pic>
      <xdr:nvPicPr>
        <xdr:cNvPr id="2" name="Picture 38"/>
        <xdr:cNvPicPr>
          <a:picLocks noChangeAspect="1" noChangeArrowheads="1"/>
        </xdr:cNvPicPr>
      </xdr:nvPicPr>
      <xdr:blipFill>
        <a:blip xmlns:r="http://schemas.openxmlformats.org/officeDocument/2006/relationships" r:embed="rId1" cstate="print"/>
        <a:srcRect/>
        <a:stretch>
          <a:fillRect/>
        </a:stretch>
      </xdr:blipFill>
      <xdr:spPr bwMode="auto">
        <a:xfrm>
          <a:off x="0" y="6458"/>
          <a:ext cx="3209924" cy="555518"/>
        </a:xfrm>
        <a:prstGeom prst="rect">
          <a:avLst/>
        </a:prstGeom>
        <a:noFill/>
      </xdr:spPr>
    </xdr:pic>
    <xdr:clientData/>
  </xdr:twoCellAnchor>
  <xdr:twoCellAnchor>
    <xdr:from>
      <xdr:col>8</xdr:col>
      <xdr:colOff>628650</xdr:colOff>
      <xdr:row>10</xdr:row>
      <xdr:rowOff>28575</xdr:rowOff>
    </xdr:from>
    <xdr:to>
      <xdr:col>8</xdr:col>
      <xdr:colOff>762000</xdr:colOff>
      <xdr:row>10</xdr:row>
      <xdr:rowOff>152400</xdr:rowOff>
    </xdr:to>
    <xdr:sp macro="" textlink="">
      <xdr:nvSpPr>
        <xdr:cNvPr id="3" name="2 Rectángulo"/>
        <xdr:cNvSpPr/>
      </xdr:nvSpPr>
      <xdr:spPr>
        <a:xfrm>
          <a:off x="6972300" y="2038350"/>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10</xdr:col>
      <xdr:colOff>200026</xdr:colOff>
      <xdr:row>10</xdr:row>
      <xdr:rowOff>19050</xdr:rowOff>
    </xdr:from>
    <xdr:to>
      <xdr:col>10</xdr:col>
      <xdr:colOff>314326</xdr:colOff>
      <xdr:row>10</xdr:row>
      <xdr:rowOff>152400</xdr:rowOff>
    </xdr:to>
    <xdr:sp macro="" textlink="">
      <xdr:nvSpPr>
        <xdr:cNvPr id="4" name="3 Rectángulo"/>
        <xdr:cNvSpPr/>
      </xdr:nvSpPr>
      <xdr:spPr>
        <a:xfrm>
          <a:off x="8010526" y="2028825"/>
          <a:ext cx="114300" cy="1333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8</xdr:col>
      <xdr:colOff>638175</xdr:colOff>
      <xdr:row>11</xdr:row>
      <xdr:rowOff>171450</xdr:rowOff>
    </xdr:from>
    <xdr:to>
      <xdr:col>8</xdr:col>
      <xdr:colOff>771525</xdr:colOff>
      <xdr:row>12</xdr:row>
      <xdr:rowOff>76200</xdr:rowOff>
    </xdr:to>
    <xdr:sp macro="" textlink="">
      <xdr:nvSpPr>
        <xdr:cNvPr id="5" name="4 Rectángulo"/>
        <xdr:cNvSpPr/>
      </xdr:nvSpPr>
      <xdr:spPr>
        <a:xfrm>
          <a:off x="6981825" y="2362200"/>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10</xdr:col>
      <xdr:colOff>190500</xdr:colOff>
      <xdr:row>14</xdr:row>
      <xdr:rowOff>95251</xdr:rowOff>
    </xdr:from>
    <xdr:to>
      <xdr:col>10</xdr:col>
      <xdr:colOff>314325</xdr:colOff>
      <xdr:row>14</xdr:row>
      <xdr:rowOff>209551</xdr:rowOff>
    </xdr:to>
    <xdr:sp macro="" textlink="">
      <xdr:nvSpPr>
        <xdr:cNvPr id="6" name="5 Rectángulo"/>
        <xdr:cNvSpPr/>
      </xdr:nvSpPr>
      <xdr:spPr>
        <a:xfrm>
          <a:off x="8001000" y="2847976"/>
          <a:ext cx="123825" cy="1143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8</xdr:col>
      <xdr:colOff>600075</xdr:colOff>
      <xdr:row>16</xdr:row>
      <xdr:rowOff>19050</xdr:rowOff>
    </xdr:from>
    <xdr:to>
      <xdr:col>8</xdr:col>
      <xdr:colOff>733425</xdr:colOff>
      <xdr:row>16</xdr:row>
      <xdr:rowOff>142875</xdr:rowOff>
    </xdr:to>
    <xdr:sp macro="" textlink="">
      <xdr:nvSpPr>
        <xdr:cNvPr id="7" name="6 Rectángulo"/>
        <xdr:cNvSpPr/>
      </xdr:nvSpPr>
      <xdr:spPr>
        <a:xfrm>
          <a:off x="6943725" y="3438525"/>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8</xdr:col>
      <xdr:colOff>657225</xdr:colOff>
      <xdr:row>20</xdr:row>
      <xdr:rowOff>171450</xdr:rowOff>
    </xdr:from>
    <xdr:to>
      <xdr:col>9</xdr:col>
      <xdr:colOff>9525</xdr:colOff>
      <xdr:row>20</xdr:row>
      <xdr:rowOff>295275</xdr:rowOff>
    </xdr:to>
    <xdr:sp macro="" textlink="">
      <xdr:nvSpPr>
        <xdr:cNvPr id="8" name="7 Rectángulo"/>
        <xdr:cNvSpPr/>
      </xdr:nvSpPr>
      <xdr:spPr>
        <a:xfrm>
          <a:off x="7000875" y="4391025"/>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10</xdr:col>
      <xdr:colOff>180975</xdr:colOff>
      <xdr:row>20</xdr:row>
      <xdr:rowOff>171450</xdr:rowOff>
    </xdr:from>
    <xdr:to>
      <xdr:col>10</xdr:col>
      <xdr:colOff>314325</xdr:colOff>
      <xdr:row>20</xdr:row>
      <xdr:rowOff>295275</xdr:rowOff>
    </xdr:to>
    <xdr:sp macro="" textlink="">
      <xdr:nvSpPr>
        <xdr:cNvPr id="9" name="8 Rectángulo"/>
        <xdr:cNvSpPr/>
      </xdr:nvSpPr>
      <xdr:spPr>
        <a:xfrm>
          <a:off x="7991475" y="4391025"/>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8</xdr:col>
      <xdr:colOff>647700</xdr:colOff>
      <xdr:row>22</xdr:row>
      <xdr:rowOff>28575</xdr:rowOff>
    </xdr:from>
    <xdr:to>
      <xdr:col>9</xdr:col>
      <xdr:colOff>0</xdr:colOff>
      <xdr:row>22</xdr:row>
      <xdr:rowOff>152400</xdr:rowOff>
    </xdr:to>
    <xdr:sp macro="" textlink="">
      <xdr:nvSpPr>
        <xdr:cNvPr id="10" name="9 Rectángulo"/>
        <xdr:cNvSpPr/>
      </xdr:nvSpPr>
      <xdr:spPr>
        <a:xfrm>
          <a:off x="6991350" y="4705350"/>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10</xdr:col>
      <xdr:colOff>190500</xdr:colOff>
      <xdr:row>22</xdr:row>
      <xdr:rowOff>28575</xdr:rowOff>
    </xdr:from>
    <xdr:to>
      <xdr:col>10</xdr:col>
      <xdr:colOff>323850</xdr:colOff>
      <xdr:row>22</xdr:row>
      <xdr:rowOff>152400</xdr:rowOff>
    </xdr:to>
    <xdr:sp macro="" textlink="">
      <xdr:nvSpPr>
        <xdr:cNvPr id="11" name="10 Rectángulo"/>
        <xdr:cNvSpPr/>
      </xdr:nvSpPr>
      <xdr:spPr>
        <a:xfrm>
          <a:off x="8001000" y="4705350"/>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8</xdr:col>
      <xdr:colOff>657225</xdr:colOff>
      <xdr:row>23</xdr:row>
      <xdr:rowOff>323850</xdr:rowOff>
    </xdr:from>
    <xdr:to>
      <xdr:col>9</xdr:col>
      <xdr:colOff>9525</xdr:colOff>
      <xdr:row>23</xdr:row>
      <xdr:rowOff>447675</xdr:rowOff>
    </xdr:to>
    <xdr:sp macro="" textlink="">
      <xdr:nvSpPr>
        <xdr:cNvPr id="12" name="11 Rectángulo"/>
        <xdr:cNvSpPr/>
      </xdr:nvSpPr>
      <xdr:spPr>
        <a:xfrm>
          <a:off x="7000875" y="5191125"/>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10</xdr:col>
      <xdr:colOff>209550</xdr:colOff>
      <xdr:row>23</xdr:row>
      <xdr:rowOff>314325</xdr:rowOff>
    </xdr:from>
    <xdr:to>
      <xdr:col>10</xdr:col>
      <xdr:colOff>342900</xdr:colOff>
      <xdr:row>23</xdr:row>
      <xdr:rowOff>438150</xdr:rowOff>
    </xdr:to>
    <xdr:sp macro="" textlink="">
      <xdr:nvSpPr>
        <xdr:cNvPr id="13" name="12 Rectángulo"/>
        <xdr:cNvSpPr/>
      </xdr:nvSpPr>
      <xdr:spPr>
        <a:xfrm>
          <a:off x="8020050" y="5181600"/>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8</xdr:col>
      <xdr:colOff>647700</xdr:colOff>
      <xdr:row>24</xdr:row>
      <xdr:rowOff>171450</xdr:rowOff>
    </xdr:from>
    <xdr:to>
      <xdr:col>9</xdr:col>
      <xdr:colOff>0</xdr:colOff>
      <xdr:row>24</xdr:row>
      <xdr:rowOff>295275</xdr:rowOff>
    </xdr:to>
    <xdr:sp macro="" textlink="">
      <xdr:nvSpPr>
        <xdr:cNvPr id="14" name="13 Rectángulo"/>
        <xdr:cNvSpPr/>
      </xdr:nvSpPr>
      <xdr:spPr>
        <a:xfrm>
          <a:off x="6991350" y="5514975"/>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10</xdr:col>
      <xdr:colOff>219075</xdr:colOff>
      <xdr:row>24</xdr:row>
      <xdr:rowOff>171450</xdr:rowOff>
    </xdr:from>
    <xdr:to>
      <xdr:col>10</xdr:col>
      <xdr:colOff>352425</xdr:colOff>
      <xdr:row>24</xdr:row>
      <xdr:rowOff>295275</xdr:rowOff>
    </xdr:to>
    <xdr:sp macro="" textlink="">
      <xdr:nvSpPr>
        <xdr:cNvPr id="15" name="14 Rectángulo"/>
        <xdr:cNvSpPr/>
      </xdr:nvSpPr>
      <xdr:spPr>
        <a:xfrm>
          <a:off x="8029575" y="5514975"/>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8</xdr:col>
      <xdr:colOff>657225</xdr:colOff>
      <xdr:row>25</xdr:row>
      <xdr:rowOff>476250</xdr:rowOff>
    </xdr:from>
    <xdr:to>
      <xdr:col>9</xdr:col>
      <xdr:colOff>9525</xdr:colOff>
      <xdr:row>25</xdr:row>
      <xdr:rowOff>600075</xdr:rowOff>
    </xdr:to>
    <xdr:sp macro="" textlink="">
      <xdr:nvSpPr>
        <xdr:cNvPr id="16" name="15 Rectángulo"/>
        <xdr:cNvSpPr/>
      </xdr:nvSpPr>
      <xdr:spPr>
        <a:xfrm>
          <a:off x="7000875" y="6153150"/>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10</xdr:col>
      <xdr:colOff>219075</xdr:colOff>
      <xdr:row>25</xdr:row>
      <xdr:rowOff>476250</xdr:rowOff>
    </xdr:from>
    <xdr:to>
      <xdr:col>10</xdr:col>
      <xdr:colOff>352425</xdr:colOff>
      <xdr:row>25</xdr:row>
      <xdr:rowOff>600075</xdr:rowOff>
    </xdr:to>
    <xdr:sp macro="" textlink="">
      <xdr:nvSpPr>
        <xdr:cNvPr id="17" name="16 Rectángulo"/>
        <xdr:cNvSpPr/>
      </xdr:nvSpPr>
      <xdr:spPr>
        <a:xfrm>
          <a:off x="8029575" y="6153150"/>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10</xdr:col>
      <xdr:colOff>247650</xdr:colOff>
      <xdr:row>29</xdr:row>
      <xdr:rowOff>104775</xdr:rowOff>
    </xdr:from>
    <xdr:to>
      <xdr:col>10</xdr:col>
      <xdr:colOff>381000</xdr:colOff>
      <xdr:row>29</xdr:row>
      <xdr:rowOff>228600</xdr:rowOff>
    </xdr:to>
    <xdr:sp macro="" textlink="">
      <xdr:nvSpPr>
        <xdr:cNvPr id="18" name="17 Rectángulo"/>
        <xdr:cNvSpPr/>
      </xdr:nvSpPr>
      <xdr:spPr>
        <a:xfrm>
          <a:off x="8058150" y="7562850"/>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8</xdr:col>
      <xdr:colOff>666750</xdr:colOff>
      <xdr:row>18</xdr:row>
      <xdr:rowOff>57150</xdr:rowOff>
    </xdr:from>
    <xdr:to>
      <xdr:col>9</xdr:col>
      <xdr:colOff>19050</xdr:colOff>
      <xdr:row>18</xdr:row>
      <xdr:rowOff>180975</xdr:rowOff>
    </xdr:to>
    <xdr:sp macro="" textlink="">
      <xdr:nvSpPr>
        <xdr:cNvPr id="19" name="18 Rectángulo"/>
        <xdr:cNvSpPr/>
      </xdr:nvSpPr>
      <xdr:spPr>
        <a:xfrm>
          <a:off x="7010400" y="3914775"/>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10</xdr:col>
      <xdr:colOff>238125</xdr:colOff>
      <xdr:row>28</xdr:row>
      <xdr:rowOff>133350</xdr:rowOff>
    </xdr:from>
    <xdr:to>
      <xdr:col>10</xdr:col>
      <xdr:colOff>371475</xdr:colOff>
      <xdr:row>28</xdr:row>
      <xdr:rowOff>257175</xdr:rowOff>
    </xdr:to>
    <xdr:sp macro="" textlink="">
      <xdr:nvSpPr>
        <xdr:cNvPr id="20" name="19 Rectángulo"/>
        <xdr:cNvSpPr/>
      </xdr:nvSpPr>
      <xdr:spPr>
        <a:xfrm>
          <a:off x="8048625" y="7248525"/>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8</xdr:col>
      <xdr:colOff>666750</xdr:colOff>
      <xdr:row>28</xdr:row>
      <xdr:rowOff>142875</xdr:rowOff>
    </xdr:from>
    <xdr:to>
      <xdr:col>9</xdr:col>
      <xdr:colOff>19050</xdr:colOff>
      <xdr:row>28</xdr:row>
      <xdr:rowOff>266700</xdr:rowOff>
    </xdr:to>
    <xdr:sp macro="" textlink="">
      <xdr:nvSpPr>
        <xdr:cNvPr id="21" name="20 Rectángulo"/>
        <xdr:cNvSpPr/>
      </xdr:nvSpPr>
      <xdr:spPr>
        <a:xfrm>
          <a:off x="7010400" y="7258050"/>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10</xdr:col>
      <xdr:colOff>219075</xdr:colOff>
      <xdr:row>31</xdr:row>
      <xdr:rowOff>142876</xdr:rowOff>
    </xdr:from>
    <xdr:to>
      <xdr:col>10</xdr:col>
      <xdr:colOff>352425</xdr:colOff>
      <xdr:row>31</xdr:row>
      <xdr:rowOff>266700</xdr:rowOff>
    </xdr:to>
    <xdr:sp macro="" textlink="">
      <xdr:nvSpPr>
        <xdr:cNvPr id="22" name="21 Rectángulo"/>
        <xdr:cNvSpPr/>
      </xdr:nvSpPr>
      <xdr:spPr>
        <a:xfrm>
          <a:off x="8029575" y="8867776"/>
          <a:ext cx="133350" cy="1238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8</xdr:col>
      <xdr:colOff>666750</xdr:colOff>
      <xdr:row>31</xdr:row>
      <xdr:rowOff>142875</xdr:rowOff>
    </xdr:from>
    <xdr:to>
      <xdr:col>9</xdr:col>
      <xdr:colOff>19050</xdr:colOff>
      <xdr:row>31</xdr:row>
      <xdr:rowOff>266700</xdr:rowOff>
    </xdr:to>
    <xdr:sp macro="" textlink="">
      <xdr:nvSpPr>
        <xdr:cNvPr id="23" name="22 Rectángulo"/>
        <xdr:cNvSpPr/>
      </xdr:nvSpPr>
      <xdr:spPr>
        <a:xfrm>
          <a:off x="7010400" y="8867775"/>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10</xdr:col>
      <xdr:colOff>238125</xdr:colOff>
      <xdr:row>26</xdr:row>
      <xdr:rowOff>323850</xdr:rowOff>
    </xdr:from>
    <xdr:to>
      <xdr:col>10</xdr:col>
      <xdr:colOff>371475</xdr:colOff>
      <xdr:row>26</xdr:row>
      <xdr:rowOff>447675</xdr:rowOff>
    </xdr:to>
    <xdr:sp macro="" textlink="">
      <xdr:nvSpPr>
        <xdr:cNvPr id="24" name="23 Rectángulo"/>
        <xdr:cNvSpPr/>
      </xdr:nvSpPr>
      <xdr:spPr>
        <a:xfrm>
          <a:off x="8048625" y="6629400"/>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8</xdr:col>
      <xdr:colOff>647700</xdr:colOff>
      <xdr:row>26</xdr:row>
      <xdr:rowOff>323850</xdr:rowOff>
    </xdr:from>
    <xdr:to>
      <xdr:col>9</xdr:col>
      <xdr:colOff>0</xdr:colOff>
      <xdr:row>26</xdr:row>
      <xdr:rowOff>447675</xdr:rowOff>
    </xdr:to>
    <xdr:sp macro="" textlink="">
      <xdr:nvSpPr>
        <xdr:cNvPr id="25" name="24 Rectángulo"/>
        <xdr:cNvSpPr/>
      </xdr:nvSpPr>
      <xdr:spPr>
        <a:xfrm>
          <a:off x="6991350" y="6629400"/>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8</xdr:col>
      <xdr:colOff>666750</xdr:colOff>
      <xdr:row>29</xdr:row>
      <xdr:rowOff>104775</xdr:rowOff>
    </xdr:from>
    <xdr:to>
      <xdr:col>9</xdr:col>
      <xdr:colOff>19050</xdr:colOff>
      <xdr:row>29</xdr:row>
      <xdr:rowOff>228600</xdr:rowOff>
    </xdr:to>
    <xdr:sp macro="" textlink="">
      <xdr:nvSpPr>
        <xdr:cNvPr id="26" name="25 Rectángulo"/>
        <xdr:cNvSpPr/>
      </xdr:nvSpPr>
      <xdr:spPr>
        <a:xfrm>
          <a:off x="7010400" y="7562850"/>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10</xdr:col>
      <xdr:colOff>200025</xdr:colOff>
      <xdr:row>11</xdr:row>
      <xdr:rowOff>171451</xdr:rowOff>
    </xdr:from>
    <xdr:to>
      <xdr:col>10</xdr:col>
      <xdr:colOff>323850</xdr:colOff>
      <xdr:row>12</xdr:row>
      <xdr:rowOff>66676</xdr:rowOff>
    </xdr:to>
    <xdr:sp macro="" textlink="">
      <xdr:nvSpPr>
        <xdr:cNvPr id="27" name="26 Rectángulo"/>
        <xdr:cNvSpPr/>
      </xdr:nvSpPr>
      <xdr:spPr>
        <a:xfrm>
          <a:off x="8010525" y="2362201"/>
          <a:ext cx="123825" cy="1143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8</xdr:col>
      <xdr:colOff>619125</xdr:colOff>
      <xdr:row>14</xdr:row>
      <xdr:rowOff>85725</xdr:rowOff>
    </xdr:from>
    <xdr:to>
      <xdr:col>8</xdr:col>
      <xdr:colOff>752475</xdr:colOff>
      <xdr:row>14</xdr:row>
      <xdr:rowOff>209550</xdr:rowOff>
    </xdr:to>
    <xdr:sp macro="" textlink="">
      <xdr:nvSpPr>
        <xdr:cNvPr id="28" name="27 Rectángulo"/>
        <xdr:cNvSpPr/>
      </xdr:nvSpPr>
      <xdr:spPr>
        <a:xfrm>
          <a:off x="6962775" y="2838450"/>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xdr:col>
      <xdr:colOff>219075</xdr:colOff>
      <xdr:row>30</xdr:row>
      <xdr:rowOff>781050</xdr:rowOff>
    </xdr:from>
    <xdr:to>
      <xdr:col>3</xdr:col>
      <xdr:colOff>352425</xdr:colOff>
      <xdr:row>30</xdr:row>
      <xdr:rowOff>904874</xdr:rowOff>
    </xdr:to>
    <xdr:sp macro="" textlink="">
      <xdr:nvSpPr>
        <xdr:cNvPr id="29" name="28 Rectángulo"/>
        <xdr:cNvSpPr/>
      </xdr:nvSpPr>
      <xdr:spPr>
        <a:xfrm>
          <a:off x="2667000" y="8562975"/>
          <a:ext cx="133350" cy="1238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4</xdr:col>
      <xdr:colOff>276225</xdr:colOff>
      <xdr:row>30</xdr:row>
      <xdr:rowOff>790575</xdr:rowOff>
    </xdr:from>
    <xdr:to>
      <xdr:col>4</xdr:col>
      <xdr:colOff>409575</xdr:colOff>
      <xdr:row>30</xdr:row>
      <xdr:rowOff>914399</xdr:rowOff>
    </xdr:to>
    <xdr:sp macro="" textlink="">
      <xdr:nvSpPr>
        <xdr:cNvPr id="30" name="29 Rectángulo"/>
        <xdr:cNvSpPr/>
      </xdr:nvSpPr>
      <xdr:spPr>
        <a:xfrm>
          <a:off x="3590925" y="8572500"/>
          <a:ext cx="133350" cy="1238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xdr:col>
      <xdr:colOff>219075</xdr:colOff>
      <xdr:row>32</xdr:row>
      <xdr:rowOff>171450</xdr:rowOff>
    </xdr:from>
    <xdr:to>
      <xdr:col>3</xdr:col>
      <xdr:colOff>352425</xdr:colOff>
      <xdr:row>32</xdr:row>
      <xdr:rowOff>295274</xdr:rowOff>
    </xdr:to>
    <xdr:sp macro="" textlink="">
      <xdr:nvSpPr>
        <xdr:cNvPr id="31" name="30 Rectángulo"/>
        <xdr:cNvSpPr/>
      </xdr:nvSpPr>
      <xdr:spPr>
        <a:xfrm>
          <a:off x="2667000" y="9525000"/>
          <a:ext cx="133350" cy="1238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4</xdr:col>
      <xdr:colOff>266700</xdr:colOff>
      <xdr:row>31</xdr:row>
      <xdr:rowOff>323850</xdr:rowOff>
    </xdr:from>
    <xdr:to>
      <xdr:col>4</xdr:col>
      <xdr:colOff>400050</xdr:colOff>
      <xdr:row>31</xdr:row>
      <xdr:rowOff>447674</xdr:rowOff>
    </xdr:to>
    <xdr:sp macro="" textlink="">
      <xdr:nvSpPr>
        <xdr:cNvPr id="32" name="31 Rectángulo"/>
        <xdr:cNvSpPr/>
      </xdr:nvSpPr>
      <xdr:spPr>
        <a:xfrm>
          <a:off x="3581400" y="9048750"/>
          <a:ext cx="133350" cy="1238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xdr:col>
      <xdr:colOff>228600</xdr:colOff>
      <xdr:row>31</xdr:row>
      <xdr:rowOff>323850</xdr:rowOff>
    </xdr:from>
    <xdr:to>
      <xdr:col>3</xdr:col>
      <xdr:colOff>361950</xdr:colOff>
      <xdr:row>31</xdr:row>
      <xdr:rowOff>447674</xdr:rowOff>
    </xdr:to>
    <xdr:sp macro="" textlink="">
      <xdr:nvSpPr>
        <xdr:cNvPr id="33" name="32 Rectángulo"/>
        <xdr:cNvSpPr/>
      </xdr:nvSpPr>
      <xdr:spPr>
        <a:xfrm>
          <a:off x="2676525" y="9048750"/>
          <a:ext cx="133350" cy="1238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4</xdr:col>
      <xdr:colOff>266700</xdr:colOff>
      <xdr:row>32</xdr:row>
      <xdr:rowOff>180975</xdr:rowOff>
    </xdr:from>
    <xdr:to>
      <xdr:col>4</xdr:col>
      <xdr:colOff>400050</xdr:colOff>
      <xdr:row>32</xdr:row>
      <xdr:rowOff>304799</xdr:rowOff>
    </xdr:to>
    <xdr:sp macro="" textlink="">
      <xdr:nvSpPr>
        <xdr:cNvPr id="34" name="33 Rectángulo"/>
        <xdr:cNvSpPr/>
      </xdr:nvSpPr>
      <xdr:spPr>
        <a:xfrm>
          <a:off x="3581400" y="9534525"/>
          <a:ext cx="133350" cy="1238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10</xdr:col>
      <xdr:colOff>180975</xdr:colOff>
      <xdr:row>16</xdr:row>
      <xdr:rowOff>19050</xdr:rowOff>
    </xdr:from>
    <xdr:to>
      <xdr:col>10</xdr:col>
      <xdr:colOff>314325</xdr:colOff>
      <xdr:row>16</xdr:row>
      <xdr:rowOff>142875</xdr:rowOff>
    </xdr:to>
    <xdr:sp macro="" textlink="">
      <xdr:nvSpPr>
        <xdr:cNvPr id="35" name="34 Rectángulo"/>
        <xdr:cNvSpPr/>
      </xdr:nvSpPr>
      <xdr:spPr>
        <a:xfrm>
          <a:off x="7991475" y="3438525"/>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10</xdr:col>
      <xdr:colOff>190500</xdr:colOff>
      <xdr:row>18</xdr:row>
      <xdr:rowOff>57150</xdr:rowOff>
    </xdr:from>
    <xdr:to>
      <xdr:col>10</xdr:col>
      <xdr:colOff>323850</xdr:colOff>
      <xdr:row>18</xdr:row>
      <xdr:rowOff>180975</xdr:rowOff>
    </xdr:to>
    <xdr:sp macro="" textlink="">
      <xdr:nvSpPr>
        <xdr:cNvPr id="36" name="35 Rectángulo"/>
        <xdr:cNvSpPr/>
      </xdr:nvSpPr>
      <xdr:spPr>
        <a:xfrm>
          <a:off x="8001000" y="3914775"/>
          <a:ext cx="133350" cy="1238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miredestrella/Users/Degonzalez/Documents/Asignaciones/Hojas%20de%20cotizaci&#243;n%20de%20pr&#233;stamos/Pr&#233;stamos%20de%20autos/Usado/Calculadora%20-%20Autos%20usad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miredestrella/Users/LAlvarez/Desktop/Carpeta_Trabajo/01-REPORTES/ESPECIALES/2018/MichelleSosa/02-Febrero/CHECK%20LIST%20CANALES%20INTERNOS%20-%20DECLARACI&#211;N%20JURADA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EGOCIOS\Hipotecas\Gesti&#243;n%20y%20Control\Parametros%20de%20Ferias\2018\05-May%20-%20ExpoMivi\Hoja_Cotizacion_Hipotecas-ExpoMivi2018.xlt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miredestrella/Documents%20and%20Settings/LAlvarez/Configuraci&#243;n%20local/Archivos%20temporales%20de%20Internet/Content.Outlook/XARQAGEJ/Hoja_Cotizacion_Hipotecas_27Noviembre.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miredestrella/Users/Degonzalez/AppData/Local/Microsoft/Windows/Temporary%20Internet%20Files/Content.Outlook/7P4VQTBU/Hoja%20de%20calculo%20PP_correcci&#243;n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miredestrella/Users/Degonzalez/AppData/Local/Microsoft/Windows/Temporary%20Internet%20Files/Content.Outlook/7P4VQTBU/hoja%20de%20cotizaci&#243;n%20PP_no%20guardar%20Version6%20(2).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miredestrella/hipotecas/Documents%20and%20Settings/LAlvarez/Escritorio/Carpeta_Trabajo/Tips_Formulas_Excel/Hoja%20de%20Cotizaci&#243;n%20Hipotecas_ejemplo.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miredestrella/hipotecas/Documents%20and%20Settings/lalvarez/Escritorio/Carpeta_Trabajo/Manuales_Plantillas/Carpeta_Trabajo/documentos_varios/cuadros/Medicion_Calidad_20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Bgdcsrvarch0\Documents%20and%20Settings\ydelacruz\Configuraci&#243;n%20local\Archivos%20temporales%20de%20Internet\Content.Outlook\IBFC5ANQ\form_pr&#233;stam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dora"/>
      <sheetName val="Cotización"/>
      <sheetName val="Cotización-análisis_auto"/>
      <sheetName val="Liquidación empl"/>
      <sheetName val="Guía_uso (2)"/>
      <sheetName val="Guía_uso"/>
      <sheetName val="Datos_lista"/>
    </sheetNames>
    <sheetDataSet>
      <sheetData sheetId="0"/>
      <sheetData sheetId="1">
        <row r="12">
          <cell r="K12" t="str">
            <v>Cargo a cuenta</v>
          </cell>
          <cell r="N12">
            <v>2</v>
          </cell>
        </row>
        <row r="14">
          <cell r="K14" t="str">
            <v>Elegir</v>
          </cell>
        </row>
        <row r="18">
          <cell r="K18">
            <v>10000</v>
          </cell>
        </row>
        <row r="22">
          <cell r="K22">
            <v>0</v>
          </cell>
        </row>
        <row r="24">
          <cell r="K24" t="str">
            <v>Elegir</v>
          </cell>
        </row>
        <row r="34">
          <cell r="E34">
            <v>0</v>
          </cell>
        </row>
        <row r="37">
          <cell r="E37">
            <v>0</v>
          </cell>
        </row>
        <row r="38">
          <cell r="E38">
            <v>0</v>
          </cell>
        </row>
        <row r="40">
          <cell r="E40">
            <v>0</v>
          </cell>
        </row>
        <row r="41">
          <cell r="E41">
            <v>0</v>
          </cell>
        </row>
      </sheetData>
      <sheetData sheetId="2"/>
      <sheetData sheetId="3"/>
      <sheetData sheetId="4"/>
      <sheetData sheetId="5"/>
      <sheetData sheetId="6">
        <row r="4">
          <cell r="B4" t="str">
            <v>Elegir una opción</v>
          </cell>
          <cell r="D4" t="str">
            <v>Elegir una opción</v>
          </cell>
          <cell r="E4" t="str">
            <v>Elegir una opción</v>
          </cell>
          <cell r="G4" t="str">
            <v>Elegir</v>
          </cell>
          <cell r="H4" t="str">
            <v>Elegir una opción</v>
          </cell>
        </row>
        <row r="5">
          <cell r="B5" t="str">
            <v>Banco General</v>
          </cell>
          <cell r="D5" t="str">
            <v>Nuevo</v>
          </cell>
          <cell r="E5" t="str">
            <v>Descuento directo</v>
          </cell>
          <cell r="G5" t="str">
            <v>GS</v>
          </cell>
          <cell r="H5" t="str">
            <v>C1</v>
          </cell>
        </row>
        <row r="6">
          <cell r="B6" t="str">
            <v>BG Valores</v>
          </cell>
          <cell r="D6" t="str">
            <v xml:space="preserve">Usado </v>
          </cell>
          <cell r="E6" t="str">
            <v>Cargo a cuenta</v>
          </cell>
          <cell r="G6" t="str">
            <v xml:space="preserve">Otras Aseg. </v>
          </cell>
          <cell r="H6" t="str">
            <v>C2</v>
          </cell>
        </row>
        <row r="7">
          <cell r="B7" t="str">
            <v>General de Seguros</v>
          </cell>
          <cell r="E7" t="str">
            <v>Pago voluntario</v>
          </cell>
          <cell r="H7" t="str">
            <v>C3</v>
          </cell>
        </row>
        <row r="8">
          <cell r="B8" t="str">
            <v>Profuturo</v>
          </cell>
          <cell r="H8" t="str">
            <v>C4</v>
          </cell>
        </row>
        <row r="9">
          <cell r="H9" t="str">
            <v>C5</v>
          </cell>
        </row>
        <row r="15">
          <cell r="B15" t="str">
            <v>Elegir una opción</v>
          </cell>
          <cell r="E15" t="str">
            <v>Elegir una opción</v>
          </cell>
          <cell r="F15" t="str">
            <v>Elegir</v>
          </cell>
          <cell r="G15" t="str">
            <v>Elegir</v>
          </cell>
          <cell r="H15" t="str">
            <v>Elegir una opción</v>
          </cell>
        </row>
        <row r="16">
          <cell r="B16" t="str">
            <v>Karen Reece</v>
          </cell>
          <cell r="E16" t="str">
            <v>Teléfono</v>
          </cell>
          <cell r="F16" t="str">
            <v>Sí</v>
          </cell>
          <cell r="G16" t="str">
            <v>GS</v>
          </cell>
          <cell r="H16" t="str">
            <v xml:space="preserve">Sí </v>
          </cell>
        </row>
        <row r="17">
          <cell r="B17" t="str">
            <v>Leonides Gutiérrez</v>
          </cell>
          <cell r="E17" t="str">
            <v>Correo</v>
          </cell>
          <cell r="F17" t="str">
            <v>No</v>
          </cell>
          <cell r="G17" t="str">
            <v xml:space="preserve">Otras Aseg. </v>
          </cell>
          <cell r="H17" t="str">
            <v>No</v>
          </cell>
        </row>
        <row r="18">
          <cell r="B18" t="str">
            <v>Cristian García</v>
          </cell>
          <cell r="E18" t="str">
            <v>Atención directa</v>
          </cell>
        </row>
        <row r="19">
          <cell r="B19" t="str">
            <v>Xochil Ortega</v>
          </cell>
        </row>
        <row r="20">
          <cell r="B20" t="str">
            <v>Yahaira De La Cruz</v>
          </cell>
        </row>
        <row r="42">
          <cell r="K42" t="str">
            <v>Año2018</v>
          </cell>
        </row>
        <row r="43">
          <cell r="K43" t="str">
            <v>Año2017</v>
          </cell>
        </row>
        <row r="44">
          <cell r="K44" t="str">
            <v>Año2016</v>
          </cell>
        </row>
        <row r="45">
          <cell r="K45" t="str">
            <v>Año2015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Hoja_de_Cotización"/>
      <sheetName val="2.Impresión"/>
      <sheetName val="Hoja_Cambio"/>
      <sheetName val="Impresión_Cambio"/>
      <sheetName val="Requisitos_Cambio"/>
      <sheetName val="Catálogos"/>
      <sheetName val="Cálculos"/>
      <sheetName val="Programa"/>
      <sheetName val="Comisiones_Cargos"/>
      <sheetName val="TabGtos"/>
      <sheetName val="GtosFwla"/>
      <sheetName val="3.Condiciones"/>
      <sheetName val="4.Check List"/>
      <sheetName val="5.Formularios"/>
      <sheetName val="Solicitud_SegVida"/>
      <sheetName val="6.Promotores Hacen Escritura"/>
      <sheetName val="7. Proyectos Interinos Const"/>
      <sheetName val="8.Proy NoFinanciados x Banco"/>
      <sheetName val="Traspaso"/>
      <sheetName val="Hoja2"/>
      <sheetName val="9.Contratista_Int"/>
      <sheetName val="10.Requisitos-Ley Preferencial"/>
      <sheetName val="11.Compra de Vivienda Nueva"/>
      <sheetName val="12.Compra de Vivienda Usada"/>
      <sheetName val="13.Traspaso de Acciones"/>
      <sheetName val="14.Compra Vivienda Vacacional"/>
      <sheetName val="15.Casa Cash"/>
      <sheetName val="16.Traspaso de Otro Banco"/>
      <sheetName val="17.Cambio de dueño deudor"/>
      <sheetName val="18.PrecalificaciónInterino"/>
      <sheetName val="19.Interino de Construcción"/>
      <sheetName val="20.Compra de Terreno"/>
    </sheetNames>
    <sheetDataSet>
      <sheetData sheetId="0"/>
      <sheetData sheetId="1" refreshError="1"/>
      <sheetData sheetId="2" refreshError="1"/>
      <sheetData sheetId="3" refreshError="1"/>
      <sheetData sheetId="4" refreshError="1"/>
      <sheetData sheetId="5">
        <row r="2">
          <cell r="A2" t="str">
            <v>ELIJA UNA OPCIÓN</v>
          </cell>
          <cell r="B2" t="str">
            <v>Compra de Vivienda</v>
          </cell>
          <cell r="F2" t="str">
            <v>Casa</v>
          </cell>
          <cell r="W2" t="str">
            <v>Dueño y Deudor</v>
          </cell>
          <cell r="AE2" t="str">
            <v>SI</v>
          </cell>
          <cell r="AF2" t="str">
            <v>SI</v>
          </cell>
        </row>
        <row r="3">
          <cell r="A3" t="str">
            <v>1 - CASA MATRIZ</v>
          </cell>
          <cell r="B3" t="str">
            <v>Casa Cash</v>
          </cell>
          <cell r="F3" t="str">
            <v>Apartamento</v>
          </cell>
          <cell r="G3" t="str">
            <v>Ley Preferencial</v>
          </cell>
          <cell r="H3">
            <v>1</v>
          </cell>
          <cell r="I3" t="str">
            <v>Ley Preferencial</v>
          </cell>
          <cell r="J3" t="str">
            <v>Ley Preferencial</v>
          </cell>
          <cell r="K3" t="str">
            <v>Individual</v>
          </cell>
          <cell r="M3" t="str">
            <v>Residencial</v>
          </cell>
          <cell r="N3">
            <v>1</v>
          </cell>
          <cell r="O3" t="str">
            <v>Interino</v>
          </cell>
          <cell r="P3" t="str">
            <v>Residencial</v>
          </cell>
          <cell r="Q3" t="str">
            <v>Residencial</v>
          </cell>
          <cell r="R3" t="str">
            <v>Segunda Hipoteca</v>
          </cell>
          <cell r="S3" t="str">
            <v>Vacacional</v>
          </cell>
          <cell r="T3" t="str">
            <v>Casa</v>
          </cell>
          <cell r="U3">
            <v>1</v>
          </cell>
          <cell r="W3" t="str">
            <v>Deudor</v>
          </cell>
          <cell r="X3" t="str">
            <v>Nueva</v>
          </cell>
          <cell r="Y3" t="str">
            <v>Nueva</v>
          </cell>
          <cell r="Z3" t="str">
            <v>Usada</v>
          </cell>
          <cell r="AA3" t="str">
            <v>Nueva</v>
          </cell>
          <cell r="AB3">
            <v>1</v>
          </cell>
          <cell r="AC3" t="str">
            <v>SI</v>
          </cell>
          <cell r="AD3">
            <v>1</v>
          </cell>
          <cell r="AE3" t="str">
            <v>NO</v>
          </cell>
          <cell r="AF3" t="str">
            <v>NO</v>
          </cell>
        </row>
        <row r="4">
          <cell r="A4" t="str">
            <v>2 - PAITILLA</v>
          </cell>
          <cell r="B4" t="str">
            <v>Casa Cash Consumo</v>
          </cell>
          <cell r="F4" t="str">
            <v>Unidad de Vivienda</v>
          </cell>
          <cell r="G4" t="str">
            <v>Individual</v>
          </cell>
          <cell r="H4">
            <v>2</v>
          </cell>
          <cell r="I4" t="str">
            <v>Individual</v>
          </cell>
          <cell r="M4" t="str">
            <v>Reposeído (BG)</v>
          </cell>
          <cell r="N4">
            <v>2</v>
          </cell>
          <cell r="Q4" t="str">
            <v>Reposeído (BG)</v>
          </cell>
          <cell r="R4" t="str">
            <v>Refinanciamiento Primera Hipoteca</v>
          </cell>
          <cell r="T4" t="str">
            <v>Apartamento</v>
          </cell>
          <cell r="U4">
            <v>2</v>
          </cell>
          <cell r="W4" t="str">
            <v>Dueño</v>
          </cell>
          <cell r="Y4" t="str">
            <v>Usada</v>
          </cell>
          <cell r="AA4" t="str">
            <v>Usada</v>
          </cell>
          <cell r="AB4">
            <v>2</v>
          </cell>
          <cell r="AC4" t="str">
            <v>NO</v>
          </cell>
          <cell r="AD4">
            <v>2</v>
          </cell>
        </row>
        <row r="5">
          <cell r="A5" t="str">
            <v>3 - EL DORADO</v>
          </cell>
          <cell r="B5" t="str">
            <v>Compra Vivienda Vacacional</v>
          </cell>
          <cell r="G5" t="str">
            <v>Casco Antiguo</v>
          </cell>
          <cell r="H5">
            <v>3</v>
          </cell>
          <cell r="I5" t="str">
            <v>Casco Antiguo</v>
          </cell>
          <cell r="M5" t="str">
            <v>Interino</v>
          </cell>
          <cell r="N5">
            <v>3</v>
          </cell>
          <cell r="R5" t="str">
            <v>Refinanciamiento Casa Cash Vigente (Segunda Hipoteca)</v>
          </cell>
          <cell r="T5" t="str">
            <v>Unidad de Vivienda</v>
          </cell>
          <cell r="U5">
            <v>2</v>
          </cell>
          <cell r="W5" t="str">
            <v>Fiador Solidario</v>
          </cell>
        </row>
        <row r="6">
          <cell r="A6" t="str">
            <v>4 - VIA ARGENTINA</v>
          </cell>
          <cell r="B6" t="str">
            <v>Traspaso de Otro Banco</v>
          </cell>
          <cell r="R6" t="str">
            <v>Casa Cash vivienda sin hipoteca</v>
          </cell>
        </row>
        <row r="7">
          <cell r="A7" t="str">
            <v>5 - VIA PORRAS</v>
          </cell>
          <cell r="B7" t="str">
            <v>Traspaso por compra de vivienda (Ley Preferencial en BG)</v>
          </cell>
          <cell r="M7" t="str">
            <v>Refinanciamiento</v>
          </cell>
          <cell r="N7">
            <v>4</v>
          </cell>
        </row>
        <row r="8">
          <cell r="A8" t="str">
            <v>6 - EL INGENIO</v>
          </cell>
          <cell r="B8" t="str">
            <v>Cambio de Dueño y Deudor</v>
          </cell>
          <cell r="M8" t="str">
            <v>Segunda Hipoteca</v>
          </cell>
          <cell r="N8">
            <v>5</v>
          </cell>
          <cell r="W8" t="str">
            <v>Dueño y Deudor</v>
          </cell>
          <cell r="X8">
            <v>1</v>
          </cell>
        </row>
        <row r="9">
          <cell r="A9" t="str">
            <v>7 - CHANIS</v>
          </cell>
          <cell r="B9" t="str">
            <v>Extensión Plazo</v>
          </cell>
          <cell r="M9" t="str">
            <v>Vacacional</v>
          </cell>
          <cell r="N9">
            <v>6</v>
          </cell>
          <cell r="W9" t="str">
            <v>Deudor</v>
          </cell>
          <cell r="X9">
            <v>2</v>
          </cell>
        </row>
        <row r="10">
          <cell r="A10" t="str">
            <v>8 - PLAZA TOCUMEN</v>
          </cell>
          <cell r="B10" t="str">
            <v>Construcción</v>
          </cell>
          <cell r="Q10" t="str">
            <v>Segunda Hipoteca</v>
          </cell>
          <cell r="R10" t="str">
            <v>Segunda Hipoteca</v>
          </cell>
          <cell r="W10" t="str">
            <v>Dueño</v>
          </cell>
          <cell r="X10">
            <v>3</v>
          </cell>
        </row>
        <row r="11">
          <cell r="A11" t="str">
            <v>9 - SANTIAGO</v>
          </cell>
          <cell r="B11" t="str">
            <v>Cambio de Dueño</v>
          </cell>
          <cell r="E11" t="str">
            <v>SI</v>
          </cell>
          <cell r="F11">
            <v>1</v>
          </cell>
          <cell r="Q11" t="str">
            <v>Refinanciamiento Primera Hipoteca</v>
          </cell>
          <cell r="R11" t="str">
            <v>Refinanciamiento</v>
          </cell>
          <cell r="W11" t="str">
            <v>Fiador Solidario</v>
          </cell>
          <cell r="X11">
            <v>4</v>
          </cell>
        </row>
        <row r="12">
          <cell r="A12" t="str">
            <v>10 - OBARRIO</v>
          </cell>
          <cell r="B12" t="str">
            <v>Cambio de Deudor</v>
          </cell>
          <cell r="E12" t="str">
            <v>NO</v>
          </cell>
          <cell r="F12">
            <v>0</v>
          </cell>
          <cell r="Q12" t="str">
            <v>Refinanciamiento Casa Cash Vigente (Segunda Hipoteca)</v>
          </cell>
          <cell r="R12" t="str">
            <v>Refinanciamiento</v>
          </cell>
        </row>
        <row r="13">
          <cell r="A13" t="str">
            <v>11 - COLON</v>
          </cell>
          <cell r="B13" t="str">
            <v>Cambio de Fiador Solidario</v>
          </cell>
          <cell r="Q13" t="str">
            <v>Casa Cash vivienda sin hipoteca</v>
          </cell>
          <cell r="R13" t="str">
            <v>Residencial</v>
          </cell>
        </row>
        <row r="14">
          <cell r="A14" t="str">
            <v>13 - HATO PINTADO</v>
          </cell>
          <cell r="H14" t="str">
            <v>ELIJA UNA OPCION</v>
          </cell>
          <cell r="Q14" t="str">
            <v>Vacacional</v>
          </cell>
          <cell r="R14" t="str">
            <v>Vacacional</v>
          </cell>
          <cell r="W14" t="str">
            <v>CSS</v>
          </cell>
          <cell r="X14">
            <v>1</v>
          </cell>
        </row>
        <row r="15">
          <cell r="A15" t="str">
            <v>14 - RIO ABAJO</v>
          </cell>
          <cell r="D15" t="str">
            <v>BG</v>
          </cell>
          <cell r="E15" t="str">
            <v>BG</v>
          </cell>
          <cell r="F15">
            <v>1</v>
          </cell>
          <cell r="H15" t="str">
            <v>FUERZA DE VENTAS SITIO</v>
          </cell>
          <cell r="Q15" t="str">
            <v>Reposeído (BG)</v>
          </cell>
          <cell r="R15" t="str">
            <v>Reposeído (BG)</v>
          </cell>
          <cell r="W15" t="str">
            <v>ACP</v>
          </cell>
          <cell r="X15">
            <v>2</v>
          </cell>
        </row>
        <row r="16">
          <cell r="A16" t="str">
            <v>15 - LA CHORRERA</v>
          </cell>
          <cell r="B16" t="str">
            <v>Compra de Vivienda</v>
          </cell>
          <cell r="C16">
            <v>1</v>
          </cell>
          <cell r="D16" t="str">
            <v>FERIA</v>
          </cell>
          <cell r="E16" t="str">
            <v>FERIA</v>
          </cell>
          <cell r="F16">
            <v>2</v>
          </cell>
          <cell r="H16" t="str">
            <v>FUERZA DE VENTAS MOVIL</v>
          </cell>
          <cell r="Q16" t="str">
            <v>Interino</v>
          </cell>
          <cell r="R16" t="str">
            <v>Interino</v>
          </cell>
        </row>
        <row r="17">
          <cell r="A17" t="str">
            <v>16 - AVENIDA CENTRAL</v>
          </cell>
          <cell r="B17" t="str">
            <v>Casa Cash</v>
          </cell>
          <cell r="C17">
            <v>2</v>
          </cell>
          <cell r="D17" t="str">
            <v>EXCEPCIONES (en tasa de interés, comisión mensual, etc)</v>
          </cell>
          <cell r="E17" t="str">
            <v>EXCEPCIONES (en tasa de interés, comisión mensual, etc)</v>
          </cell>
          <cell r="F17">
            <v>3</v>
          </cell>
          <cell r="H17" t="str">
            <v>FERIAS INSTITUCIONALES</v>
          </cell>
          <cell r="Q17" t="str">
            <v>Residencial</v>
          </cell>
          <cell r="R17" t="str">
            <v>Residencial</v>
          </cell>
        </row>
        <row r="18">
          <cell r="A18" t="str">
            <v>17 - LOS ANGELES</v>
          </cell>
          <cell r="B18" t="str">
            <v>Compra Vivienda Vacacional</v>
          </cell>
          <cell r="C18">
            <v>3</v>
          </cell>
          <cell r="D18" t="str">
            <v>CAMBIO DUEÑO / DEUDOR</v>
          </cell>
          <cell r="E18" t="str">
            <v>CAMBIO DUEÑO / DEUDOR</v>
          </cell>
          <cell r="F18">
            <v>5</v>
          </cell>
          <cell r="H18" t="str">
            <v>SUCURSALES</v>
          </cell>
        </row>
        <row r="19">
          <cell r="A19" t="str">
            <v>18 - VILLA LUCRE</v>
          </cell>
          <cell r="B19" t="str">
            <v>Traspaso de Otro Banco</v>
          </cell>
          <cell r="C19">
            <v>4</v>
          </cell>
          <cell r="D19" t="str">
            <v>COPA</v>
          </cell>
          <cell r="E19" t="str">
            <v>COPA</v>
          </cell>
          <cell r="F19">
            <v>4</v>
          </cell>
          <cell r="H19" t="str">
            <v>VENTAS INTERIOR</v>
          </cell>
        </row>
        <row r="20">
          <cell r="A20" t="str">
            <v>19 - LOS ANDES</v>
          </cell>
          <cell r="B20" t="str">
            <v>Traspaso por compra de vivienda (Ley Preferencial en BG)</v>
          </cell>
          <cell r="C20">
            <v>5</v>
          </cell>
          <cell r="H20" t="str">
            <v>SEGMENTO HIGH END</v>
          </cell>
        </row>
        <row r="21">
          <cell r="A21" t="str">
            <v>20 - VIA ESPANA</v>
          </cell>
          <cell r="B21" t="str">
            <v>Cambio de Dueño y Deudor</v>
          </cell>
          <cell r="C21">
            <v>6</v>
          </cell>
          <cell r="H21" t="str">
            <v>RECURSOS HUMANOS</v>
          </cell>
        </row>
        <row r="22">
          <cell r="A22" t="str">
            <v>21 - AVENIDA CUBA</v>
          </cell>
          <cell r="B22" t="str">
            <v>Extensión Plazo</v>
          </cell>
          <cell r="C22">
            <v>7</v>
          </cell>
          <cell r="D22" t="str">
            <v>NO</v>
          </cell>
          <cell r="E22">
            <v>1</v>
          </cell>
          <cell r="H22" t="str">
            <v>PROMOTORES WALK-IN</v>
          </cell>
        </row>
        <row r="23">
          <cell r="A23" t="str">
            <v>22 - CHITRE</v>
          </cell>
          <cell r="B23" t="str">
            <v>Construcción</v>
          </cell>
          <cell r="C23">
            <v>8</v>
          </cell>
          <cell r="D23" t="str">
            <v>SI</v>
          </cell>
          <cell r="E23">
            <v>2</v>
          </cell>
          <cell r="H23" t="str">
            <v>RETENCION</v>
          </cell>
        </row>
        <row r="24">
          <cell r="A24" t="str">
            <v>23 - LOS PUEBLOS</v>
          </cell>
          <cell r="B24" t="str">
            <v>Cambio de Dueño</v>
          </cell>
          <cell r="C24">
            <v>9</v>
          </cell>
          <cell r="H24" t="str">
            <v>TELEMERCADEO</v>
          </cell>
        </row>
        <row r="25">
          <cell r="A25" t="str">
            <v>24 - CALLE 50</v>
          </cell>
          <cell r="B25" t="str">
            <v>Cambio de Deudor</v>
          </cell>
          <cell r="C25">
            <v>10</v>
          </cell>
          <cell r="H25" t="str">
            <v>BIENES REPOSEIDOS</v>
          </cell>
        </row>
        <row r="26">
          <cell r="A26" t="str">
            <v>25 - SUCURSAL DISPONIBLE</v>
          </cell>
          <cell r="B26" t="str">
            <v>Cambio de Fiador Solidario</v>
          </cell>
          <cell r="C26">
            <v>11</v>
          </cell>
          <cell r="H26" t="str">
            <v>VENTAS CONSUMO</v>
          </cell>
        </row>
        <row r="27">
          <cell r="A27" t="str">
            <v>26 - TRANSISTMICA</v>
          </cell>
          <cell r="B27" t="str">
            <v>Compra Venta de Acciones</v>
          </cell>
          <cell r="C27">
            <v>12</v>
          </cell>
          <cell r="D27" t="str">
            <v>SI</v>
          </cell>
          <cell r="E27">
            <v>1</v>
          </cell>
          <cell r="H27" t="str">
            <v>CENTRO DE ATENCION AL CLIENTE</v>
          </cell>
        </row>
        <row r="28">
          <cell r="A28" t="str">
            <v>27 - ZONA LIBRE</v>
          </cell>
          <cell r="D28" t="str">
            <v>NO</v>
          </cell>
          <cell r="E28">
            <v>2</v>
          </cell>
        </row>
        <row r="29">
          <cell r="A29" t="str">
            <v>28 - PLAZA GALAPAGOS</v>
          </cell>
        </row>
        <row r="30">
          <cell r="A30" t="str">
            <v>29 - PARQUE LEFEVRE</v>
          </cell>
          <cell r="B30" t="str">
            <v>Descuento Directo</v>
          </cell>
          <cell r="C30" t="str">
            <v>Descuento Directo</v>
          </cell>
          <cell r="D30">
            <v>1</v>
          </cell>
        </row>
        <row r="31">
          <cell r="A31" t="str">
            <v>30 - DAVID</v>
          </cell>
          <cell r="B31" t="str">
            <v>Cargo a Cuenta Ahorro</v>
          </cell>
          <cell r="C31" t="str">
            <v>Cargo a Cuenta Ahorro</v>
          </cell>
          <cell r="D31">
            <v>2</v>
          </cell>
          <cell r="H31" t="str">
            <v>Abona</v>
          </cell>
        </row>
        <row r="32">
          <cell r="A32" t="str">
            <v>31 - BANCA PRIVADA - BANCO GENERAL</v>
          </cell>
          <cell r="B32" t="str">
            <v>Cargo a Cuenta Corriente</v>
          </cell>
          <cell r="C32" t="str">
            <v>Cargo a Cuenta Corriente</v>
          </cell>
          <cell r="D32">
            <v>3</v>
          </cell>
          <cell r="H32" t="str">
            <v>Cancela</v>
          </cell>
        </row>
        <row r="33">
          <cell r="A33" t="str">
            <v>32 - PLAZA LAS AMERICAS</v>
          </cell>
          <cell r="B33" t="str">
            <v>Pago Voluntario</v>
          </cell>
          <cell r="C33" t="str">
            <v>Cargo a Interes Plazo Fijo</v>
          </cell>
          <cell r="D33">
            <v>4</v>
          </cell>
        </row>
        <row r="34">
          <cell r="A34" t="str">
            <v>33 - CORONADO</v>
          </cell>
          <cell r="C34" t="str">
            <v>Pago Voluntario</v>
          </cell>
          <cell r="D34">
            <v>5</v>
          </cell>
        </row>
        <row r="35">
          <cell r="A35" t="str">
            <v>34 - ALBROOK MALL</v>
          </cell>
        </row>
        <row r="36">
          <cell r="A36" t="str">
            <v>35 - PANAMA PACIFICO</v>
          </cell>
        </row>
        <row r="37">
          <cell r="A37" t="str">
            <v>37 - PENONOME</v>
          </cell>
        </row>
        <row r="38">
          <cell r="A38" t="str">
            <v>38 - ALBROOK</v>
          </cell>
          <cell r="B38" t="str">
            <v>Primera Residencia</v>
          </cell>
          <cell r="C38" t="str">
            <v>SI</v>
          </cell>
          <cell r="E38" t="str">
            <v>SI</v>
          </cell>
          <cell r="F38">
            <v>1</v>
          </cell>
          <cell r="H38" t="str">
            <v/>
          </cell>
        </row>
        <row r="39">
          <cell r="A39" t="str">
            <v>39 - SUCURSAL DE VISTA ALEGRE</v>
          </cell>
          <cell r="B39" t="str">
            <v>Segunda Residencia</v>
          </cell>
          <cell r="C39" t="str">
            <v>NO</v>
          </cell>
          <cell r="E39" t="str">
            <v>NO</v>
          </cell>
          <cell r="F39">
            <v>2</v>
          </cell>
          <cell r="H39" t="str">
            <v/>
          </cell>
        </row>
        <row r="40">
          <cell r="A40" t="str">
            <v>40 - LAS TABLAS</v>
          </cell>
          <cell r="B40" t="str">
            <v>Inversión</v>
          </cell>
          <cell r="H40" t="str">
            <v/>
          </cell>
        </row>
        <row r="41">
          <cell r="A41" t="str">
            <v>41 - 24 DE DICIEMBRE</v>
          </cell>
          <cell r="H41" t="str">
            <v/>
          </cell>
        </row>
        <row r="42">
          <cell r="A42" t="str">
            <v>42 - DAVID - TERRONAL</v>
          </cell>
          <cell r="H42" t="str">
            <v>Otros</v>
          </cell>
        </row>
        <row r="43">
          <cell r="A43" t="str">
            <v>43 - COSTA DEL ESTE</v>
          </cell>
          <cell r="B43" t="str">
            <v>Comisiones y  Servicios Legales</v>
          </cell>
          <cell r="E43" t="str">
            <v>Objetivo</v>
          </cell>
        </row>
        <row r="44">
          <cell r="A44" t="str">
            <v>44 - MULTI PLAZA</v>
          </cell>
          <cell r="B44" t="str">
            <v>Prest. de Auto</v>
          </cell>
          <cell r="E44" t="str">
            <v>Indefinido revisado</v>
          </cell>
        </row>
        <row r="45">
          <cell r="A45" t="str">
            <v>45 - HOSPITAL PUNTA PACIFICA</v>
          </cell>
          <cell r="B45" t="str">
            <v>Alquiler</v>
          </cell>
          <cell r="E45" t="str">
            <v>No objetivo</v>
          </cell>
        </row>
        <row r="46">
          <cell r="A46" t="str">
            <v>46 - TERMINAL DE ALBROOK</v>
          </cell>
          <cell r="B46" t="str">
            <v>Factoring</v>
          </cell>
          <cell r="E46" t="str">
            <v>Indefinido no revisado</v>
          </cell>
        </row>
        <row r="47">
          <cell r="A47" t="str">
            <v>47 - CONCEPCION</v>
          </cell>
          <cell r="B47" t="str">
            <v>Facilidades de Crédito</v>
          </cell>
        </row>
        <row r="48">
          <cell r="A48" t="str">
            <v>48 - BOQUETE</v>
          </cell>
          <cell r="B48" t="str">
            <v xml:space="preserve">Hipoteca </v>
          </cell>
          <cell r="H48" t="str">
            <v>SI</v>
          </cell>
          <cell r="I48">
            <v>1</v>
          </cell>
        </row>
        <row r="49">
          <cell r="A49" t="str">
            <v>49 - BRISAS DEL GOLF</v>
          </cell>
          <cell r="B49" t="str">
            <v>Línea Rotativa</v>
          </cell>
          <cell r="E49" t="str">
            <v>Compra de Vivienda</v>
          </cell>
          <cell r="H49" t="str">
            <v>NO</v>
          </cell>
          <cell r="I49">
            <v>2</v>
          </cell>
        </row>
        <row r="50">
          <cell r="A50" t="str">
            <v>51 - PUENTE CENTENARIO</v>
          </cell>
          <cell r="B50" t="str">
            <v>Línea de Crédito</v>
          </cell>
          <cell r="E50" t="str">
            <v>Casa Cash</v>
          </cell>
        </row>
        <row r="51">
          <cell r="A51" t="str">
            <v>53 - AGUADULCE</v>
          </cell>
          <cell r="B51" t="str">
            <v>Leasing</v>
          </cell>
          <cell r="E51" t="str">
            <v>Compra Vivienda Vacacional</v>
          </cell>
        </row>
        <row r="52">
          <cell r="A52" t="str">
            <v>54 - SABANITAS</v>
          </cell>
          <cell r="B52" t="str">
            <v>Prest. Personal</v>
          </cell>
          <cell r="E52" t="str">
            <v>Traspaso de Otro Banco</v>
          </cell>
        </row>
        <row r="53">
          <cell r="A53" t="str">
            <v>66 - METROMALL</v>
          </cell>
          <cell r="B53" t="str">
            <v>Prest. Agropecuario</v>
          </cell>
          <cell r="E53" t="str">
            <v>Traspaso por compra de vivienda (Ley Preferencial en BG)</v>
          </cell>
        </row>
        <row r="54">
          <cell r="A54" t="str">
            <v>68 - ALTOS DE PANAMA</v>
          </cell>
          <cell r="B54" t="str">
            <v>Prest. Comercial</v>
          </cell>
          <cell r="E54" t="str">
            <v>Construcción</v>
          </cell>
        </row>
        <row r="55">
          <cell r="A55" t="str">
            <v>69 - VERSALLES</v>
          </cell>
          <cell r="B55" t="str">
            <v>Prest. Prendario</v>
          </cell>
          <cell r="E55" t="str">
            <v>Compra Venta de Acciones</v>
          </cell>
        </row>
        <row r="56">
          <cell r="A56" t="str">
            <v>70 - BUSINESS PARK</v>
          </cell>
          <cell r="B56" t="str">
            <v>Prest. Educativo</v>
          </cell>
        </row>
        <row r="57">
          <cell r="A57" t="str">
            <v>71 - SAN FRANCISCO</v>
          </cell>
          <cell r="B57" t="str">
            <v>Servicios</v>
          </cell>
        </row>
        <row r="58">
          <cell r="A58" t="str">
            <v>72 - PLAZA BANCO GENERAL</v>
          </cell>
          <cell r="B58" t="str">
            <v>Tarjeta de Crédito</v>
          </cell>
          <cell r="E58" t="str">
            <v>Cambio de Dueño y Deudor</v>
          </cell>
        </row>
        <row r="59">
          <cell r="A59" t="str">
            <v>73 - LA CHORRERA - PARQUE 10 DE NOV.</v>
          </cell>
          <cell r="B59" t="str">
            <v>Excedente</v>
          </cell>
          <cell r="E59" t="str">
            <v>Cambio de Dueño</v>
          </cell>
        </row>
        <row r="60">
          <cell r="A60" t="str">
            <v>74 - COSTA DEL ESTE - CENTENARIO</v>
          </cell>
          <cell r="B60" t="str">
            <v>Aplicar Préstamo BG</v>
          </cell>
          <cell r="E60" t="str">
            <v>Cambio de Deudor</v>
          </cell>
        </row>
        <row r="61">
          <cell r="A61" t="str">
            <v>76 - CLAYTON</v>
          </cell>
          <cell r="B61" t="str">
            <v>Promotor/Vendedor</v>
          </cell>
          <cell r="E61" t="str">
            <v>Cambio de Fiador Solidario</v>
          </cell>
        </row>
        <row r="62">
          <cell r="A62" t="str">
            <v>77 - MARBELLA</v>
          </cell>
          <cell r="B62" t="str">
            <v>Intereses</v>
          </cell>
        </row>
        <row r="63">
          <cell r="A63" t="str">
            <v>78 - PLAZA CAROLINA</v>
          </cell>
          <cell r="B63" t="str">
            <v>Adjudicado</v>
          </cell>
        </row>
        <row r="64">
          <cell r="A64" t="str">
            <v>79 - PLAZA CORDOBA</v>
          </cell>
          <cell r="B64" t="str">
            <v>Interino</v>
          </cell>
        </row>
        <row r="65">
          <cell r="A65" t="str">
            <v>80 - VIA SIMON BOLIVAR</v>
          </cell>
          <cell r="B65" t="str">
            <v>Interino BG</v>
          </cell>
        </row>
        <row r="66">
          <cell r="A66" t="str">
            <v>89 - JUSTO AROSEMENA</v>
          </cell>
          <cell r="B66" t="str">
            <v>Fideicomiso BG</v>
          </cell>
        </row>
        <row r="67">
          <cell r="A67" t="str">
            <v>91 - NEGOCIOS</v>
          </cell>
        </row>
        <row r="68">
          <cell r="A68" t="str">
            <v>95 - BOULEVARD EL DORADO</v>
          </cell>
          <cell r="E68" t="str">
            <v>A - Asalariado</v>
          </cell>
          <cell r="F68">
            <v>1</v>
          </cell>
          <cell r="G68" t="str">
            <v>A</v>
          </cell>
        </row>
        <row r="69">
          <cell r="A69" t="str">
            <v>97 - SAN SEBASTIAN</v>
          </cell>
          <cell r="E69" t="str">
            <v>A-1 Independiente</v>
          </cell>
          <cell r="F69">
            <v>2</v>
          </cell>
          <cell r="G69" t="str">
            <v>A-1</v>
          </cell>
        </row>
        <row r="70">
          <cell r="A70" t="str">
            <v>98 - SANTIAGO INTERAMERICANA</v>
          </cell>
          <cell r="E70" t="str">
            <v>B - Panameños ingresos en el exterior</v>
          </cell>
          <cell r="F70">
            <v>3</v>
          </cell>
          <cell r="G70" t="str">
            <v>B</v>
          </cell>
        </row>
        <row r="71">
          <cell r="A71" t="str">
            <v>99 - CIUDAD DEL SABER</v>
          </cell>
          <cell r="E71" t="str">
            <v>C - Extranjeros ingresos en el exterior</v>
          </cell>
          <cell r="F71">
            <v>4</v>
          </cell>
          <cell r="G71" t="str">
            <v>C</v>
          </cell>
        </row>
        <row r="72">
          <cell r="A72" t="str">
            <v>BIENES REPOSEÍDOS</v>
          </cell>
          <cell r="E72" t="str">
            <v>D - Extranjeros ingresos en Panamá</v>
          </cell>
          <cell r="F72">
            <v>5</v>
          </cell>
          <cell r="G72" t="str">
            <v>D</v>
          </cell>
        </row>
        <row r="73">
          <cell r="A73" t="str">
            <v>F.V. CONSUMO</v>
          </cell>
        </row>
        <row r="74">
          <cell r="A74" t="str">
            <v>F.V. CONSUMO INTERIOR</v>
          </cell>
        </row>
        <row r="75">
          <cell r="A75" t="str">
            <v>RETENCIÓN</v>
          </cell>
          <cell r="E75" t="str">
            <v>Asalariado</v>
          </cell>
          <cell r="F75">
            <v>1</v>
          </cell>
        </row>
        <row r="76">
          <cell r="A76" t="str">
            <v>CAPITAL HUMANO</v>
          </cell>
          <cell r="E76" t="str">
            <v>Independiente</v>
          </cell>
          <cell r="F76">
            <v>2</v>
          </cell>
        </row>
        <row r="77">
          <cell r="A77" t="str">
            <v>CENTRO DE ATENCIÓN AL CLIENTE</v>
          </cell>
          <cell r="E77" t="str">
            <v>Jubilado / Pensionado</v>
          </cell>
          <cell r="F77">
            <v>3</v>
          </cell>
        </row>
        <row r="78">
          <cell r="A78" t="str">
            <v>SERVICIOS HIPOTECARIOS</v>
          </cell>
          <cell r="E78" t="str">
            <v>Fundaciones</v>
          </cell>
          <cell r="F78">
            <v>4</v>
          </cell>
        </row>
        <row r="79">
          <cell r="A79" t="str">
            <v>TELEMERCADEO</v>
          </cell>
          <cell r="E79" t="str">
            <v>Sociedades</v>
          </cell>
          <cell r="F79">
            <v>5</v>
          </cell>
        </row>
        <row r="80">
          <cell r="A80" t="str">
            <v>125 - COSTA VERDE</v>
          </cell>
          <cell r="E80" t="str">
            <v>Panameños ingresos en el exterior</v>
          </cell>
          <cell r="F80">
            <v>6</v>
          </cell>
        </row>
        <row r="81">
          <cell r="A81" t="str">
            <v>131 - PLAZA LOS ANGELES</v>
          </cell>
          <cell r="E81" t="str">
            <v>Extranjeros ingresos en el exterior</v>
          </cell>
          <cell r="F81">
            <v>7</v>
          </cell>
        </row>
        <row r="82">
          <cell r="A82" t="str">
            <v>157- SAN MATEO</v>
          </cell>
          <cell r="E82" t="str">
            <v>Extranjeros ingresos en Panamá</v>
          </cell>
          <cell r="F82">
            <v>8</v>
          </cell>
        </row>
        <row r="83">
          <cell r="A83" t="str">
            <v>162 - BRISAS DEL GOLF - ARRAIJAN</v>
          </cell>
        </row>
        <row r="84">
          <cell r="A84" t="str">
            <v>102 - AZUERO TERMINAL PLAZA</v>
          </cell>
        </row>
        <row r="85">
          <cell r="A85" t="str">
            <v xml:space="preserve">164 - PASEO ARRAIJAN
</v>
          </cell>
        </row>
        <row r="86">
          <cell r="A86" t="str">
            <v>101 - VILLA ZAITA</v>
          </cell>
        </row>
        <row r="87">
          <cell r="A87" t="str">
            <v>196 - SANTA MARIA</v>
          </cell>
        </row>
        <row r="88">
          <cell r="A88" t="str">
            <v>12 - AUTOBANCO SAN FRANCISCO</v>
          </cell>
        </row>
        <row r="89">
          <cell r="A89" t="str">
            <v>28 - CENTRO DE PRESTAMOS PEDREGAL</v>
          </cell>
        </row>
        <row r="90">
          <cell r="A90" t="str">
            <v>36 - AUTOBANCO VIA PORRAS 2</v>
          </cell>
        </row>
        <row r="91">
          <cell r="A91" t="str">
            <v>50 - CENTRO DE TARJETAS</v>
          </cell>
        </row>
        <row r="92">
          <cell r="A92" t="str">
            <v>52 - GALERIAS OBARRIO</v>
          </cell>
        </row>
        <row r="93">
          <cell r="A93" t="str">
            <v>55 - CENTRO DE OPERACIONES</v>
          </cell>
        </row>
        <row r="94">
          <cell r="A94" t="str">
            <v>56 - DEPARTAMENTOS AVE_CUBA</v>
          </cell>
        </row>
        <row r="95">
          <cell r="A95" t="str">
            <v>57 - HIPOTECAS</v>
          </cell>
          <cell r="E95" t="str">
            <v>SI</v>
          </cell>
          <cell r="F95">
            <v>1</v>
          </cell>
        </row>
        <row r="96">
          <cell r="A96" t="str">
            <v>58 - DEPARTAMENTOS MARBELLA</v>
          </cell>
          <cell r="E96" t="str">
            <v>NO</v>
          </cell>
          <cell r="F96">
            <v>2</v>
          </cell>
        </row>
        <row r="97">
          <cell r="A97" t="str">
            <v>59 - CREDITO COMERCIAL</v>
          </cell>
        </row>
        <row r="98">
          <cell r="A98" t="str">
            <v>60 - DEPARTAMENTO DE CONTABILIDAD</v>
          </cell>
        </row>
        <row r="99">
          <cell r="A99" t="str">
            <v>61 - RESERVA CENTRAL</v>
          </cell>
          <cell r="E99" t="str">
            <v>Individual</v>
          </cell>
          <cell r="F99">
            <v>1</v>
          </cell>
        </row>
        <row r="100">
          <cell r="A100" t="str">
            <v>62 - BANCA VIRTUAL</v>
          </cell>
          <cell r="E100" t="str">
            <v>Casco Antiguo</v>
          </cell>
          <cell r="F100">
            <v>2</v>
          </cell>
        </row>
        <row r="101">
          <cell r="A101" t="str">
            <v>63 - SISTEMA CLAVE</v>
          </cell>
        </row>
        <row r="102">
          <cell r="A102" t="str">
            <v>64 - ACTIVOS DE BANCOMER</v>
          </cell>
        </row>
        <row r="103">
          <cell r="A103" t="str">
            <v>65 - SEGUNDO SERVIDOR DE TRANSISTMICA</v>
          </cell>
        </row>
        <row r="104">
          <cell r="A104" t="str">
            <v>67 - BANCO DE BOSTON</v>
          </cell>
          <cell r="E104" t="str">
            <v>Panamá</v>
          </cell>
          <cell r="F104">
            <v>2</v>
          </cell>
        </row>
        <row r="105">
          <cell r="A105" t="str">
            <v>75 - BANCA MOVIL</v>
          </cell>
          <cell r="E105" t="str">
            <v>Interior</v>
          </cell>
          <cell r="F105">
            <v>1</v>
          </cell>
        </row>
        <row r="106">
          <cell r="A106" t="str">
            <v>81 - BG VALORES</v>
          </cell>
        </row>
        <row r="107">
          <cell r="A107" t="str">
            <v>82 - REGIONAL EL SALVADOR</v>
          </cell>
        </row>
        <row r="108">
          <cell r="A108" t="str">
            <v>83 - REGIONAL COSTA RICA</v>
          </cell>
        </row>
        <row r="109">
          <cell r="A109" t="str">
            <v>84 - REGIONAL GUATEMALA</v>
          </cell>
        </row>
        <row r="110">
          <cell r="A110" t="str">
            <v>85 - REGIONAL MEXICO</v>
          </cell>
        </row>
        <row r="111">
          <cell r="A111" t="str">
            <v>86 - REGIONAL COLOMBIA 1</v>
          </cell>
        </row>
        <row r="112">
          <cell r="A112" t="str">
            <v>87 - REGIONAL NICARAGUA</v>
          </cell>
        </row>
        <row r="113">
          <cell r="A113" t="str">
            <v>88 - REGIONAL HONDURAS</v>
          </cell>
        </row>
        <row r="114">
          <cell r="A114" t="str">
            <v>90 - DIRECCION GENERAL</v>
          </cell>
        </row>
        <row r="115">
          <cell r="A115" t="str">
            <v>92 - FINANZAS</v>
          </cell>
        </row>
        <row r="116">
          <cell r="A116" t="str">
            <v>93 - SOPORTE</v>
          </cell>
        </row>
        <row r="117">
          <cell r="A117" t="str">
            <v>94 - BANCA INTERNACIONAL</v>
          </cell>
        </row>
        <row r="118">
          <cell r="A118" t="str">
            <v>96 - OFICINA DE CONTINGENCIA</v>
          </cell>
        </row>
        <row r="119">
          <cell r="A119" t="str">
            <v>98 - SANTIAGO INTERAMERICANA</v>
          </cell>
        </row>
        <row r="120">
          <cell r="A120" t="str">
            <v>101 - DISPONIBLE</v>
          </cell>
        </row>
        <row r="121">
          <cell r="A121" t="str">
            <v>163 - SISTEMA CNB</v>
          </cell>
        </row>
        <row r="122">
          <cell r="A122" t="str">
            <v>252 - REMOTO2</v>
          </cell>
        </row>
        <row r="126">
          <cell r="E126" t="str">
            <v>SI</v>
          </cell>
        </row>
        <row r="127">
          <cell r="E127" t="str">
            <v>NO</v>
          </cell>
        </row>
        <row r="132">
          <cell r="E132" t="str">
            <v>Patrimonial</v>
          </cell>
        </row>
        <row r="133">
          <cell r="E133" t="str">
            <v>Diamante</v>
          </cell>
        </row>
        <row r="134">
          <cell r="E134" t="str">
            <v>Platino</v>
          </cell>
        </row>
        <row r="135">
          <cell r="E135" t="str">
            <v>Dorado</v>
          </cell>
        </row>
        <row r="136">
          <cell r="E136" t="str">
            <v>Plateado</v>
          </cell>
        </row>
        <row r="137">
          <cell r="E137" t="str">
            <v>Estrella</v>
          </cell>
        </row>
        <row r="141">
          <cell r="E141" t="str">
            <v>Fuerte</v>
          </cell>
        </row>
        <row r="142">
          <cell r="E142" t="str">
            <v>Medio</v>
          </cell>
        </row>
        <row r="143">
          <cell r="E143" t="str">
            <v>Bajo</v>
          </cell>
        </row>
      </sheetData>
      <sheetData sheetId="6">
        <row r="74">
          <cell r="A74">
            <v>1</v>
          </cell>
          <cell r="B74">
            <v>5</v>
          </cell>
        </row>
        <row r="75">
          <cell r="A75">
            <v>50001</v>
          </cell>
          <cell r="B75">
            <v>8</v>
          </cell>
        </row>
        <row r="76">
          <cell r="A76">
            <v>80001</v>
          </cell>
          <cell r="B76">
            <v>10</v>
          </cell>
        </row>
        <row r="77">
          <cell r="A77">
            <v>100001</v>
          </cell>
          <cell r="B77">
            <v>15</v>
          </cell>
        </row>
        <row r="78">
          <cell r="A78">
            <v>150001</v>
          </cell>
          <cell r="B78">
            <v>20</v>
          </cell>
        </row>
        <row r="79">
          <cell r="A79">
            <v>200001</v>
          </cell>
          <cell r="B79">
            <v>30</v>
          </cell>
        </row>
        <row r="80">
          <cell r="A80">
            <v>250001</v>
          </cell>
          <cell r="B80">
            <v>40</v>
          </cell>
        </row>
        <row r="81">
          <cell r="A81">
            <v>300001</v>
          </cell>
          <cell r="B81">
            <v>50</v>
          </cell>
        </row>
        <row r="82">
          <cell r="A82">
            <v>350001</v>
          </cell>
          <cell r="B82">
            <v>60</v>
          </cell>
        </row>
        <row r="83">
          <cell r="A83">
            <v>400001</v>
          </cell>
          <cell r="B83">
            <v>70</v>
          </cell>
        </row>
        <row r="84">
          <cell r="A84">
            <v>450001</v>
          </cell>
          <cell r="B84">
            <v>80</v>
          </cell>
        </row>
        <row r="85">
          <cell r="A85">
            <v>500001</v>
          </cell>
          <cell r="B85">
            <v>90</v>
          </cell>
        </row>
        <row r="86">
          <cell r="A86">
            <v>550001</v>
          </cell>
          <cell r="B86">
            <v>100</v>
          </cell>
        </row>
      </sheetData>
      <sheetData sheetId="7">
        <row r="2">
          <cell r="J2" t="str">
            <v>A-1Cambio de DeudorIndividualResidencialUsadaApartamentoBG000000005000.00</v>
          </cell>
          <cell r="K2">
            <v>5000</v>
          </cell>
          <cell r="L2">
            <v>50000000</v>
          </cell>
          <cell r="M2">
            <v>100</v>
          </cell>
          <cell r="N2">
            <v>30</v>
          </cell>
          <cell r="O2">
            <v>0</v>
          </cell>
          <cell r="P2">
            <v>0</v>
          </cell>
        </row>
        <row r="3">
          <cell r="J3" t="str">
            <v>A-1Cambio de DeudorIndividualResidencialUsadaApartamentoCOPA000000005000.00</v>
          </cell>
          <cell r="K3">
            <v>5000</v>
          </cell>
          <cell r="L3">
            <v>50000000</v>
          </cell>
          <cell r="M3">
            <v>100</v>
          </cell>
          <cell r="N3">
            <v>30</v>
          </cell>
          <cell r="O3">
            <v>0</v>
          </cell>
          <cell r="P3">
            <v>0</v>
          </cell>
        </row>
        <row r="4">
          <cell r="J4" t="str">
            <v>A-1Cambio de DeudorIndividualResidencialUsadaApartamentoFERIA000000005000.00</v>
          </cell>
          <cell r="K4">
            <v>5000</v>
          </cell>
          <cell r="L4">
            <v>50000000</v>
          </cell>
          <cell r="M4">
            <v>100</v>
          </cell>
          <cell r="N4">
            <v>30</v>
          </cell>
          <cell r="O4">
            <v>0</v>
          </cell>
          <cell r="P4">
            <v>0</v>
          </cell>
        </row>
        <row r="5">
          <cell r="J5" t="str">
            <v>A-1Cambio de DeudorIndividualResidencialUsadaCasaBG000000005000.00</v>
          </cell>
          <cell r="K5">
            <v>5000</v>
          </cell>
          <cell r="L5">
            <v>50000000</v>
          </cell>
          <cell r="M5">
            <v>100</v>
          </cell>
          <cell r="N5">
            <v>30</v>
          </cell>
          <cell r="O5">
            <v>0</v>
          </cell>
          <cell r="P5">
            <v>0</v>
          </cell>
        </row>
        <row r="6">
          <cell r="J6" t="str">
            <v>A-1Cambio de DeudorIndividualResidencialUsadaCasaCOPA000000005000.00</v>
          </cell>
          <cell r="K6">
            <v>5000</v>
          </cell>
          <cell r="L6">
            <v>50000000</v>
          </cell>
          <cell r="M6">
            <v>100</v>
          </cell>
          <cell r="N6">
            <v>30</v>
          </cell>
          <cell r="O6">
            <v>0</v>
          </cell>
          <cell r="P6">
            <v>0</v>
          </cell>
        </row>
        <row r="7">
          <cell r="J7" t="str">
            <v>A-1Cambio de DeudorIndividualResidencialUsadaCasaFERIA000000005000.00</v>
          </cell>
          <cell r="K7">
            <v>5000</v>
          </cell>
          <cell r="L7">
            <v>50000000</v>
          </cell>
          <cell r="M7">
            <v>100</v>
          </cell>
          <cell r="N7">
            <v>30</v>
          </cell>
          <cell r="O7">
            <v>0</v>
          </cell>
          <cell r="P7">
            <v>0</v>
          </cell>
        </row>
        <row r="8">
          <cell r="J8" t="str">
            <v>A-1Cambio de DeudorLey PreferencialResidencialUsadaApartamentoBG000000005000.00</v>
          </cell>
          <cell r="K8">
            <v>5000</v>
          </cell>
          <cell r="L8">
            <v>120000</v>
          </cell>
          <cell r="M8">
            <v>100</v>
          </cell>
          <cell r="N8">
            <v>30</v>
          </cell>
          <cell r="O8">
            <v>0</v>
          </cell>
          <cell r="P8">
            <v>4.28</v>
          </cell>
        </row>
        <row r="9">
          <cell r="J9" t="str">
            <v>A-1Cambio de DeudorLey PreferencialResidencialUsadaApartamentoCOPA000000005000.00</v>
          </cell>
          <cell r="K9">
            <v>5000</v>
          </cell>
          <cell r="L9">
            <v>120000</v>
          </cell>
          <cell r="M9">
            <v>100</v>
          </cell>
          <cell r="N9">
            <v>30</v>
          </cell>
          <cell r="O9">
            <v>0</v>
          </cell>
          <cell r="P9">
            <v>8.56</v>
          </cell>
        </row>
        <row r="10">
          <cell r="J10" t="str">
            <v>A-1Cambio de DeudorLey PreferencialResidencialUsadaApartamentoFERIA000000005000.00</v>
          </cell>
          <cell r="K10">
            <v>5000</v>
          </cell>
          <cell r="L10">
            <v>120000</v>
          </cell>
          <cell r="M10">
            <v>100</v>
          </cell>
          <cell r="N10">
            <v>30</v>
          </cell>
          <cell r="O10">
            <v>0</v>
          </cell>
          <cell r="P10">
            <v>4.28</v>
          </cell>
        </row>
        <row r="11">
          <cell r="J11" t="str">
            <v>A-1Cambio de DeudorLey PreferencialResidencialUsadaCasaBG000000005000.00</v>
          </cell>
          <cell r="K11">
            <v>5000</v>
          </cell>
          <cell r="L11">
            <v>120000</v>
          </cell>
          <cell r="M11">
            <v>100</v>
          </cell>
          <cell r="N11">
            <v>30</v>
          </cell>
          <cell r="O11">
            <v>0</v>
          </cell>
          <cell r="P11">
            <v>4.28</v>
          </cell>
        </row>
        <row r="12">
          <cell r="J12" t="str">
            <v>A-1Cambio de DeudorLey PreferencialResidencialUsadaCasaCOPA000000005000.00</v>
          </cell>
          <cell r="K12">
            <v>5000</v>
          </cell>
          <cell r="L12">
            <v>120000</v>
          </cell>
          <cell r="M12">
            <v>100</v>
          </cell>
          <cell r="N12">
            <v>30</v>
          </cell>
          <cell r="O12">
            <v>0</v>
          </cell>
          <cell r="P12">
            <v>8.56</v>
          </cell>
        </row>
        <row r="13">
          <cell r="J13" t="str">
            <v>A-1Cambio de DeudorLey PreferencialResidencialUsadaCasaFERIA000000005000.00</v>
          </cell>
          <cell r="K13">
            <v>5000</v>
          </cell>
          <cell r="L13">
            <v>120000</v>
          </cell>
          <cell r="M13">
            <v>100</v>
          </cell>
          <cell r="N13">
            <v>30</v>
          </cell>
          <cell r="O13">
            <v>0</v>
          </cell>
          <cell r="P13">
            <v>4.28</v>
          </cell>
        </row>
        <row r="14">
          <cell r="J14" t="str">
            <v>A-1Cambio de Dueño y DeudorIndividualResidencialUsadaApartamentoBG000000005000.00</v>
          </cell>
          <cell r="K14">
            <v>5000</v>
          </cell>
          <cell r="L14">
            <v>50000000</v>
          </cell>
          <cell r="M14">
            <v>100</v>
          </cell>
          <cell r="N14">
            <v>30</v>
          </cell>
          <cell r="O14">
            <v>0</v>
          </cell>
          <cell r="P14">
            <v>0</v>
          </cell>
        </row>
        <row r="15">
          <cell r="J15" t="str">
            <v>A-1Cambio de Dueño y DeudorIndividualResidencialUsadaApartamentoCOPA000000005000.00</v>
          </cell>
          <cell r="K15">
            <v>5000</v>
          </cell>
          <cell r="L15">
            <v>50000000</v>
          </cell>
          <cell r="M15">
            <v>100</v>
          </cell>
          <cell r="N15">
            <v>30</v>
          </cell>
          <cell r="O15">
            <v>0</v>
          </cell>
          <cell r="P15">
            <v>0</v>
          </cell>
        </row>
        <row r="16">
          <cell r="J16" t="str">
            <v>A-1Cambio de Dueño y DeudorIndividualResidencialUsadaApartamentoFERIA000000005000.00</v>
          </cell>
          <cell r="K16">
            <v>5000</v>
          </cell>
          <cell r="L16">
            <v>50000000</v>
          </cell>
          <cell r="M16">
            <v>100</v>
          </cell>
          <cell r="N16">
            <v>30</v>
          </cell>
          <cell r="O16">
            <v>0</v>
          </cell>
          <cell r="P16">
            <v>0</v>
          </cell>
        </row>
        <row r="17">
          <cell r="J17" t="str">
            <v>A-1Cambio de Dueño y DeudorIndividualResidencialUsadaCasaBG000000005000.00</v>
          </cell>
          <cell r="K17">
            <v>5000</v>
          </cell>
          <cell r="L17">
            <v>50000000</v>
          </cell>
          <cell r="M17">
            <v>100</v>
          </cell>
          <cell r="N17">
            <v>30</v>
          </cell>
          <cell r="O17">
            <v>0</v>
          </cell>
          <cell r="P17">
            <v>0</v>
          </cell>
        </row>
        <row r="18">
          <cell r="J18" t="str">
            <v>A-1Cambio de Dueño y DeudorIndividualResidencialUsadaCasaCOPA000000005000.00</v>
          </cell>
          <cell r="K18">
            <v>5000</v>
          </cell>
          <cell r="L18">
            <v>50000000</v>
          </cell>
          <cell r="M18">
            <v>100</v>
          </cell>
          <cell r="N18">
            <v>30</v>
          </cell>
          <cell r="O18">
            <v>0</v>
          </cell>
          <cell r="P18">
            <v>0</v>
          </cell>
        </row>
        <row r="19">
          <cell r="J19" t="str">
            <v>A-1Cambio de Dueño y DeudorIndividualResidencialUsadaCasaFERIA000000005000.00</v>
          </cell>
          <cell r="K19">
            <v>5000</v>
          </cell>
          <cell r="L19">
            <v>50000000</v>
          </cell>
          <cell r="M19">
            <v>100</v>
          </cell>
          <cell r="N19">
            <v>30</v>
          </cell>
          <cell r="O19">
            <v>0</v>
          </cell>
          <cell r="P19">
            <v>0</v>
          </cell>
        </row>
        <row r="20">
          <cell r="J20" t="str">
            <v>A-1Cambio de Dueño y DeudorLey PreferencialResidencialUsadaApartamentoBG000000005000.00</v>
          </cell>
          <cell r="K20">
            <v>5000</v>
          </cell>
          <cell r="L20">
            <v>120000</v>
          </cell>
          <cell r="M20">
            <v>100</v>
          </cell>
          <cell r="N20">
            <v>30</v>
          </cell>
          <cell r="O20">
            <v>0</v>
          </cell>
          <cell r="P20">
            <v>4.28</v>
          </cell>
        </row>
        <row r="21">
          <cell r="J21" t="str">
            <v>A-1Cambio de Dueño y DeudorLey PreferencialResidencialUsadaApartamentoCOPA000000005000.00</v>
          </cell>
          <cell r="K21">
            <v>5000</v>
          </cell>
          <cell r="L21">
            <v>120000</v>
          </cell>
          <cell r="M21">
            <v>100</v>
          </cell>
          <cell r="N21">
            <v>30</v>
          </cell>
          <cell r="O21">
            <v>0</v>
          </cell>
          <cell r="P21">
            <v>8.56</v>
          </cell>
        </row>
        <row r="22">
          <cell r="J22" t="str">
            <v>A-1Cambio de Dueño y DeudorLey PreferencialResidencialUsadaApartamentoFERIA000000005000.00</v>
          </cell>
          <cell r="K22">
            <v>5000</v>
          </cell>
          <cell r="L22">
            <v>120000</v>
          </cell>
          <cell r="M22">
            <v>100</v>
          </cell>
          <cell r="N22">
            <v>30</v>
          </cell>
          <cell r="O22">
            <v>0</v>
          </cell>
          <cell r="P22">
            <v>4.28</v>
          </cell>
        </row>
        <row r="23">
          <cell r="J23" t="str">
            <v>A-1Cambio de Dueño y DeudorLey PreferencialResidencialUsadaCasaBG000000005000.00</v>
          </cell>
          <cell r="K23">
            <v>5000</v>
          </cell>
          <cell r="L23">
            <v>120000</v>
          </cell>
          <cell r="M23">
            <v>100</v>
          </cell>
          <cell r="N23">
            <v>30</v>
          </cell>
          <cell r="O23">
            <v>0</v>
          </cell>
          <cell r="P23">
            <v>4.28</v>
          </cell>
        </row>
        <row r="24">
          <cell r="J24" t="str">
            <v>A-1Cambio de Dueño y DeudorLey PreferencialResidencialUsadaCasaCOPA000000005000.00</v>
          </cell>
          <cell r="K24">
            <v>5000</v>
          </cell>
          <cell r="L24">
            <v>120000</v>
          </cell>
          <cell r="M24">
            <v>100</v>
          </cell>
          <cell r="N24">
            <v>30</v>
          </cell>
          <cell r="O24">
            <v>0</v>
          </cell>
          <cell r="P24">
            <v>8.56</v>
          </cell>
        </row>
        <row r="25">
          <cell r="J25" t="str">
            <v>A-1Cambio de Dueño y DeudorLey PreferencialResidencialUsadaCasaFERIA000000005000.00</v>
          </cell>
          <cell r="K25">
            <v>5000</v>
          </cell>
          <cell r="L25">
            <v>120000</v>
          </cell>
          <cell r="M25">
            <v>100</v>
          </cell>
          <cell r="N25">
            <v>30</v>
          </cell>
          <cell r="O25">
            <v>0</v>
          </cell>
          <cell r="P25">
            <v>4.28</v>
          </cell>
        </row>
        <row r="26">
          <cell r="J26" t="str">
            <v>A-1Cambio de DueñoIndividualResidencialUsadaApartamentoBG000000005000.00</v>
          </cell>
          <cell r="K26">
            <v>5000</v>
          </cell>
          <cell r="L26">
            <v>50000000</v>
          </cell>
          <cell r="M26">
            <v>100</v>
          </cell>
          <cell r="N26">
            <v>30</v>
          </cell>
          <cell r="O26">
            <v>0</v>
          </cell>
          <cell r="P26">
            <v>0</v>
          </cell>
        </row>
        <row r="27">
          <cell r="J27" t="str">
            <v>A-1Cambio de DueñoIndividualResidencialUsadaApartamentoCOPA000000005000.00</v>
          </cell>
          <cell r="K27">
            <v>5000</v>
          </cell>
          <cell r="L27">
            <v>50000000</v>
          </cell>
          <cell r="M27">
            <v>100</v>
          </cell>
          <cell r="N27">
            <v>30</v>
          </cell>
          <cell r="O27">
            <v>0</v>
          </cell>
          <cell r="P27">
            <v>0</v>
          </cell>
        </row>
        <row r="28">
          <cell r="J28" t="str">
            <v>A-1Cambio de DueñoIndividualResidencialUsadaApartamentoFERIA000000005000.00</v>
          </cell>
          <cell r="K28">
            <v>5000</v>
          </cell>
          <cell r="L28">
            <v>50000000</v>
          </cell>
          <cell r="M28">
            <v>100</v>
          </cell>
          <cell r="N28">
            <v>30</v>
          </cell>
          <cell r="O28">
            <v>0</v>
          </cell>
          <cell r="P28">
            <v>0</v>
          </cell>
        </row>
        <row r="29">
          <cell r="J29" t="str">
            <v>A-1Cambio de DueñoIndividualResidencialUsadaCasaBG000000005000.00</v>
          </cell>
          <cell r="K29">
            <v>5000</v>
          </cell>
          <cell r="L29">
            <v>50000000</v>
          </cell>
          <cell r="M29">
            <v>100</v>
          </cell>
          <cell r="N29">
            <v>30</v>
          </cell>
          <cell r="O29">
            <v>0</v>
          </cell>
          <cell r="P29">
            <v>0</v>
          </cell>
        </row>
        <row r="30">
          <cell r="J30" t="str">
            <v>A-1Cambio de DueñoIndividualResidencialUsadaCasaCOPA000000005000.00</v>
          </cell>
          <cell r="K30">
            <v>5000</v>
          </cell>
          <cell r="L30">
            <v>50000000</v>
          </cell>
          <cell r="M30">
            <v>100</v>
          </cell>
          <cell r="N30">
            <v>30</v>
          </cell>
          <cell r="O30">
            <v>0</v>
          </cell>
          <cell r="P30">
            <v>0</v>
          </cell>
        </row>
        <row r="31">
          <cell r="J31" t="str">
            <v>A-1Cambio de DueñoIndividualResidencialUsadaCasaFERIA000000005000.00</v>
          </cell>
          <cell r="K31">
            <v>5000</v>
          </cell>
          <cell r="L31">
            <v>50000000</v>
          </cell>
          <cell r="M31">
            <v>100</v>
          </cell>
          <cell r="N31">
            <v>30</v>
          </cell>
          <cell r="O31">
            <v>0</v>
          </cell>
          <cell r="P31">
            <v>0</v>
          </cell>
        </row>
        <row r="32">
          <cell r="J32" t="str">
            <v>A-1Cambio de DueñoLey PreferencialResidencialUsadaApartamentoBG000000005000.00</v>
          </cell>
          <cell r="K32">
            <v>5000</v>
          </cell>
          <cell r="L32">
            <v>120000</v>
          </cell>
          <cell r="M32">
            <v>100</v>
          </cell>
          <cell r="N32">
            <v>30</v>
          </cell>
          <cell r="O32">
            <v>0</v>
          </cell>
          <cell r="P32">
            <v>4.28</v>
          </cell>
        </row>
        <row r="33">
          <cell r="J33" t="str">
            <v>A-1Cambio de DueñoLey PreferencialResidencialUsadaApartamentoCOPA000000005000.00</v>
          </cell>
          <cell r="K33">
            <v>5000</v>
          </cell>
          <cell r="L33">
            <v>120000</v>
          </cell>
          <cell r="M33">
            <v>100</v>
          </cell>
          <cell r="N33">
            <v>30</v>
          </cell>
          <cell r="O33">
            <v>0</v>
          </cell>
          <cell r="P33">
            <v>8.56</v>
          </cell>
        </row>
        <row r="34">
          <cell r="J34" t="str">
            <v>A-1Cambio de DueñoLey PreferencialResidencialUsadaApartamentoFERIA000000005000.00</v>
          </cell>
          <cell r="K34">
            <v>5000</v>
          </cell>
          <cell r="L34">
            <v>120000</v>
          </cell>
          <cell r="M34">
            <v>100</v>
          </cell>
          <cell r="N34">
            <v>30</v>
          </cell>
          <cell r="O34">
            <v>0</v>
          </cell>
          <cell r="P34">
            <v>4.28</v>
          </cell>
        </row>
        <row r="35">
          <cell r="J35" t="str">
            <v>A-1Cambio de DueñoLey PreferencialResidencialUsadaCasaBG000000005000.00</v>
          </cell>
          <cell r="K35">
            <v>5000</v>
          </cell>
          <cell r="L35">
            <v>120000</v>
          </cell>
          <cell r="M35">
            <v>100</v>
          </cell>
          <cell r="N35">
            <v>30</v>
          </cell>
          <cell r="O35">
            <v>0</v>
          </cell>
          <cell r="P35">
            <v>4.28</v>
          </cell>
        </row>
        <row r="36">
          <cell r="J36" t="str">
            <v>A-1Cambio de DueñoLey PreferencialResidencialUsadaCasaCOPA000000005000.00</v>
          </cell>
          <cell r="K36">
            <v>5000</v>
          </cell>
          <cell r="L36">
            <v>120000</v>
          </cell>
          <cell r="M36">
            <v>100</v>
          </cell>
          <cell r="N36">
            <v>30</v>
          </cell>
          <cell r="O36">
            <v>0</v>
          </cell>
          <cell r="P36">
            <v>8.56</v>
          </cell>
        </row>
        <row r="37">
          <cell r="J37" t="str">
            <v>A-1Cambio de DueñoLey PreferencialResidencialUsadaCasaFERIA000000005000.00</v>
          </cell>
          <cell r="K37">
            <v>5000</v>
          </cell>
          <cell r="L37">
            <v>120000</v>
          </cell>
          <cell r="M37">
            <v>100</v>
          </cell>
          <cell r="N37">
            <v>30</v>
          </cell>
          <cell r="O37">
            <v>0</v>
          </cell>
          <cell r="P37">
            <v>4.28</v>
          </cell>
        </row>
        <row r="38">
          <cell r="J38" t="str">
            <v>A-1Cambio de Fiador SolidarioIndividualResidencialUsadaApartamentoBG000000005000.00</v>
          </cell>
          <cell r="K38">
            <v>5000</v>
          </cell>
          <cell r="L38">
            <v>50000000</v>
          </cell>
          <cell r="M38">
            <v>100</v>
          </cell>
          <cell r="N38">
            <v>30</v>
          </cell>
          <cell r="O38">
            <v>0</v>
          </cell>
          <cell r="P38">
            <v>0</v>
          </cell>
        </row>
        <row r="39">
          <cell r="J39" t="str">
            <v>A-1Cambio de Fiador SolidarioIndividualResidencialUsadaApartamentoCOPA000000005000.00</v>
          </cell>
          <cell r="K39">
            <v>5000</v>
          </cell>
          <cell r="L39">
            <v>50000000</v>
          </cell>
          <cell r="M39">
            <v>100</v>
          </cell>
          <cell r="N39">
            <v>30</v>
          </cell>
          <cell r="O39">
            <v>0</v>
          </cell>
          <cell r="P39">
            <v>0</v>
          </cell>
        </row>
        <row r="40">
          <cell r="J40" t="str">
            <v>A-1Cambio de Fiador SolidarioIndividualResidencialUsadaApartamentoFERIA000000005000.00</v>
          </cell>
          <cell r="K40">
            <v>5000</v>
          </cell>
          <cell r="L40">
            <v>50000000</v>
          </cell>
          <cell r="M40">
            <v>100</v>
          </cell>
          <cell r="N40">
            <v>30</v>
          </cell>
          <cell r="O40">
            <v>0</v>
          </cell>
          <cell r="P40">
            <v>0</v>
          </cell>
        </row>
        <row r="41">
          <cell r="J41" t="str">
            <v>A-1Cambio de Fiador SolidarioIndividualResidencialUsadaCasaBG000000005000.00</v>
          </cell>
          <cell r="K41">
            <v>5000</v>
          </cell>
          <cell r="L41">
            <v>50000000</v>
          </cell>
          <cell r="M41">
            <v>100</v>
          </cell>
          <cell r="N41">
            <v>30</v>
          </cell>
          <cell r="O41">
            <v>0</v>
          </cell>
          <cell r="P41">
            <v>0</v>
          </cell>
        </row>
        <row r="42">
          <cell r="J42" t="str">
            <v>A-1Cambio de Fiador SolidarioIndividualResidencialUsadaCasaCOPA000000005000.00</v>
          </cell>
          <cell r="K42">
            <v>5000</v>
          </cell>
          <cell r="L42">
            <v>50000000</v>
          </cell>
          <cell r="M42">
            <v>100</v>
          </cell>
          <cell r="N42">
            <v>30</v>
          </cell>
          <cell r="O42">
            <v>0</v>
          </cell>
          <cell r="P42">
            <v>0</v>
          </cell>
        </row>
        <row r="43">
          <cell r="J43" t="str">
            <v>A-1Cambio de Fiador SolidarioIndividualResidencialUsadaCasaFERIA000000005000.00</v>
          </cell>
          <cell r="K43">
            <v>5000</v>
          </cell>
          <cell r="L43">
            <v>50000000</v>
          </cell>
          <cell r="M43">
            <v>100</v>
          </cell>
          <cell r="N43">
            <v>30</v>
          </cell>
          <cell r="O43">
            <v>0</v>
          </cell>
          <cell r="P43">
            <v>0</v>
          </cell>
        </row>
        <row r="44">
          <cell r="J44" t="str">
            <v>A-1Cambio de Fiador SolidarioLey PreferencialResidencialUsadaApartamentoBG000000005000.00</v>
          </cell>
          <cell r="K44">
            <v>5000</v>
          </cell>
          <cell r="L44">
            <v>120000</v>
          </cell>
          <cell r="M44">
            <v>100</v>
          </cell>
          <cell r="N44">
            <v>30</v>
          </cell>
          <cell r="O44">
            <v>0</v>
          </cell>
          <cell r="P44">
            <v>4.28</v>
          </cell>
        </row>
        <row r="45">
          <cell r="J45" t="str">
            <v>A-1Cambio de Fiador SolidarioLey PreferencialResidencialUsadaApartamentoCOPA000000005000.00</v>
          </cell>
          <cell r="K45">
            <v>5000</v>
          </cell>
          <cell r="L45">
            <v>120000</v>
          </cell>
          <cell r="M45">
            <v>100</v>
          </cell>
          <cell r="N45">
            <v>30</v>
          </cell>
          <cell r="O45">
            <v>0</v>
          </cell>
          <cell r="P45">
            <v>8.56</v>
          </cell>
        </row>
        <row r="46">
          <cell r="J46" t="str">
            <v>A-1Cambio de Fiador SolidarioLey PreferencialResidencialUsadaApartamentoFERIA000000005000.00</v>
          </cell>
          <cell r="K46">
            <v>5000</v>
          </cell>
          <cell r="L46">
            <v>120000</v>
          </cell>
          <cell r="M46">
            <v>100</v>
          </cell>
          <cell r="N46">
            <v>30</v>
          </cell>
          <cell r="O46">
            <v>0</v>
          </cell>
          <cell r="P46">
            <v>4.28</v>
          </cell>
        </row>
        <row r="47">
          <cell r="J47" t="str">
            <v>A-1Cambio de Fiador SolidarioLey PreferencialResidencialUsadaCasaBG000000005000.00</v>
          </cell>
          <cell r="K47">
            <v>5000</v>
          </cell>
          <cell r="L47">
            <v>120000</v>
          </cell>
          <cell r="M47">
            <v>100</v>
          </cell>
          <cell r="N47">
            <v>30</v>
          </cell>
          <cell r="O47">
            <v>0</v>
          </cell>
          <cell r="P47">
            <v>4.28</v>
          </cell>
        </row>
        <row r="48">
          <cell r="J48" t="str">
            <v>A-1Cambio de Fiador SolidarioLey PreferencialResidencialUsadaCasaCOPA000000005000.00</v>
          </cell>
          <cell r="K48">
            <v>5000</v>
          </cell>
          <cell r="L48">
            <v>120000</v>
          </cell>
          <cell r="M48">
            <v>100</v>
          </cell>
          <cell r="N48">
            <v>30</v>
          </cell>
          <cell r="O48">
            <v>0</v>
          </cell>
          <cell r="P48">
            <v>8.56</v>
          </cell>
        </row>
        <row r="49">
          <cell r="J49" t="str">
            <v>A-1Cambio de Fiador SolidarioLey PreferencialResidencialUsadaCasaFERIA000000005000.00</v>
          </cell>
          <cell r="K49">
            <v>5000</v>
          </cell>
          <cell r="L49">
            <v>120000</v>
          </cell>
          <cell r="M49">
            <v>100</v>
          </cell>
          <cell r="N49">
            <v>30</v>
          </cell>
          <cell r="O49">
            <v>0</v>
          </cell>
          <cell r="P49">
            <v>4.28</v>
          </cell>
        </row>
        <row r="50">
          <cell r="J50" t="str">
            <v>A-1Casa CashIndividualRefinanciamientoUsadaApartamentoBG000000030000.00</v>
          </cell>
          <cell r="K50">
            <v>30000</v>
          </cell>
          <cell r="L50">
            <v>250000</v>
          </cell>
          <cell r="M50">
            <v>90</v>
          </cell>
          <cell r="N50">
            <v>20</v>
          </cell>
          <cell r="O50">
            <v>6.25</v>
          </cell>
          <cell r="P50">
            <v>0</v>
          </cell>
        </row>
        <row r="51">
          <cell r="J51" t="str">
            <v>A-1Casa CashIndividualRefinanciamientoUsadaApartamentoBG000000250000.01</v>
          </cell>
          <cell r="K51">
            <v>250000.01</v>
          </cell>
          <cell r="L51">
            <v>500000</v>
          </cell>
          <cell r="M51">
            <v>80</v>
          </cell>
          <cell r="N51">
            <v>20</v>
          </cell>
          <cell r="O51">
            <v>6</v>
          </cell>
          <cell r="P51">
            <v>0</v>
          </cell>
        </row>
        <row r="52">
          <cell r="J52" t="str">
            <v>A-1Casa CashIndividualRefinanciamientoUsadaApartamentoBG000000500000.01</v>
          </cell>
          <cell r="K52">
            <v>500000.01</v>
          </cell>
          <cell r="L52">
            <v>99999999</v>
          </cell>
          <cell r="M52">
            <v>70</v>
          </cell>
          <cell r="N52">
            <v>20</v>
          </cell>
          <cell r="O52">
            <v>6</v>
          </cell>
          <cell r="P52">
            <v>0</v>
          </cell>
        </row>
        <row r="53">
          <cell r="J53" t="str">
            <v>A-1Casa CashIndividualRefinanciamientoUsadaApartamentoCOPA000000030000.00</v>
          </cell>
          <cell r="K53">
            <v>30000</v>
          </cell>
          <cell r="L53">
            <v>250000</v>
          </cell>
          <cell r="M53">
            <v>90</v>
          </cell>
          <cell r="N53">
            <v>20</v>
          </cell>
          <cell r="O53">
            <v>6.25</v>
          </cell>
          <cell r="P53">
            <v>0</v>
          </cell>
        </row>
        <row r="54">
          <cell r="J54" t="str">
            <v>A-1Casa CashIndividualRefinanciamientoUsadaApartamentoCOPA000000250000.01</v>
          </cell>
          <cell r="K54">
            <v>250000.01</v>
          </cell>
          <cell r="L54">
            <v>500000</v>
          </cell>
          <cell r="M54">
            <v>80</v>
          </cell>
          <cell r="N54">
            <v>20</v>
          </cell>
          <cell r="O54">
            <v>6</v>
          </cell>
          <cell r="P54">
            <v>0</v>
          </cell>
        </row>
        <row r="55">
          <cell r="J55" t="str">
            <v>A-1Casa CashIndividualRefinanciamientoUsadaApartamentoCOPA000000500000.01</v>
          </cell>
          <cell r="K55">
            <v>500000.01</v>
          </cell>
          <cell r="L55">
            <v>99999999</v>
          </cell>
          <cell r="M55">
            <v>70</v>
          </cell>
          <cell r="N55">
            <v>20</v>
          </cell>
          <cell r="O55">
            <v>6</v>
          </cell>
          <cell r="P55">
            <v>0</v>
          </cell>
        </row>
        <row r="56">
          <cell r="J56" t="str">
            <v>A-1Casa CashIndividualRefinanciamientoUsadaApartamentoFERIA000000030000.00</v>
          </cell>
          <cell r="K56">
            <v>30000</v>
          </cell>
          <cell r="L56">
            <v>250000</v>
          </cell>
          <cell r="M56">
            <v>90</v>
          </cell>
          <cell r="N56">
            <v>20</v>
          </cell>
          <cell r="O56">
            <v>6.25</v>
          </cell>
          <cell r="P56">
            <v>0</v>
          </cell>
        </row>
        <row r="57">
          <cell r="J57" t="str">
            <v>A-1Casa CashIndividualRefinanciamientoUsadaApartamentoFERIA000000250000.01</v>
          </cell>
          <cell r="K57">
            <v>250000.01</v>
          </cell>
          <cell r="L57">
            <v>500000</v>
          </cell>
          <cell r="M57">
            <v>90</v>
          </cell>
          <cell r="N57">
            <v>20</v>
          </cell>
          <cell r="O57">
            <v>6</v>
          </cell>
          <cell r="P57">
            <v>0</v>
          </cell>
        </row>
        <row r="58">
          <cell r="J58" t="str">
            <v>A-1Casa CashIndividualRefinanciamientoUsadaApartamentoFERIA000000500000.01</v>
          </cell>
          <cell r="K58">
            <v>500000.01</v>
          </cell>
          <cell r="L58">
            <v>99999999</v>
          </cell>
          <cell r="M58">
            <v>90</v>
          </cell>
          <cell r="N58">
            <v>20</v>
          </cell>
          <cell r="O58">
            <v>6</v>
          </cell>
          <cell r="P58">
            <v>0</v>
          </cell>
        </row>
        <row r="59">
          <cell r="J59" t="str">
            <v>A-1Casa CashIndividualRefinanciamientoUsadaCasaBG000000030000.00</v>
          </cell>
          <cell r="K59">
            <v>30000</v>
          </cell>
          <cell r="L59">
            <v>250000</v>
          </cell>
          <cell r="M59">
            <v>90</v>
          </cell>
          <cell r="N59">
            <v>20</v>
          </cell>
          <cell r="O59">
            <v>6.25</v>
          </cell>
          <cell r="P59">
            <v>0</v>
          </cell>
        </row>
        <row r="60">
          <cell r="J60" t="str">
            <v>A-1Casa CashIndividualRefinanciamientoUsadaCasaBG000000250000.01</v>
          </cell>
          <cell r="K60">
            <v>250000.01</v>
          </cell>
          <cell r="L60">
            <v>500000</v>
          </cell>
          <cell r="M60">
            <v>80</v>
          </cell>
          <cell r="N60">
            <v>20</v>
          </cell>
          <cell r="O60">
            <v>6</v>
          </cell>
          <cell r="P60">
            <v>0</v>
          </cell>
        </row>
        <row r="61">
          <cell r="J61" t="str">
            <v>A-1Casa CashIndividualRefinanciamientoUsadaCasaBG000000500000.01</v>
          </cell>
          <cell r="K61">
            <v>500000.01</v>
          </cell>
          <cell r="L61">
            <v>99999999</v>
          </cell>
          <cell r="M61">
            <v>70</v>
          </cell>
          <cell r="N61">
            <v>20</v>
          </cell>
          <cell r="O61">
            <v>6</v>
          </cell>
          <cell r="P61">
            <v>0</v>
          </cell>
        </row>
        <row r="62">
          <cell r="J62" t="str">
            <v>A-1Casa CashIndividualRefinanciamientoUsadaCasaCOPA000000030000.00</v>
          </cell>
          <cell r="K62">
            <v>30000</v>
          </cell>
          <cell r="L62">
            <v>250000</v>
          </cell>
          <cell r="M62">
            <v>90</v>
          </cell>
          <cell r="N62">
            <v>20</v>
          </cell>
          <cell r="O62">
            <v>6.25</v>
          </cell>
          <cell r="P62">
            <v>0</v>
          </cell>
        </row>
        <row r="63">
          <cell r="J63" t="str">
            <v>A-1Casa CashIndividualRefinanciamientoUsadaCasaCOPA000000250000.01</v>
          </cell>
          <cell r="K63">
            <v>250000.01</v>
          </cell>
          <cell r="L63">
            <v>500000</v>
          </cell>
          <cell r="M63">
            <v>80</v>
          </cell>
          <cell r="N63">
            <v>20</v>
          </cell>
          <cell r="O63">
            <v>6</v>
          </cell>
          <cell r="P63">
            <v>0</v>
          </cell>
        </row>
        <row r="64">
          <cell r="J64" t="str">
            <v>A-1Casa CashIndividualRefinanciamientoUsadaCasaCOPA000000500000.01</v>
          </cell>
          <cell r="K64">
            <v>500000.01</v>
          </cell>
          <cell r="L64">
            <v>99999999</v>
          </cell>
          <cell r="M64">
            <v>70</v>
          </cell>
          <cell r="N64">
            <v>20</v>
          </cell>
          <cell r="O64">
            <v>6</v>
          </cell>
          <cell r="P64">
            <v>0</v>
          </cell>
        </row>
        <row r="65">
          <cell r="J65" t="str">
            <v>A-1Casa CashIndividualRefinanciamientoUsadaCasaFERIA000000030000.00</v>
          </cell>
          <cell r="K65">
            <v>30000</v>
          </cell>
          <cell r="L65">
            <v>250000</v>
          </cell>
          <cell r="M65">
            <v>90</v>
          </cell>
          <cell r="N65">
            <v>20</v>
          </cell>
          <cell r="O65">
            <v>6.25</v>
          </cell>
          <cell r="P65">
            <v>0</v>
          </cell>
        </row>
        <row r="66">
          <cell r="J66" t="str">
            <v>A-1Casa CashIndividualRefinanciamientoUsadaCasaFERIA000000250000.01</v>
          </cell>
          <cell r="K66">
            <v>250000.01</v>
          </cell>
          <cell r="L66">
            <v>500000</v>
          </cell>
          <cell r="M66">
            <v>90</v>
          </cell>
          <cell r="N66">
            <v>20</v>
          </cell>
          <cell r="O66">
            <v>6</v>
          </cell>
          <cell r="P66">
            <v>0</v>
          </cell>
        </row>
        <row r="67">
          <cell r="J67" t="str">
            <v>A-1Casa CashIndividualRefinanciamientoUsadaCasaFERIA000000500000.01</v>
          </cell>
          <cell r="K67">
            <v>500000.01</v>
          </cell>
          <cell r="L67">
            <v>99999999</v>
          </cell>
          <cell r="M67">
            <v>90</v>
          </cell>
          <cell r="N67">
            <v>20</v>
          </cell>
          <cell r="O67">
            <v>6</v>
          </cell>
          <cell r="P67">
            <v>0</v>
          </cell>
        </row>
        <row r="68">
          <cell r="J68" t="str">
            <v>A-1Casa CashIndividualResidencialUsadaApartamentoBG000000030000.00</v>
          </cell>
          <cell r="K68">
            <v>30000</v>
          </cell>
          <cell r="L68">
            <v>250000</v>
          </cell>
          <cell r="M68">
            <v>90</v>
          </cell>
          <cell r="N68">
            <v>20</v>
          </cell>
          <cell r="O68">
            <v>6.25</v>
          </cell>
          <cell r="P68">
            <v>0</v>
          </cell>
        </row>
        <row r="69">
          <cell r="J69" t="str">
            <v>A-1Casa CashIndividualResidencialUsadaApartamentoBG000000250000.01</v>
          </cell>
          <cell r="K69">
            <v>250000.01</v>
          </cell>
          <cell r="L69">
            <v>500000</v>
          </cell>
          <cell r="M69">
            <v>80</v>
          </cell>
          <cell r="N69">
            <v>20</v>
          </cell>
          <cell r="O69">
            <v>6</v>
          </cell>
          <cell r="P69">
            <v>0</v>
          </cell>
        </row>
        <row r="70">
          <cell r="J70" t="str">
            <v>A-1Casa CashIndividualResidencialUsadaApartamentoBG000000500000.01</v>
          </cell>
          <cell r="K70">
            <v>500000.01</v>
          </cell>
          <cell r="L70">
            <v>99999999</v>
          </cell>
          <cell r="M70">
            <v>70</v>
          </cell>
          <cell r="N70">
            <v>20</v>
          </cell>
          <cell r="O70">
            <v>6</v>
          </cell>
          <cell r="P70">
            <v>0</v>
          </cell>
        </row>
        <row r="71">
          <cell r="J71" t="str">
            <v>A-1Casa CashIndividualResidencialUsadaApartamentoCOPA000000030000.00</v>
          </cell>
          <cell r="K71">
            <v>30000</v>
          </cell>
          <cell r="L71">
            <v>250000</v>
          </cell>
          <cell r="M71">
            <v>90</v>
          </cell>
          <cell r="N71">
            <v>20</v>
          </cell>
          <cell r="O71">
            <v>6.25</v>
          </cell>
          <cell r="P71">
            <v>0</v>
          </cell>
        </row>
        <row r="72">
          <cell r="J72" t="str">
            <v>A-1Casa CashIndividualResidencialUsadaApartamentoCOPA000000250000.01</v>
          </cell>
          <cell r="K72">
            <v>250000.01</v>
          </cell>
          <cell r="L72">
            <v>500000</v>
          </cell>
          <cell r="M72">
            <v>80</v>
          </cell>
          <cell r="N72">
            <v>20</v>
          </cell>
          <cell r="O72">
            <v>6</v>
          </cell>
          <cell r="P72">
            <v>0</v>
          </cell>
        </row>
        <row r="73">
          <cell r="J73" t="str">
            <v>A-1Casa CashIndividualResidencialUsadaApartamentoCOPA000000500000.01</v>
          </cell>
          <cell r="K73">
            <v>500000.01</v>
          </cell>
          <cell r="L73">
            <v>99999999</v>
          </cell>
          <cell r="M73">
            <v>70</v>
          </cell>
          <cell r="N73">
            <v>20</v>
          </cell>
          <cell r="O73">
            <v>6</v>
          </cell>
          <cell r="P73">
            <v>0</v>
          </cell>
        </row>
        <row r="74">
          <cell r="J74" t="str">
            <v>A-1Casa CashIndividualResidencialUsadaApartamentoFERIA000000030000.00</v>
          </cell>
          <cell r="K74">
            <v>30000</v>
          </cell>
          <cell r="L74">
            <v>250000</v>
          </cell>
          <cell r="M74">
            <v>90</v>
          </cell>
          <cell r="N74">
            <v>20</v>
          </cell>
          <cell r="O74">
            <v>6.25</v>
          </cell>
          <cell r="P74">
            <v>0</v>
          </cell>
        </row>
        <row r="75">
          <cell r="J75" t="str">
            <v>A-1Casa CashIndividualResidencialUsadaApartamentoFERIA000000250000.01</v>
          </cell>
          <cell r="K75">
            <v>250000.01</v>
          </cell>
          <cell r="L75">
            <v>500000</v>
          </cell>
          <cell r="M75">
            <v>90</v>
          </cell>
          <cell r="N75">
            <v>20</v>
          </cell>
          <cell r="O75">
            <v>6</v>
          </cell>
          <cell r="P75">
            <v>0</v>
          </cell>
        </row>
        <row r="76">
          <cell r="J76" t="str">
            <v>A-1Casa CashIndividualResidencialUsadaApartamentoFERIA000000500000.01</v>
          </cell>
          <cell r="K76">
            <v>500000.01</v>
          </cell>
          <cell r="L76">
            <v>99999999</v>
          </cell>
          <cell r="M76">
            <v>90</v>
          </cell>
          <cell r="N76">
            <v>20</v>
          </cell>
          <cell r="O76">
            <v>6</v>
          </cell>
          <cell r="P76">
            <v>0</v>
          </cell>
        </row>
        <row r="77">
          <cell r="J77" t="str">
            <v>A-1Casa CashIndividualResidencialUsadaCasaBG000000030000.00</v>
          </cell>
          <cell r="K77">
            <v>30000</v>
          </cell>
          <cell r="L77">
            <v>250000</v>
          </cell>
          <cell r="M77">
            <v>90</v>
          </cell>
          <cell r="N77">
            <v>20</v>
          </cell>
          <cell r="O77">
            <v>6.25</v>
          </cell>
          <cell r="P77">
            <v>0</v>
          </cell>
        </row>
        <row r="78">
          <cell r="J78" t="str">
            <v>A-1Casa CashIndividualResidencialUsadaCasaBG000000250000.01</v>
          </cell>
          <cell r="K78">
            <v>250000.01</v>
          </cell>
          <cell r="L78">
            <v>500000</v>
          </cell>
          <cell r="M78">
            <v>80</v>
          </cell>
          <cell r="N78">
            <v>20</v>
          </cell>
          <cell r="O78">
            <v>6</v>
          </cell>
          <cell r="P78">
            <v>0</v>
          </cell>
        </row>
        <row r="79">
          <cell r="J79" t="str">
            <v>A-1Casa CashIndividualResidencialUsadaCasaBG000000500000.01</v>
          </cell>
          <cell r="K79">
            <v>500000.01</v>
          </cell>
          <cell r="L79">
            <v>99999999</v>
          </cell>
          <cell r="M79">
            <v>70</v>
          </cell>
          <cell r="N79">
            <v>20</v>
          </cell>
          <cell r="O79">
            <v>6</v>
          </cell>
          <cell r="P79">
            <v>0</v>
          </cell>
        </row>
        <row r="80">
          <cell r="J80" t="str">
            <v>A-1Casa CashIndividualResidencialUsadaCasaCOPA000000030000.00</v>
          </cell>
          <cell r="K80">
            <v>30000</v>
          </cell>
          <cell r="L80">
            <v>250000</v>
          </cell>
          <cell r="M80">
            <v>90</v>
          </cell>
          <cell r="N80">
            <v>20</v>
          </cell>
          <cell r="O80">
            <v>6.25</v>
          </cell>
          <cell r="P80">
            <v>0</v>
          </cell>
        </row>
        <row r="81">
          <cell r="J81" t="str">
            <v>A-1Casa CashIndividualResidencialUsadaCasaCOPA000000250000.01</v>
          </cell>
          <cell r="K81">
            <v>250000.01</v>
          </cell>
          <cell r="L81">
            <v>500000</v>
          </cell>
          <cell r="M81">
            <v>80</v>
          </cell>
          <cell r="N81">
            <v>20</v>
          </cell>
          <cell r="O81">
            <v>6</v>
          </cell>
          <cell r="P81">
            <v>0</v>
          </cell>
        </row>
        <row r="82">
          <cell r="J82" t="str">
            <v>A-1Casa CashIndividualResidencialUsadaCasaCOPA000000500000.01</v>
          </cell>
          <cell r="K82">
            <v>500000.01</v>
          </cell>
          <cell r="L82">
            <v>99999999</v>
          </cell>
          <cell r="M82">
            <v>70</v>
          </cell>
          <cell r="N82">
            <v>20</v>
          </cell>
          <cell r="O82">
            <v>6</v>
          </cell>
          <cell r="P82">
            <v>0</v>
          </cell>
        </row>
        <row r="83">
          <cell r="J83" t="str">
            <v>A-1Casa CashIndividualResidencialUsadaCasaFERIA000000030000.00</v>
          </cell>
          <cell r="K83">
            <v>30000</v>
          </cell>
          <cell r="L83">
            <v>250000</v>
          </cell>
          <cell r="M83">
            <v>90</v>
          </cell>
          <cell r="N83">
            <v>20</v>
          </cell>
          <cell r="O83">
            <v>6.25</v>
          </cell>
          <cell r="P83">
            <v>0</v>
          </cell>
        </row>
        <row r="84">
          <cell r="J84" t="str">
            <v>A-1Casa CashIndividualResidencialUsadaCasaFERIA000000250000.01</v>
          </cell>
          <cell r="K84">
            <v>250000.01</v>
          </cell>
          <cell r="L84">
            <v>500000</v>
          </cell>
          <cell r="M84">
            <v>90</v>
          </cell>
          <cell r="N84">
            <v>20</v>
          </cell>
          <cell r="O84">
            <v>6</v>
          </cell>
          <cell r="P84">
            <v>0</v>
          </cell>
        </row>
        <row r="85">
          <cell r="J85" t="str">
            <v>A-1Casa CashIndividualResidencialUsadaCasaFERIA000000500000.01</v>
          </cell>
          <cell r="K85">
            <v>500000.01</v>
          </cell>
          <cell r="L85">
            <v>99999999</v>
          </cell>
          <cell r="M85">
            <v>90</v>
          </cell>
          <cell r="N85">
            <v>20</v>
          </cell>
          <cell r="O85">
            <v>6</v>
          </cell>
          <cell r="P85">
            <v>0</v>
          </cell>
        </row>
        <row r="86">
          <cell r="J86" t="str">
            <v>A-1Casa CashIndividualSegunda HipotecaUsadaApartamentoBG000000030000.00</v>
          </cell>
          <cell r="K86">
            <v>30000</v>
          </cell>
          <cell r="L86">
            <v>250000</v>
          </cell>
          <cell r="M86">
            <v>90</v>
          </cell>
          <cell r="N86">
            <v>20</v>
          </cell>
          <cell r="O86">
            <v>6.25</v>
          </cell>
          <cell r="P86">
            <v>0</v>
          </cell>
        </row>
        <row r="87">
          <cell r="J87" t="str">
            <v>A-1Casa CashIndividualSegunda HipotecaUsadaApartamentoBG000000250000.01</v>
          </cell>
          <cell r="K87">
            <v>250000.01</v>
          </cell>
          <cell r="L87">
            <v>500000</v>
          </cell>
          <cell r="M87">
            <v>80</v>
          </cell>
          <cell r="N87">
            <v>20</v>
          </cell>
          <cell r="O87">
            <v>6</v>
          </cell>
          <cell r="P87">
            <v>0</v>
          </cell>
        </row>
        <row r="88">
          <cell r="J88" t="str">
            <v>A-1Casa CashIndividualSegunda HipotecaUsadaApartamentoBG000000500000.01</v>
          </cell>
          <cell r="K88">
            <v>500000.01</v>
          </cell>
          <cell r="L88">
            <v>99999999</v>
          </cell>
          <cell r="M88">
            <v>70</v>
          </cell>
          <cell r="N88">
            <v>20</v>
          </cell>
          <cell r="O88">
            <v>6</v>
          </cell>
          <cell r="P88">
            <v>0</v>
          </cell>
        </row>
        <row r="89">
          <cell r="J89" t="str">
            <v>A-1Casa CashIndividualSegunda HipotecaUsadaApartamentoCOPA000000030000.00</v>
          </cell>
          <cell r="K89">
            <v>30000</v>
          </cell>
          <cell r="L89">
            <v>250000</v>
          </cell>
          <cell r="M89">
            <v>90</v>
          </cell>
          <cell r="N89">
            <v>20</v>
          </cell>
          <cell r="O89">
            <v>6.25</v>
          </cell>
          <cell r="P89">
            <v>0</v>
          </cell>
        </row>
        <row r="90">
          <cell r="J90" t="str">
            <v>A-1Casa CashIndividualSegunda HipotecaUsadaApartamentoCOPA000000250000.01</v>
          </cell>
          <cell r="K90">
            <v>250000.01</v>
          </cell>
          <cell r="L90">
            <v>500000</v>
          </cell>
          <cell r="M90">
            <v>80</v>
          </cell>
          <cell r="N90">
            <v>20</v>
          </cell>
          <cell r="O90">
            <v>6</v>
          </cell>
          <cell r="P90">
            <v>0</v>
          </cell>
        </row>
        <row r="91">
          <cell r="J91" t="str">
            <v>A-1Casa CashIndividualSegunda HipotecaUsadaApartamentoCOPA000000500000.01</v>
          </cell>
          <cell r="K91">
            <v>500000.01</v>
          </cell>
          <cell r="L91">
            <v>99999999</v>
          </cell>
          <cell r="M91">
            <v>70</v>
          </cell>
          <cell r="N91">
            <v>20</v>
          </cell>
          <cell r="O91">
            <v>6</v>
          </cell>
          <cell r="P91">
            <v>0</v>
          </cell>
        </row>
        <row r="92">
          <cell r="J92" t="str">
            <v>A-1Casa CashIndividualSegunda HipotecaUsadaApartamentoFERIA000000030000.00</v>
          </cell>
          <cell r="K92">
            <v>30000</v>
          </cell>
          <cell r="L92">
            <v>250000</v>
          </cell>
          <cell r="M92">
            <v>90</v>
          </cell>
          <cell r="N92">
            <v>20</v>
          </cell>
          <cell r="O92">
            <v>6.25</v>
          </cell>
          <cell r="P92">
            <v>0</v>
          </cell>
        </row>
        <row r="93">
          <cell r="J93" t="str">
            <v>A-1Casa CashIndividualSegunda HipotecaUsadaApartamentoFERIA000000250000.01</v>
          </cell>
          <cell r="K93">
            <v>250000.01</v>
          </cell>
          <cell r="L93">
            <v>500000</v>
          </cell>
          <cell r="M93">
            <v>90</v>
          </cell>
          <cell r="N93">
            <v>20</v>
          </cell>
          <cell r="O93">
            <v>6</v>
          </cell>
          <cell r="P93">
            <v>0</v>
          </cell>
        </row>
        <row r="94">
          <cell r="J94" t="str">
            <v>A-1Casa CashIndividualSegunda HipotecaUsadaApartamentoFERIA000000500000.01</v>
          </cell>
          <cell r="K94">
            <v>500000.01</v>
          </cell>
          <cell r="L94">
            <v>99999999</v>
          </cell>
          <cell r="M94">
            <v>90</v>
          </cell>
          <cell r="N94">
            <v>20</v>
          </cell>
          <cell r="O94">
            <v>6</v>
          </cell>
          <cell r="P94">
            <v>0</v>
          </cell>
        </row>
        <row r="95">
          <cell r="J95" t="str">
            <v>A-1Casa CashIndividualSegunda HipotecaUsadaCasaBG000000030000.00</v>
          </cell>
          <cell r="K95">
            <v>30000</v>
          </cell>
          <cell r="L95">
            <v>250000</v>
          </cell>
          <cell r="M95">
            <v>90</v>
          </cell>
          <cell r="N95">
            <v>20</v>
          </cell>
          <cell r="O95">
            <v>6.25</v>
          </cell>
          <cell r="P95">
            <v>0</v>
          </cell>
        </row>
        <row r="96">
          <cell r="J96" t="str">
            <v>A-1Casa CashIndividualSegunda HipotecaUsadaCasaBG000000250000.01</v>
          </cell>
          <cell r="K96">
            <v>250000.01</v>
          </cell>
          <cell r="L96">
            <v>500000</v>
          </cell>
          <cell r="M96">
            <v>80</v>
          </cell>
          <cell r="N96">
            <v>20</v>
          </cell>
          <cell r="O96">
            <v>6</v>
          </cell>
          <cell r="P96">
            <v>0</v>
          </cell>
        </row>
        <row r="97">
          <cell r="J97" t="str">
            <v>A-1Casa CashIndividualSegunda HipotecaUsadaCasaBG000000500000.01</v>
          </cell>
          <cell r="K97">
            <v>500000.01</v>
          </cell>
          <cell r="L97">
            <v>99999999</v>
          </cell>
          <cell r="M97">
            <v>70</v>
          </cell>
          <cell r="N97">
            <v>20</v>
          </cell>
          <cell r="O97">
            <v>6</v>
          </cell>
          <cell r="P97">
            <v>0</v>
          </cell>
        </row>
        <row r="98">
          <cell r="J98" t="str">
            <v>A-1Casa CashIndividualSegunda HipotecaUsadaCasaCOPA000000030000.00</v>
          </cell>
          <cell r="K98">
            <v>30000</v>
          </cell>
          <cell r="L98">
            <v>250000</v>
          </cell>
          <cell r="M98">
            <v>90</v>
          </cell>
          <cell r="N98">
            <v>20</v>
          </cell>
          <cell r="O98">
            <v>6.25</v>
          </cell>
          <cell r="P98">
            <v>0</v>
          </cell>
        </row>
        <row r="99">
          <cell r="J99" t="str">
            <v>A-1Casa CashIndividualSegunda HipotecaUsadaCasaCOPA000000250000.01</v>
          </cell>
          <cell r="K99">
            <v>250000.01</v>
          </cell>
          <cell r="L99">
            <v>500000</v>
          </cell>
          <cell r="M99">
            <v>80</v>
          </cell>
          <cell r="N99">
            <v>20</v>
          </cell>
          <cell r="O99">
            <v>6</v>
          </cell>
          <cell r="P99">
            <v>0</v>
          </cell>
        </row>
        <row r="100">
          <cell r="J100" t="str">
            <v>A-1Casa CashIndividualSegunda HipotecaUsadaCasaCOPA000000500000.01</v>
          </cell>
          <cell r="K100">
            <v>500000.01</v>
          </cell>
          <cell r="L100">
            <v>99999999</v>
          </cell>
          <cell r="M100">
            <v>70</v>
          </cell>
          <cell r="N100">
            <v>20</v>
          </cell>
          <cell r="O100">
            <v>6</v>
          </cell>
          <cell r="P100">
            <v>0</v>
          </cell>
        </row>
        <row r="101">
          <cell r="J101" t="str">
            <v>A-1Casa CashIndividualSegunda HipotecaUsadaCasaFERIA000000030000.00</v>
          </cell>
          <cell r="K101">
            <v>30000</v>
          </cell>
          <cell r="L101">
            <v>250000</v>
          </cell>
          <cell r="M101">
            <v>90</v>
          </cell>
          <cell r="N101">
            <v>20</v>
          </cell>
          <cell r="O101">
            <v>6.25</v>
          </cell>
          <cell r="P101">
            <v>0</v>
          </cell>
        </row>
        <row r="102">
          <cell r="J102" t="str">
            <v>A-1Casa CashIndividualSegunda HipotecaUsadaCasaFERIA000000250000.01</v>
          </cell>
          <cell r="K102">
            <v>250000.01</v>
          </cell>
          <cell r="L102">
            <v>500000</v>
          </cell>
          <cell r="M102">
            <v>90</v>
          </cell>
          <cell r="N102">
            <v>20</v>
          </cell>
          <cell r="O102">
            <v>6</v>
          </cell>
          <cell r="P102">
            <v>0</v>
          </cell>
        </row>
        <row r="103">
          <cell r="J103" t="str">
            <v>A-1Casa CashIndividualSegunda HipotecaUsadaCasaFERIA000000500000.01</v>
          </cell>
          <cell r="K103">
            <v>500000.01</v>
          </cell>
          <cell r="L103">
            <v>99999999</v>
          </cell>
          <cell r="M103">
            <v>90</v>
          </cell>
          <cell r="N103">
            <v>20</v>
          </cell>
          <cell r="O103">
            <v>6</v>
          </cell>
          <cell r="P103">
            <v>0</v>
          </cell>
        </row>
        <row r="104">
          <cell r="J104" t="str">
            <v>A-1Compra de ViviendaCasco AntiguoResidencialNuevaApartamentoBG000000030000.00</v>
          </cell>
          <cell r="K104">
            <v>30000</v>
          </cell>
          <cell r="L104">
            <v>99999999</v>
          </cell>
          <cell r="M104">
            <v>80</v>
          </cell>
          <cell r="N104">
            <v>30</v>
          </cell>
          <cell r="O104">
            <v>3.25</v>
          </cell>
          <cell r="P104">
            <v>8.56</v>
          </cell>
        </row>
        <row r="105">
          <cell r="J105" t="str">
            <v>A-1Compra de ViviendaCasco AntiguoResidencialNuevaApartamentoCOPA000000030000.00</v>
          </cell>
          <cell r="K105">
            <v>30000</v>
          </cell>
          <cell r="L105">
            <v>99999999</v>
          </cell>
          <cell r="M105">
            <v>80</v>
          </cell>
          <cell r="N105">
            <v>30</v>
          </cell>
          <cell r="O105">
            <v>3.25</v>
          </cell>
          <cell r="P105">
            <v>4.28</v>
          </cell>
        </row>
        <row r="106">
          <cell r="J106" t="str">
            <v>A-1Compra de ViviendaCasco AntiguoResidencialNuevaApartamentoFERIA000000030000.00</v>
          </cell>
          <cell r="K106">
            <v>30000</v>
          </cell>
          <cell r="L106">
            <v>99999999</v>
          </cell>
          <cell r="M106">
            <v>80</v>
          </cell>
          <cell r="N106">
            <v>30</v>
          </cell>
          <cell r="O106">
            <v>3.25</v>
          </cell>
          <cell r="P106">
            <v>4.28</v>
          </cell>
        </row>
        <row r="107">
          <cell r="J107" t="str">
            <v>A-1Compra de ViviendaCasco AntiguoResidencialNuevaCasaBG000000030000.00</v>
          </cell>
          <cell r="K107">
            <v>30000</v>
          </cell>
          <cell r="L107">
            <v>99999999</v>
          </cell>
          <cell r="M107">
            <v>80</v>
          </cell>
          <cell r="N107">
            <v>30</v>
          </cell>
          <cell r="O107">
            <v>3.25</v>
          </cell>
          <cell r="P107">
            <v>8.56</v>
          </cell>
        </row>
        <row r="108">
          <cell r="J108" t="str">
            <v>A-1Compra de ViviendaCasco AntiguoResidencialNuevaCasaCOPA000000030000.00</v>
          </cell>
          <cell r="K108">
            <v>30000</v>
          </cell>
          <cell r="L108">
            <v>99999999</v>
          </cell>
          <cell r="M108">
            <v>80</v>
          </cell>
          <cell r="N108">
            <v>30</v>
          </cell>
          <cell r="O108">
            <v>3.25</v>
          </cell>
          <cell r="P108">
            <v>4.28</v>
          </cell>
        </row>
        <row r="109">
          <cell r="J109" t="str">
            <v>A-1Compra de ViviendaCasco AntiguoResidencialNuevaCasaFERIA000000030000.00</v>
          </cell>
          <cell r="K109">
            <v>30000</v>
          </cell>
          <cell r="L109">
            <v>99999999</v>
          </cell>
          <cell r="M109">
            <v>80</v>
          </cell>
          <cell r="N109">
            <v>30</v>
          </cell>
          <cell r="O109">
            <v>3.25</v>
          </cell>
          <cell r="P109">
            <v>4.28</v>
          </cell>
        </row>
        <row r="110">
          <cell r="J110" t="str">
            <v>A-1Compra de ViviendaCasco AntiguoResidencialUsadaApartamentoBG000000030000.00</v>
          </cell>
          <cell r="K110">
            <v>30000</v>
          </cell>
          <cell r="L110">
            <v>99999999</v>
          </cell>
          <cell r="M110">
            <v>80</v>
          </cell>
          <cell r="N110">
            <v>30</v>
          </cell>
          <cell r="O110">
            <v>3.25</v>
          </cell>
          <cell r="P110">
            <v>8.56</v>
          </cell>
        </row>
        <row r="111">
          <cell r="J111" t="str">
            <v>A-1Compra de ViviendaCasco AntiguoResidencialUsadaApartamentoCOPA000000030000.00</v>
          </cell>
          <cell r="K111">
            <v>30000</v>
          </cell>
          <cell r="L111">
            <v>99999999</v>
          </cell>
          <cell r="M111">
            <v>80</v>
          </cell>
          <cell r="N111">
            <v>30</v>
          </cell>
          <cell r="O111">
            <v>3.25</v>
          </cell>
          <cell r="P111">
            <v>4.28</v>
          </cell>
        </row>
        <row r="112">
          <cell r="J112" t="str">
            <v>A-1Compra de ViviendaCasco AntiguoResidencialUsadaApartamentoFERIA000000030000.00</v>
          </cell>
          <cell r="K112">
            <v>30000</v>
          </cell>
          <cell r="L112">
            <v>99999999</v>
          </cell>
          <cell r="M112">
            <v>80</v>
          </cell>
          <cell r="N112">
            <v>30</v>
          </cell>
          <cell r="O112">
            <v>3.25</v>
          </cell>
          <cell r="P112">
            <v>4.28</v>
          </cell>
        </row>
        <row r="113">
          <cell r="J113" t="str">
            <v>A-1Compra de ViviendaCasco AntiguoResidencialUsadaCasaBG000000030000.00</v>
          </cell>
          <cell r="K113">
            <v>30000</v>
          </cell>
          <cell r="L113">
            <v>99999999</v>
          </cell>
          <cell r="M113">
            <v>80</v>
          </cell>
          <cell r="N113">
            <v>30</v>
          </cell>
          <cell r="O113">
            <v>3.25</v>
          </cell>
          <cell r="P113">
            <v>8.56</v>
          </cell>
        </row>
        <row r="114">
          <cell r="J114" t="str">
            <v>A-1Compra de ViviendaCasco AntiguoResidencialUsadaCasaCOPA000000030000.00</v>
          </cell>
          <cell r="K114">
            <v>30000</v>
          </cell>
          <cell r="L114">
            <v>99999999</v>
          </cell>
          <cell r="M114">
            <v>80</v>
          </cell>
          <cell r="N114">
            <v>30</v>
          </cell>
          <cell r="O114">
            <v>3.25</v>
          </cell>
          <cell r="P114">
            <v>4.28</v>
          </cell>
        </row>
        <row r="115">
          <cell r="J115" t="str">
            <v>A-1Compra de ViviendaCasco AntiguoResidencialUsadaCasaFERIA000000030000.00</v>
          </cell>
          <cell r="K115">
            <v>30000</v>
          </cell>
          <cell r="L115">
            <v>99999999</v>
          </cell>
          <cell r="M115">
            <v>80</v>
          </cell>
          <cell r="N115">
            <v>30</v>
          </cell>
          <cell r="O115">
            <v>3.25</v>
          </cell>
          <cell r="P115">
            <v>4.28</v>
          </cell>
        </row>
        <row r="116">
          <cell r="J116" t="str">
            <v>A-1Compra de ViviendaIndividualReposeído (BG)UsadaApartamentoBG000000030000.00</v>
          </cell>
          <cell r="K116">
            <v>30000</v>
          </cell>
          <cell r="L116">
            <v>250000</v>
          </cell>
          <cell r="M116">
            <v>98</v>
          </cell>
          <cell r="N116">
            <v>30</v>
          </cell>
          <cell r="O116">
            <v>5.5</v>
          </cell>
          <cell r="P116">
            <v>0</v>
          </cell>
        </row>
        <row r="117">
          <cell r="J117" t="str">
            <v>A-1Compra de ViviendaIndividualReposeído (BG)UsadaApartamentoBG000000250000.01</v>
          </cell>
          <cell r="K117">
            <v>250000.01</v>
          </cell>
          <cell r="L117">
            <v>500000</v>
          </cell>
          <cell r="M117">
            <v>90</v>
          </cell>
          <cell r="N117">
            <v>30</v>
          </cell>
          <cell r="O117">
            <v>5.5</v>
          </cell>
          <cell r="P117">
            <v>0</v>
          </cell>
        </row>
        <row r="118">
          <cell r="J118" t="str">
            <v>A-1Compra de ViviendaIndividualReposeído (BG)UsadaApartamentoBG000000500000.01</v>
          </cell>
          <cell r="K118">
            <v>500000.01</v>
          </cell>
          <cell r="L118">
            <v>99999999</v>
          </cell>
          <cell r="M118">
            <v>70</v>
          </cell>
          <cell r="N118">
            <v>30</v>
          </cell>
          <cell r="O118">
            <v>5.25</v>
          </cell>
          <cell r="P118">
            <v>0</v>
          </cell>
        </row>
        <row r="119">
          <cell r="J119" t="str">
            <v>A-1Compra de ViviendaIndividualReposeído (BG)UsadaApartamentoCOPA000000030000.00</v>
          </cell>
          <cell r="K119">
            <v>30000</v>
          </cell>
          <cell r="L119">
            <v>250000</v>
          </cell>
          <cell r="M119">
            <v>98</v>
          </cell>
          <cell r="N119">
            <v>30</v>
          </cell>
          <cell r="O119">
            <v>5.5</v>
          </cell>
          <cell r="P119">
            <v>0</v>
          </cell>
        </row>
        <row r="120">
          <cell r="J120" t="str">
            <v>A-1Compra de ViviendaIndividualReposeído (BG)UsadaApartamentoCOPA000000250000.01</v>
          </cell>
          <cell r="K120">
            <v>250000.01</v>
          </cell>
          <cell r="L120">
            <v>500000</v>
          </cell>
          <cell r="M120">
            <v>90</v>
          </cell>
          <cell r="N120">
            <v>30</v>
          </cell>
          <cell r="O120">
            <v>5.5</v>
          </cell>
          <cell r="P120">
            <v>0</v>
          </cell>
        </row>
        <row r="121">
          <cell r="J121" t="str">
            <v>A-1Compra de ViviendaIndividualReposeído (BG)UsadaApartamentoCOPA000000500000.01</v>
          </cell>
          <cell r="K121">
            <v>500000.01</v>
          </cell>
          <cell r="L121">
            <v>99999999</v>
          </cell>
          <cell r="M121">
            <v>70</v>
          </cell>
          <cell r="N121">
            <v>30</v>
          </cell>
          <cell r="O121">
            <v>5.25</v>
          </cell>
          <cell r="P121">
            <v>0</v>
          </cell>
        </row>
        <row r="122">
          <cell r="J122" t="str">
            <v>A-1Compra de ViviendaIndividualReposeído (BG)UsadaApartamentoFERIA000000030000.00</v>
          </cell>
          <cell r="K122">
            <v>30000</v>
          </cell>
          <cell r="L122">
            <v>250000</v>
          </cell>
          <cell r="M122">
            <v>98</v>
          </cell>
          <cell r="N122">
            <v>30</v>
          </cell>
          <cell r="O122">
            <v>5.5</v>
          </cell>
          <cell r="P122">
            <v>0</v>
          </cell>
        </row>
        <row r="123">
          <cell r="J123" t="str">
            <v>A-1Compra de ViviendaIndividualReposeído (BG)UsadaApartamentoFERIA000000250000.01</v>
          </cell>
          <cell r="K123">
            <v>250000.01</v>
          </cell>
          <cell r="L123">
            <v>500000</v>
          </cell>
          <cell r="M123">
            <v>95</v>
          </cell>
          <cell r="N123">
            <v>30</v>
          </cell>
          <cell r="O123">
            <v>5</v>
          </cell>
          <cell r="P123">
            <v>0</v>
          </cell>
        </row>
        <row r="124">
          <cell r="J124" t="str">
            <v>A-1Compra de ViviendaIndividualReposeído (BG)UsadaApartamentoFERIA000000500000.01</v>
          </cell>
          <cell r="K124">
            <v>500000.01</v>
          </cell>
          <cell r="L124">
            <v>99999999</v>
          </cell>
          <cell r="M124">
            <v>95</v>
          </cell>
          <cell r="N124">
            <v>30</v>
          </cell>
          <cell r="O124">
            <v>5</v>
          </cell>
          <cell r="P124">
            <v>0</v>
          </cell>
        </row>
        <row r="125">
          <cell r="J125" t="str">
            <v>A-1Compra de ViviendaIndividualReposeído (BG)UsadaCasaBG000000030000.00</v>
          </cell>
          <cell r="K125">
            <v>30000</v>
          </cell>
          <cell r="L125">
            <v>250000</v>
          </cell>
          <cell r="M125">
            <v>98</v>
          </cell>
          <cell r="N125">
            <v>30</v>
          </cell>
          <cell r="O125">
            <v>5.5</v>
          </cell>
          <cell r="P125">
            <v>0</v>
          </cell>
        </row>
        <row r="126">
          <cell r="J126" t="str">
            <v>A-1Compra de ViviendaIndividualReposeído (BG)UsadaCasaBG000000250000.01</v>
          </cell>
          <cell r="K126">
            <v>250000.01</v>
          </cell>
          <cell r="L126">
            <v>500000</v>
          </cell>
          <cell r="M126">
            <v>90</v>
          </cell>
          <cell r="N126">
            <v>30</v>
          </cell>
          <cell r="O126">
            <v>5.5</v>
          </cell>
          <cell r="P126">
            <v>0</v>
          </cell>
        </row>
        <row r="127">
          <cell r="J127" t="str">
            <v>A-1Compra de ViviendaIndividualReposeído (BG)UsadaCasaBG000000500000.01</v>
          </cell>
          <cell r="K127">
            <v>500000.01</v>
          </cell>
          <cell r="L127">
            <v>99999999</v>
          </cell>
          <cell r="M127">
            <v>70</v>
          </cell>
          <cell r="N127">
            <v>30</v>
          </cell>
          <cell r="O127">
            <v>5.25</v>
          </cell>
          <cell r="P127">
            <v>0</v>
          </cell>
        </row>
        <row r="128">
          <cell r="J128" t="str">
            <v>A-1Compra de ViviendaIndividualReposeído (BG)UsadaCasaCOPA000000030000.00</v>
          </cell>
          <cell r="K128">
            <v>30000</v>
          </cell>
          <cell r="L128">
            <v>250000</v>
          </cell>
          <cell r="M128">
            <v>98</v>
          </cell>
          <cell r="N128">
            <v>30</v>
          </cell>
          <cell r="O128">
            <v>5.5</v>
          </cell>
          <cell r="P128">
            <v>0</v>
          </cell>
        </row>
        <row r="129">
          <cell r="J129" t="str">
            <v>A-1Compra de ViviendaIndividualReposeído (BG)UsadaCasaCOPA000000250000.01</v>
          </cell>
          <cell r="K129">
            <v>250000.01</v>
          </cell>
          <cell r="L129">
            <v>500000</v>
          </cell>
          <cell r="M129">
            <v>90</v>
          </cell>
          <cell r="N129">
            <v>30</v>
          </cell>
          <cell r="O129">
            <v>5.5</v>
          </cell>
          <cell r="P129">
            <v>0</v>
          </cell>
        </row>
        <row r="130">
          <cell r="J130" t="str">
            <v>A-1Compra de ViviendaIndividualReposeído (BG)UsadaCasaCOPA000000500000.01</v>
          </cell>
          <cell r="K130">
            <v>500000.01</v>
          </cell>
          <cell r="L130">
            <v>99999999</v>
          </cell>
          <cell r="M130">
            <v>70</v>
          </cell>
          <cell r="N130">
            <v>30</v>
          </cell>
          <cell r="O130">
            <v>5.25</v>
          </cell>
          <cell r="P130">
            <v>0</v>
          </cell>
        </row>
        <row r="131">
          <cell r="J131" t="str">
            <v>A-1Compra de ViviendaIndividualReposeído (BG)UsadaCasaFERIA000000030000.00</v>
          </cell>
          <cell r="K131">
            <v>30000</v>
          </cell>
          <cell r="L131">
            <v>250000</v>
          </cell>
          <cell r="M131">
            <v>98</v>
          </cell>
          <cell r="N131">
            <v>30</v>
          </cell>
          <cell r="O131">
            <v>5.5</v>
          </cell>
          <cell r="P131">
            <v>0</v>
          </cell>
        </row>
        <row r="132">
          <cell r="J132" t="str">
            <v>A-1Compra de ViviendaIndividualReposeído (BG)UsadaCasaFERIA000000250000.01</v>
          </cell>
          <cell r="K132">
            <v>250000.01</v>
          </cell>
          <cell r="L132">
            <v>500000</v>
          </cell>
          <cell r="M132">
            <v>95</v>
          </cell>
          <cell r="N132">
            <v>30</v>
          </cell>
          <cell r="O132">
            <v>5.5</v>
          </cell>
          <cell r="P132">
            <v>0</v>
          </cell>
        </row>
        <row r="133">
          <cell r="J133" t="str">
            <v>A-1Compra de ViviendaIndividualReposeído (BG)UsadaCasaFERIA000000500000.01</v>
          </cell>
          <cell r="K133">
            <v>500000.01</v>
          </cell>
          <cell r="L133">
            <v>99999999</v>
          </cell>
          <cell r="M133">
            <v>95</v>
          </cell>
          <cell r="N133">
            <v>30</v>
          </cell>
          <cell r="O133">
            <v>5.25</v>
          </cell>
          <cell r="P133">
            <v>0</v>
          </cell>
        </row>
        <row r="134">
          <cell r="J134" t="str">
            <v>A-1Compra de ViviendaIndividualResidencialNuevaApartamentoBG000000030000.00</v>
          </cell>
          <cell r="K134">
            <v>30000</v>
          </cell>
          <cell r="L134">
            <v>100000</v>
          </cell>
          <cell r="M134">
            <v>95</v>
          </cell>
          <cell r="N134">
            <v>30</v>
          </cell>
          <cell r="O134">
            <v>5.75</v>
          </cell>
          <cell r="P134">
            <v>0</v>
          </cell>
        </row>
        <row r="135">
          <cell r="J135" t="str">
            <v>A-1Compra de ViviendaIndividualResidencialNuevaApartamentoBG000000100000.01</v>
          </cell>
          <cell r="K135">
            <v>100000.01</v>
          </cell>
          <cell r="L135">
            <v>250000</v>
          </cell>
          <cell r="M135">
            <v>90</v>
          </cell>
          <cell r="N135">
            <v>30</v>
          </cell>
          <cell r="O135">
            <v>5.75</v>
          </cell>
          <cell r="P135">
            <v>0</v>
          </cell>
        </row>
        <row r="136">
          <cell r="J136" t="str">
            <v>A-1Compra de ViviendaIndividualResidencialNuevaApartamentoBG000000250000.01</v>
          </cell>
          <cell r="K136">
            <v>250000.01</v>
          </cell>
          <cell r="L136">
            <v>600000</v>
          </cell>
          <cell r="M136">
            <v>80</v>
          </cell>
          <cell r="N136">
            <v>30</v>
          </cell>
          <cell r="O136">
            <v>5.5</v>
          </cell>
          <cell r="P136">
            <v>0</v>
          </cell>
        </row>
        <row r="137">
          <cell r="J137" t="str">
            <v>A-1Compra de ViviendaIndividualResidencialNuevaApartamentoBG000000600000.01</v>
          </cell>
          <cell r="K137">
            <v>600000.01</v>
          </cell>
          <cell r="L137">
            <v>99999999</v>
          </cell>
          <cell r="M137">
            <v>70</v>
          </cell>
          <cell r="N137">
            <v>30</v>
          </cell>
          <cell r="O137">
            <v>5.25</v>
          </cell>
          <cell r="P137">
            <v>0</v>
          </cell>
        </row>
        <row r="138">
          <cell r="J138" t="str">
            <v>A-1Compra de ViviendaIndividualResidencialNuevaApartamentoCOPA000000030000.00</v>
          </cell>
          <cell r="K138">
            <v>30000</v>
          </cell>
          <cell r="L138">
            <v>100000</v>
          </cell>
          <cell r="M138">
            <v>95</v>
          </cell>
          <cell r="N138">
            <v>30</v>
          </cell>
          <cell r="O138">
            <v>5.75</v>
          </cell>
          <cell r="P138">
            <v>0</v>
          </cell>
        </row>
        <row r="139">
          <cell r="J139" t="str">
            <v>A-1Compra de ViviendaIndividualResidencialNuevaApartamentoCOPA000000100000.01</v>
          </cell>
          <cell r="K139">
            <v>100000.01</v>
          </cell>
          <cell r="L139">
            <v>200000</v>
          </cell>
          <cell r="M139">
            <v>90</v>
          </cell>
          <cell r="N139">
            <v>30</v>
          </cell>
          <cell r="O139">
            <v>5.75</v>
          </cell>
          <cell r="P139">
            <v>0</v>
          </cell>
        </row>
        <row r="140">
          <cell r="J140" t="str">
            <v>A-1Compra de ViviendaIndividualResidencialNuevaApartamentoCOPA000000200000.01</v>
          </cell>
          <cell r="K140">
            <v>200000.01</v>
          </cell>
          <cell r="L140">
            <v>600000</v>
          </cell>
          <cell r="M140">
            <v>80</v>
          </cell>
          <cell r="N140">
            <v>30</v>
          </cell>
          <cell r="O140">
            <v>5.5</v>
          </cell>
          <cell r="P140">
            <v>0</v>
          </cell>
        </row>
        <row r="141">
          <cell r="J141" t="str">
            <v>A-1Compra de ViviendaIndividualResidencialNuevaApartamentoCOPA000000600000.01</v>
          </cell>
          <cell r="K141">
            <v>600000.01</v>
          </cell>
          <cell r="L141">
            <v>99999999</v>
          </cell>
          <cell r="M141">
            <v>70</v>
          </cell>
          <cell r="N141">
            <v>30</v>
          </cell>
          <cell r="O141">
            <v>5.25</v>
          </cell>
          <cell r="P141">
            <v>0</v>
          </cell>
        </row>
        <row r="142">
          <cell r="J142" t="str">
            <v>A-1Compra de ViviendaIndividualResidencialNuevaApartamentoFERIA000000030000.00</v>
          </cell>
          <cell r="K142">
            <v>30000</v>
          </cell>
          <cell r="L142">
            <v>100000</v>
          </cell>
          <cell r="M142">
            <v>95</v>
          </cell>
          <cell r="N142">
            <v>30</v>
          </cell>
          <cell r="O142">
            <v>5.75</v>
          </cell>
          <cell r="P142">
            <v>0</v>
          </cell>
        </row>
        <row r="143">
          <cell r="J143" t="str">
            <v>A-1Compra de ViviendaIndividualResidencialNuevaApartamentoFERIA000000100000.01</v>
          </cell>
          <cell r="K143">
            <v>100000.01</v>
          </cell>
          <cell r="L143">
            <v>250000</v>
          </cell>
          <cell r="M143">
            <v>90</v>
          </cell>
          <cell r="N143">
            <v>30</v>
          </cell>
          <cell r="O143">
            <v>5.75</v>
          </cell>
          <cell r="P143">
            <v>0</v>
          </cell>
        </row>
        <row r="144">
          <cell r="J144" t="str">
            <v>A-1Compra de ViviendaIndividualResidencialNuevaApartamentoFERIA000000250000.01</v>
          </cell>
          <cell r="K144">
            <v>250000.01</v>
          </cell>
          <cell r="L144">
            <v>600000</v>
          </cell>
          <cell r="M144">
            <v>80</v>
          </cell>
          <cell r="N144">
            <v>30</v>
          </cell>
          <cell r="O144">
            <v>5.5</v>
          </cell>
          <cell r="P144">
            <v>0</v>
          </cell>
        </row>
        <row r="145">
          <cell r="J145" t="str">
            <v>A-1Compra de ViviendaIndividualResidencialNuevaApartamentoFERIA000000600000.01</v>
          </cell>
          <cell r="K145">
            <v>600000.01</v>
          </cell>
          <cell r="L145">
            <v>99999999</v>
          </cell>
          <cell r="M145">
            <v>70</v>
          </cell>
          <cell r="N145">
            <v>30</v>
          </cell>
          <cell r="O145">
            <v>5.25</v>
          </cell>
          <cell r="P145">
            <v>0</v>
          </cell>
        </row>
        <row r="146">
          <cell r="J146" t="str">
            <v>A-1Compra de ViviendaIndividualResidencialNuevaCasaBG000000018000.00</v>
          </cell>
          <cell r="K146">
            <v>18000</v>
          </cell>
          <cell r="L146">
            <v>100000</v>
          </cell>
          <cell r="M146">
            <v>95</v>
          </cell>
          <cell r="N146">
            <v>30</v>
          </cell>
          <cell r="O146">
            <v>5.75</v>
          </cell>
          <cell r="P146">
            <v>0</v>
          </cell>
        </row>
        <row r="147">
          <cell r="J147" t="str">
            <v>A-1Compra de ViviendaIndividualResidencialNuevaCasaBG000000100000.01</v>
          </cell>
          <cell r="K147">
            <v>100000.01</v>
          </cell>
          <cell r="L147">
            <v>250000</v>
          </cell>
          <cell r="M147">
            <v>90</v>
          </cell>
          <cell r="N147">
            <v>30</v>
          </cell>
          <cell r="O147">
            <v>5.75</v>
          </cell>
          <cell r="P147">
            <v>0</v>
          </cell>
        </row>
        <row r="148">
          <cell r="J148" t="str">
            <v>A-1Compra de ViviendaIndividualResidencialNuevaCasaBG000000250000.01</v>
          </cell>
          <cell r="K148">
            <v>250000.01</v>
          </cell>
          <cell r="L148">
            <v>600000</v>
          </cell>
          <cell r="M148">
            <v>80</v>
          </cell>
          <cell r="N148">
            <v>30</v>
          </cell>
          <cell r="O148">
            <v>5.5</v>
          </cell>
          <cell r="P148">
            <v>0</v>
          </cell>
        </row>
        <row r="149">
          <cell r="J149" t="str">
            <v>A-1Compra de ViviendaIndividualResidencialNuevaCasaBG000000600000.01</v>
          </cell>
          <cell r="K149">
            <v>600000.01</v>
          </cell>
          <cell r="L149">
            <v>99999999</v>
          </cell>
          <cell r="M149">
            <v>70</v>
          </cell>
          <cell r="N149">
            <v>30</v>
          </cell>
          <cell r="O149">
            <v>5.25</v>
          </cell>
          <cell r="P149">
            <v>0</v>
          </cell>
        </row>
        <row r="150">
          <cell r="J150" t="str">
            <v>A-1Compra de ViviendaIndividualResidencialNuevaCasaCOPA000000018000.00</v>
          </cell>
          <cell r="K150">
            <v>18000</v>
          </cell>
          <cell r="L150">
            <v>100000</v>
          </cell>
          <cell r="M150">
            <v>95</v>
          </cell>
          <cell r="N150">
            <v>30</v>
          </cell>
          <cell r="O150">
            <v>5.75</v>
          </cell>
          <cell r="P150">
            <v>0</v>
          </cell>
        </row>
        <row r="151">
          <cell r="J151" t="str">
            <v>A-1Compra de ViviendaIndividualResidencialNuevaCasaCOPA000000100000.01</v>
          </cell>
          <cell r="K151">
            <v>100000.01</v>
          </cell>
          <cell r="L151">
            <v>200000.01</v>
          </cell>
          <cell r="M151">
            <v>90</v>
          </cell>
          <cell r="N151">
            <v>30</v>
          </cell>
          <cell r="O151">
            <v>5.75</v>
          </cell>
          <cell r="P151">
            <v>0</v>
          </cell>
        </row>
        <row r="152">
          <cell r="J152" t="str">
            <v>A-1Compra de ViviendaIndividualResidencialNuevaCasaCOPA000000200000.01</v>
          </cell>
          <cell r="K152">
            <v>200000.01</v>
          </cell>
          <cell r="L152">
            <v>600000</v>
          </cell>
          <cell r="M152">
            <v>80</v>
          </cell>
          <cell r="N152">
            <v>30</v>
          </cell>
          <cell r="O152">
            <v>5.5</v>
          </cell>
          <cell r="P152">
            <v>0</v>
          </cell>
        </row>
        <row r="153">
          <cell r="J153" t="str">
            <v>A-1Compra de ViviendaIndividualResidencialNuevaCasaCOPA000000600000.01</v>
          </cell>
          <cell r="K153">
            <v>600000.01</v>
          </cell>
          <cell r="L153">
            <v>99999999</v>
          </cell>
          <cell r="M153">
            <v>70</v>
          </cell>
          <cell r="N153">
            <v>30</v>
          </cell>
          <cell r="O153">
            <v>5.25</v>
          </cell>
          <cell r="P153">
            <v>0</v>
          </cell>
        </row>
        <row r="154">
          <cell r="J154" t="str">
            <v>A-1Compra de ViviendaIndividualResidencialNuevaCasaFERIA000000000000.00</v>
          </cell>
          <cell r="O154">
            <v>0</v>
          </cell>
          <cell r="P154">
            <v>0</v>
          </cell>
        </row>
        <row r="155">
          <cell r="J155" t="str">
            <v>A-1Compra de ViviendaIndividualResidencialNuevaCasaFERIA000000018000.00</v>
          </cell>
          <cell r="K155">
            <v>18000</v>
          </cell>
          <cell r="L155">
            <v>100000</v>
          </cell>
          <cell r="M155">
            <v>95</v>
          </cell>
          <cell r="N155">
            <v>30</v>
          </cell>
          <cell r="O155">
            <v>5.75</v>
          </cell>
          <cell r="P155">
            <v>0</v>
          </cell>
        </row>
        <row r="156">
          <cell r="J156" t="str">
            <v>A-1Compra de ViviendaIndividualResidencialNuevaCasaFERIA000000100000.01</v>
          </cell>
          <cell r="K156">
            <v>100000.01</v>
          </cell>
          <cell r="L156">
            <v>250000</v>
          </cell>
          <cell r="M156">
            <v>90</v>
          </cell>
          <cell r="N156">
            <v>30</v>
          </cell>
          <cell r="O156">
            <v>5.75</v>
          </cell>
          <cell r="P156">
            <v>0</v>
          </cell>
        </row>
        <row r="157">
          <cell r="J157" t="str">
            <v>A-1Compra de ViviendaIndividualResidencialNuevaCasaFERIA000000250000.01</v>
          </cell>
          <cell r="K157">
            <v>250000.01</v>
          </cell>
          <cell r="L157">
            <v>600000</v>
          </cell>
          <cell r="M157">
            <v>80</v>
          </cell>
          <cell r="N157">
            <v>30</v>
          </cell>
          <cell r="O157">
            <v>5.5</v>
          </cell>
          <cell r="P157">
            <v>0</v>
          </cell>
        </row>
        <row r="158">
          <cell r="J158" t="str">
            <v>A-1Compra de ViviendaIndividualResidencialNuevaCasaFERIA000000600000.01</v>
          </cell>
          <cell r="K158">
            <v>600000.01</v>
          </cell>
          <cell r="L158">
            <v>99999999</v>
          </cell>
          <cell r="M158">
            <v>70</v>
          </cell>
          <cell r="N158">
            <v>30</v>
          </cell>
          <cell r="O158">
            <v>5.25</v>
          </cell>
          <cell r="P158">
            <v>0</v>
          </cell>
        </row>
        <row r="159">
          <cell r="J159" t="str">
            <v>A-1Compra de ViviendaIndividualResidencialUsadaApartamentoBG000000030000.00</v>
          </cell>
          <cell r="K159">
            <v>30000</v>
          </cell>
          <cell r="L159">
            <v>200000</v>
          </cell>
          <cell r="M159">
            <v>90</v>
          </cell>
          <cell r="N159">
            <v>25</v>
          </cell>
          <cell r="O159">
            <v>5.5</v>
          </cell>
          <cell r="P159">
            <v>0</v>
          </cell>
        </row>
        <row r="160">
          <cell r="J160" t="str">
            <v>A-1Compra de ViviendaIndividualResidencialUsadaApartamentoBG000000200000.01</v>
          </cell>
          <cell r="K160">
            <v>200000.01</v>
          </cell>
          <cell r="L160">
            <v>500000</v>
          </cell>
          <cell r="M160">
            <v>80</v>
          </cell>
          <cell r="N160">
            <v>25</v>
          </cell>
          <cell r="O160">
            <v>5.5</v>
          </cell>
          <cell r="P160">
            <v>0</v>
          </cell>
        </row>
        <row r="161">
          <cell r="J161" t="str">
            <v>A-1Compra de ViviendaIndividualResidencialUsadaApartamentoBG000000500000.01</v>
          </cell>
          <cell r="K161">
            <v>500000.01</v>
          </cell>
          <cell r="L161">
            <v>99999999</v>
          </cell>
          <cell r="M161">
            <v>70</v>
          </cell>
          <cell r="N161">
            <v>25</v>
          </cell>
          <cell r="O161">
            <v>5.25</v>
          </cell>
          <cell r="P161">
            <v>0</v>
          </cell>
        </row>
        <row r="162">
          <cell r="J162" t="str">
            <v>A-1Compra de ViviendaIndividualResidencialUsadaApartamentoCOPA000000030000.00</v>
          </cell>
          <cell r="K162">
            <v>30000</v>
          </cell>
          <cell r="L162">
            <v>250000</v>
          </cell>
          <cell r="M162">
            <v>90</v>
          </cell>
          <cell r="N162">
            <v>25</v>
          </cell>
          <cell r="O162">
            <v>5.5</v>
          </cell>
          <cell r="P162">
            <v>0</v>
          </cell>
        </row>
        <row r="163">
          <cell r="J163" t="str">
            <v>A-1Compra de ViviendaIndividualResidencialUsadaApartamentoCOPA000000250000.01</v>
          </cell>
          <cell r="K163">
            <v>250000.01</v>
          </cell>
          <cell r="L163">
            <v>500000</v>
          </cell>
          <cell r="M163">
            <v>80</v>
          </cell>
          <cell r="N163">
            <v>25</v>
          </cell>
          <cell r="O163">
            <v>5.5</v>
          </cell>
          <cell r="P163">
            <v>0</v>
          </cell>
        </row>
        <row r="164">
          <cell r="J164" t="str">
            <v>A-1Compra de ViviendaIndividualResidencialUsadaApartamentoCOPA000000500000.01</v>
          </cell>
          <cell r="K164">
            <v>500000.01</v>
          </cell>
          <cell r="L164">
            <v>99999999</v>
          </cell>
          <cell r="M164">
            <v>70</v>
          </cell>
          <cell r="N164">
            <v>25</v>
          </cell>
          <cell r="O164">
            <v>5.25</v>
          </cell>
          <cell r="P164">
            <v>0</v>
          </cell>
        </row>
        <row r="165">
          <cell r="J165" t="str">
            <v>A-1Compra de ViviendaIndividualResidencialUsadaApartamentoFERIA000000030000.00</v>
          </cell>
          <cell r="K165">
            <v>30000</v>
          </cell>
          <cell r="L165">
            <v>200000</v>
          </cell>
          <cell r="M165">
            <v>90</v>
          </cell>
          <cell r="N165">
            <v>25</v>
          </cell>
          <cell r="O165">
            <v>5.5</v>
          </cell>
          <cell r="P165">
            <v>0</v>
          </cell>
        </row>
        <row r="166">
          <cell r="J166" t="str">
            <v>A-1Compra de ViviendaIndividualResidencialUsadaApartamentoFERIA000000200000.01</v>
          </cell>
          <cell r="K166">
            <v>200000.01</v>
          </cell>
          <cell r="L166">
            <v>400000</v>
          </cell>
          <cell r="M166">
            <v>80</v>
          </cell>
          <cell r="N166">
            <v>25</v>
          </cell>
          <cell r="O166">
            <v>5.5</v>
          </cell>
          <cell r="P166">
            <v>0</v>
          </cell>
        </row>
        <row r="167">
          <cell r="J167" t="str">
            <v>A-1Compra de ViviendaIndividualResidencialUsadaApartamentoFERIA000000400000.01</v>
          </cell>
          <cell r="K167">
            <v>400000.01</v>
          </cell>
          <cell r="L167">
            <v>99999999</v>
          </cell>
          <cell r="M167">
            <v>70</v>
          </cell>
          <cell r="N167">
            <v>25</v>
          </cell>
          <cell r="O167">
            <v>5.25</v>
          </cell>
          <cell r="P167">
            <v>0</v>
          </cell>
        </row>
        <row r="168">
          <cell r="J168" t="str">
            <v>A-1Compra de ViviendaIndividualResidencialUsadaCasaBG000000030000.00</v>
          </cell>
          <cell r="K168">
            <v>30000</v>
          </cell>
          <cell r="L168">
            <v>200000</v>
          </cell>
          <cell r="M168">
            <v>90</v>
          </cell>
          <cell r="N168">
            <v>30</v>
          </cell>
          <cell r="O168">
            <v>5.5</v>
          </cell>
          <cell r="P168">
            <v>0</v>
          </cell>
        </row>
        <row r="169">
          <cell r="J169" t="str">
            <v>A-1Compra de ViviendaIndividualResidencialUsadaCasaBG000000250000.01</v>
          </cell>
          <cell r="K169">
            <v>250000.01</v>
          </cell>
          <cell r="L169">
            <v>500000</v>
          </cell>
          <cell r="M169">
            <v>80</v>
          </cell>
          <cell r="N169">
            <v>30</v>
          </cell>
          <cell r="O169">
            <v>5.5</v>
          </cell>
          <cell r="P169">
            <v>0</v>
          </cell>
        </row>
        <row r="170">
          <cell r="J170" t="str">
            <v>A-1Compra de ViviendaIndividualResidencialUsadaCasaBG000000500000.01</v>
          </cell>
          <cell r="K170">
            <v>500000.01</v>
          </cell>
          <cell r="L170">
            <v>99999999</v>
          </cell>
          <cell r="M170">
            <v>70</v>
          </cell>
          <cell r="N170">
            <v>30</v>
          </cell>
          <cell r="O170">
            <v>5.25</v>
          </cell>
          <cell r="P170">
            <v>0</v>
          </cell>
        </row>
        <row r="171">
          <cell r="J171" t="str">
            <v>A-1Compra de ViviendaIndividualResidencialUsadaCasaCOPA000000030000.00</v>
          </cell>
          <cell r="K171">
            <v>30000</v>
          </cell>
          <cell r="L171">
            <v>250000</v>
          </cell>
          <cell r="M171">
            <v>90</v>
          </cell>
          <cell r="N171">
            <v>30</v>
          </cell>
          <cell r="O171">
            <v>5.5</v>
          </cell>
          <cell r="P171">
            <v>0</v>
          </cell>
        </row>
        <row r="172">
          <cell r="J172" t="str">
            <v>A-1Compra de ViviendaIndividualResidencialUsadaCasaCOPA000000250000.01</v>
          </cell>
          <cell r="K172">
            <v>250000.01</v>
          </cell>
          <cell r="L172">
            <v>500000</v>
          </cell>
          <cell r="M172">
            <v>80</v>
          </cell>
          <cell r="N172">
            <v>30</v>
          </cell>
          <cell r="O172">
            <v>5.5</v>
          </cell>
          <cell r="P172">
            <v>0</v>
          </cell>
        </row>
        <row r="173">
          <cell r="J173" t="str">
            <v>A-1Compra de ViviendaIndividualResidencialUsadaCasaCOPA000000500000.01</v>
          </cell>
          <cell r="K173">
            <v>500000.01</v>
          </cell>
          <cell r="L173">
            <v>99999999</v>
          </cell>
          <cell r="M173">
            <v>70</v>
          </cell>
          <cell r="N173">
            <v>30</v>
          </cell>
          <cell r="O173">
            <v>5.25</v>
          </cell>
          <cell r="P173">
            <v>0</v>
          </cell>
        </row>
        <row r="174">
          <cell r="J174" t="str">
            <v>A-1Compra de ViviendaIndividualResidencialUsadaCasaFERIA000000030000.00</v>
          </cell>
          <cell r="K174">
            <v>30000</v>
          </cell>
          <cell r="L174">
            <v>200000</v>
          </cell>
          <cell r="M174">
            <v>90</v>
          </cell>
          <cell r="N174">
            <v>30</v>
          </cell>
          <cell r="O174">
            <v>5.5</v>
          </cell>
          <cell r="P174">
            <v>0</v>
          </cell>
        </row>
        <row r="175">
          <cell r="J175" t="str">
            <v>A-1Compra de ViviendaIndividualResidencialUsadaCasaFERIA000000200000.01</v>
          </cell>
          <cell r="K175">
            <v>200000.01</v>
          </cell>
          <cell r="L175">
            <v>400000</v>
          </cell>
          <cell r="M175">
            <v>80</v>
          </cell>
          <cell r="N175">
            <v>30</v>
          </cell>
          <cell r="O175">
            <v>5.5</v>
          </cell>
          <cell r="P175">
            <v>0</v>
          </cell>
        </row>
        <row r="176">
          <cell r="J176" t="str">
            <v>A-1Compra de ViviendaIndividualResidencialUsadaCasaFERIA000000400000.01</v>
          </cell>
          <cell r="K176">
            <v>400000.01</v>
          </cell>
          <cell r="L176">
            <v>99999999</v>
          </cell>
          <cell r="M176">
            <v>70</v>
          </cell>
          <cell r="N176">
            <v>30</v>
          </cell>
          <cell r="O176">
            <v>5.25</v>
          </cell>
          <cell r="P176">
            <v>0</v>
          </cell>
        </row>
        <row r="177">
          <cell r="J177" t="str">
            <v>A-1Compra de ViviendaLey PreferencialReposeído (BG)UsadaApartamentoBG000000015000.00</v>
          </cell>
          <cell r="K177">
            <v>15000</v>
          </cell>
          <cell r="L177">
            <v>40000</v>
          </cell>
          <cell r="M177">
            <v>98</v>
          </cell>
          <cell r="N177">
            <v>30</v>
          </cell>
          <cell r="O177">
            <v>0</v>
          </cell>
          <cell r="P177">
            <v>8.56</v>
          </cell>
        </row>
        <row r="178">
          <cell r="J178" t="str">
            <v>A-1Compra de ViviendaLey PreferencialReposeído (BG)UsadaApartamentoBG000000040000.01</v>
          </cell>
          <cell r="K178">
            <v>40000.01</v>
          </cell>
          <cell r="L178">
            <v>80000</v>
          </cell>
          <cell r="M178">
            <v>98</v>
          </cell>
          <cell r="N178">
            <v>30</v>
          </cell>
          <cell r="O178">
            <v>1.25</v>
          </cell>
          <cell r="P178">
            <v>8.56</v>
          </cell>
        </row>
        <row r="179">
          <cell r="J179" t="str">
            <v>A-1Compra de ViviendaLey PreferencialReposeído (BG)UsadaApartamentoBG000000080000.01</v>
          </cell>
          <cell r="K179">
            <v>80000.009999999995</v>
          </cell>
          <cell r="L179">
            <v>120000</v>
          </cell>
          <cell r="M179">
            <v>98</v>
          </cell>
          <cell r="N179">
            <v>30</v>
          </cell>
          <cell r="O179">
            <v>1.25</v>
          </cell>
          <cell r="P179">
            <v>8.56</v>
          </cell>
        </row>
        <row r="180">
          <cell r="J180" t="str">
            <v>A-1Compra de ViviendaLey PreferencialReposeído (BG)UsadaApartamentoCOPA000000015000.00</v>
          </cell>
          <cell r="K180">
            <v>15000</v>
          </cell>
          <cell r="L180">
            <v>40000</v>
          </cell>
          <cell r="M180">
            <v>98</v>
          </cell>
          <cell r="N180">
            <v>30</v>
          </cell>
          <cell r="O180">
            <v>0</v>
          </cell>
          <cell r="P180">
            <v>4.28</v>
          </cell>
        </row>
        <row r="181">
          <cell r="J181" t="str">
            <v>A-1Compra de ViviendaLey PreferencialReposeído (BG)UsadaApartamentoCOPA000000040000.01</v>
          </cell>
          <cell r="K181">
            <v>40000.01</v>
          </cell>
          <cell r="L181">
            <v>80000</v>
          </cell>
          <cell r="M181">
            <v>98</v>
          </cell>
          <cell r="N181">
            <v>30</v>
          </cell>
          <cell r="O181">
            <v>1.25</v>
          </cell>
          <cell r="P181">
            <v>4.28</v>
          </cell>
        </row>
        <row r="182">
          <cell r="J182" t="str">
            <v>A-1Compra de ViviendaLey PreferencialReposeído (BG)UsadaApartamentoCOPA000000080000.01</v>
          </cell>
          <cell r="K182">
            <v>80000.009999999995</v>
          </cell>
          <cell r="L182">
            <v>120000</v>
          </cell>
          <cell r="M182">
            <v>98</v>
          </cell>
          <cell r="N182">
            <v>30</v>
          </cell>
          <cell r="O182">
            <v>1.25</v>
          </cell>
          <cell r="P182">
            <v>4.28</v>
          </cell>
        </row>
        <row r="183">
          <cell r="J183" t="str">
            <v>A-1Compra de ViviendaLey PreferencialReposeído (BG)UsadaApartamentoFERIA000000015000.00</v>
          </cell>
          <cell r="K183">
            <v>15000</v>
          </cell>
          <cell r="L183">
            <v>40000</v>
          </cell>
          <cell r="M183">
            <v>95</v>
          </cell>
          <cell r="N183">
            <v>30</v>
          </cell>
          <cell r="O183">
            <v>0</v>
          </cell>
          <cell r="P183">
            <v>4.28</v>
          </cell>
        </row>
        <row r="184">
          <cell r="J184" t="str">
            <v>A-1Compra de ViviendaLey PreferencialReposeído (BG)UsadaApartamentoFERIA000000040000.01</v>
          </cell>
          <cell r="K184">
            <v>40000.01</v>
          </cell>
          <cell r="L184">
            <v>80000</v>
          </cell>
          <cell r="M184">
            <v>95</v>
          </cell>
          <cell r="N184">
            <v>30</v>
          </cell>
          <cell r="O184">
            <v>1.25</v>
          </cell>
          <cell r="P184">
            <v>4.28</v>
          </cell>
        </row>
        <row r="185">
          <cell r="J185" t="str">
            <v>A-1Compra de ViviendaLey PreferencialReposeído (BG)UsadaApartamentoFERIA000000080000.01</v>
          </cell>
          <cell r="K185">
            <v>80000.009999999995</v>
          </cell>
          <cell r="L185">
            <v>120000</v>
          </cell>
          <cell r="M185">
            <v>95</v>
          </cell>
          <cell r="N185">
            <v>30</v>
          </cell>
          <cell r="O185">
            <v>1.25</v>
          </cell>
          <cell r="P185">
            <v>4.28</v>
          </cell>
        </row>
        <row r="186">
          <cell r="J186" t="str">
            <v>A-1Compra de ViviendaLey PreferencialReposeído (BG)UsadaCasaBG000000015000.00</v>
          </cell>
          <cell r="K186">
            <v>15000</v>
          </cell>
          <cell r="L186">
            <v>40000</v>
          </cell>
          <cell r="M186">
            <v>98</v>
          </cell>
          <cell r="N186">
            <v>30</v>
          </cell>
          <cell r="O186">
            <v>0</v>
          </cell>
          <cell r="P186">
            <v>8.56</v>
          </cell>
        </row>
        <row r="187">
          <cell r="J187" t="str">
            <v>A-1Compra de ViviendaLey PreferencialReposeído (BG)UsadaCasaBG000000040000.01</v>
          </cell>
          <cell r="K187">
            <v>40000.01</v>
          </cell>
          <cell r="L187">
            <v>80000</v>
          </cell>
          <cell r="M187">
            <v>98</v>
          </cell>
          <cell r="N187">
            <v>30</v>
          </cell>
          <cell r="O187">
            <v>1.25</v>
          </cell>
          <cell r="P187">
            <v>8.56</v>
          </cell>
        </row>
        <row r="188">
          <cell r="J188" t="str">
            <v>A-1Compra de ViviendaLey PreferencialReposeído (BG)UsadaCasaBG000000080000.01</v>
          </cell>
          <cell r="K188">
            <v>80000.009999999995</v>
          </cell>
          <cell r="L188">
            <v>120000</v>
          </cell>
          <cell r="M188">
            <v>98</v>
          </cell>
          <cell r="N188">
            <v>30</v>
          </cell>
          <cell r="O188">
            <v>1.25</v>
          </cell>
          <cell r="P188">
            <v>8.56</v>
          </cell>
        </row>
        <row r="189">
          <cell r="J189" t="str">
            <v>A-1Compra de ViviendaLey PreferencialReposeído (BG)UsadaCasaCOPA000000015000.00</v>
          </cell>
          <cell r="K189">
            <v>15000</v>
          </cell>
          <cell r="L189">
            <v>40000</v>
          </cell>
          <cell r="M189">
            <v>98</v>
          </cell>
          <cell r="N189">
            <v>30</v>
          </cell>
          <cell r="O189">
            <v>0</v>
          </cell>
          <cell r="P189">
            <v>4.28</v>
          </cell>
        </row>
        <row r="190">
          <cell r="J190" t="str">
            <v>A-1Compra de ViviendaLey PreferencialReposeído (BG)UsadaCasaCOPA000000040000.01</v>
          </cell>
          <cell r="K190">
            <v>40000.01</v>
          </cell>
          <cell r="L190">
            <v>80000</v>
          </cell>
          <cell r="M190">
            <v>98</v>
          </cell>
          <cell r="N190">
            <v>30</v>
          </cell>
          <cell r="O190">
            <v>1.25</v>
          </cell>
          <cell r="P190">
            <v>4.28</v>
          </cell>
        </row>
        <row r="191">
          <cell r="J191" t="str">
            <v>A-1Compra de ViviendaLey PreferencialReposeído (BG)UsadaCasaCOPA000000080000.01</v>
          </cell>
          <cell r="K191">
            <v>80000.009999999995</v>
          </cell>
          <cell r="L191">
            <v>120000</v>
          </cell>
          <cell r="M191">
            <v>98</v>
          </cell>
          <cell r="N191">
            <v>30</v>
          </cell>
          <cell r="O191">
            <v>1.25</v>
          </cell>
          <cell r="P191">
            <v>4.28</v>
          </cell>
        </row>
        <row r="192">
          <cell r="J192" t="str">
            <v>A-1Compra de ViviendaLey PreferencialReposeído (BG)UsadaCasaFERIA000000015000.00</v>
          </cell>
          <cell r="K192">
            <v>15000</v>
          </cell>
          <cell r="L192">
            <v>40000</v>
          </cell>
          <cell r="M192">
            <v>95</v>
          </cell>
          <cell r="N192">
            <v>30</v>
          </cell>
          <cell r="O192">
            <v>0</v>
          </cell>
          <cell r="P192">
            <v>4.28</v>
          </cell>
        </row>
        <row r="193">
          <cell r="J193" t="str">
            <v>A-1Compra de ViviendaLey PreferencialReposeído (BG)UsadaCasaFERIA000000040000.01</v>
          </cell>
          <cell r="K193">
            <v>40000.01</v>
          </cell>
          <cell r="L193">
            <v>80000</v>
          </cell>
          <cell r="M193">
            <v>95</v>
          </cell>
          <cell r="N193">
            <v>30</v>
          </cell>
          <cell r="O193">
            <v>1.25</v>
          </cell>
          <cell r="P193">
            <v>4.28</v>
          </cell>
        </row>
        <row r="194">
          <cell r="J194" t="str">
            <v>A-1Compra de ViviendaLey PreferencialReposeído (BG)UsadaCasaFERIA000000080000.01</v>
          </cell>
          <cell r="K194">
            <v>80000.009999999995</v>
          </cell>
          <cell r="L194">
            <v>120000</v>
          </cell>
          <cell r="M194">
            <v>95</v>
          </cell>
          <cell r="N194">
            <v>30</v>
          </cell>
          <cell r="O194">
            <v>1.25</v>
          </cell>
          <cell r="P194">
            <v>4.28</v>
          </cell>
        </row>
        <row r="195">
          <cell r="J195" t="str">
            <v>A-1Compra de ViviendaLey PreferencialResidencialNuevaApartamentoBG000000030000.00</v>
          </cell>
          <cell r="K195">
            <v>30000</v>
          </cell>
          <cell r="L195">
            <v>40000</v>
          </cell>
          <cell r="M195">
            <v>95</v>
          </cell>
          <cell r="N195">
            <v>30</v>
          </cell>
          <cell r="O195">
            <v>0</v>
          </cell>
          <cell r="P195">
            <v>8.56</v>
          </cell>
        </row>
        <row r="196">
          <cell r="J196" t="str">
            <v>A-1Compra de ViviendaLey PreferencialResidencialNuevaApartamentoBG000000040000.01</v>
          </cell>
          <cell r="K196">
            <v>40000.01</v>
          </cell>
          <cell r="L196">
            <v>80000</v>
          </cell>
          <cell r="M196">
            <v>95</v>
          </cell>
          <cell r="N196">
            <v>30</v>
          </cell>
          <cell r="O196">
            <v>1.25</v>
          </cell>
          <cell r="P196">
            <v>8.56</v>
          </cell>
        </row>
        <row r="197">
          <cell r="J197" t="str">
            <v>A-1Compra de ViviendaLey PreferencialResidencialNuevaApartamentoBG000000080000.01</v>
          </cell>
          <cell r="K197">
            <v>80000.009999999995</v>
          </cell>
          <cell r="L197">
            <v>120000</v>
          </cell>
          <cell r="M197">
            <v>95</v>
          </cell>
          <cell r="N197">
            <v>30</v>
          </cell>
          <cell r="O197">
            <v>1.25</v>
          </cell>
          <cell r="P197">
            <v>8.56</v>
          </cell>
        </row>
        <row r="198">
          <cell r="J198" t="str">
            <v>A-1Compra de ViviendaLey PreferencialResidencialNuevaApartamentoCOPA000000030000.00</v>
          </cell>
          <cell r="K198">
            <v>30000</v>
          </cell>
          <cell r="L198">
            <v>40000</v>
          </cell>
          <cell r="M198">
            <v>95</v>
          </cell>
          <cell r="N198">
            <v>30</v>
          </cell>
          <cell r="O198">
            <v>0</v>
          </cell>
          <cell r="P198">
            <v>4.28</v>
          </cell>
        </row>
        <row r="199">
          <cell r="J199" t="str">
            <v>A-1Compra de ViviendaLey PreferencialResidencialNuevaApartamentoCOPA000000040000.01</v>
          </cell>
          <cell r="K199">
            <v>40000.01</v>
          </cell>
          <cell r="L199">
            <v>80000</v>
          </cell>
          <cell r="M199">
            <v>95</v>
          </cell>
          <cell r="N199">
            <v>30</v>
          </cell>
          <cell r="O199">
            <v>1.25</v>
          </cell>
          <cell r="P199">
            <v>4.28</v>
          </cell>
        </row>
        <row r="200">
          <cell r="J200" t="str">
            <v>A-1Compra de ViviendaLey PreferencialResidencialNuevaApartamentoCOPA000000080000.01</v>
          </cell>
          <cell r="K200">
            <v>80000.009999999995</v>
          </cell>
          <cell r="L200">
            <v>120000</v>
          </cell>
          <cell r="M200">
            <v>95</v>
          </cell>
          <cell r="N200">
            <v>30</v>
          </cell>
          <cell r="O200">
            <v>1.25</v>
          </cell>
          <cell r="P200">
            <v>4.28</v>
          </cell>
        </row>
        <row r="201">
          <cell r="J201" t="str">
            <v>A-1Compra de ViviendaLey PreferencialResidencialNuevaApartamentoFERIA000000030000.00</v>
          </cell>
          <cell r="K201">
            <v>30000</v>
          </cell>
          <cell r="L201">
            <v>40000</v>
          </cell>
          <cell r="M201">
            <v>95</v>
          </cell>
          <cell r="N201">
            <v>30</v>
          </cell>
          <cell r="O201">
            <v>0</v>
          </cell>
          <cell r="P201">
            <v>4.28</v>
          </cell>
        </row>
        <row r="202">
          <cell r="J202" t="str">
            <v>A-1Compra de ViviendaLey PreferencialResidencialNuevaApartamentoFERIA000000040000.01</v>
          </cell>
          <cell r="K202">
            <v>40000.01</v>
          </cell>
          <cell r="L202">
            <v>80000</v>
          </cell>
          <cell r="M202">
            <v>95</v>
          </cell>
          <cell r="N202">
            <v>30</v>
          </cell>
          <cell r="O202">
            <v>1.25</v>
          </cell>
          <cell r="P202">
            <v>4.28</v>
          </cell>
        </row>
        <row r="203">
          <cell r="J203" t="str">
            <v>A-1Compra de ViviendaLey PreferencialResidencialNuevaApartamentoFERIA000000080000.01</v>
          </cell>
          <cell r="K203">
            <v>80000.009999999995</v>
          </cell>
          <cell r="L203">
            <v>120000</v>
          </cell>
          <cell r="M203">
            <v>95</v>
          </cell>
          <cell r="N203">
            <v>30</v>
          </cell>
          <cell r="O203">
            <v>1.25</v>
          </cell>
          <cell r="P203">
            <v>4.28</v>
          </cell>
        </row>
        <row r="204">
          <cell r="J204" t="str">
            <v>A-1Compra de ViviendaLey PreferencialResidencialNuevaCasaBG000000000000.00</v>
          </cell>
          <cell r="O204">
            <v>0</v>
          </cell>
          <cell r="P204">
            <v>8.56</v>
          </cell>
        </row>
        <row r="205">
          <cell r="J205" t="str">
            <v>A-1Compra de ViviendaLey PreferencialResidencialNuevaCasaBG000000018000.00</v>
          </cell>
          <cell r="K205">
            <v>18000</v>
          </cell>
          <cell r="L205">
            <v>40000</v>
          </cell>
          <cell r="M205">
            <v>98</v>
          </cell>
          <cell r="N205">
            <v>30</v>
          </cell>
          <cell r="O205">
            <v>0</v>
          </cell>
          <cell r="P205">
            <v>8.56</v>
          </cell>
        </row>
        <row r="206">
          <cell r="J206" t="str">
            <v>A-1Compra de ViviendaLey PreferencialResidencialNuevaCasaBG000000040000.01</v>
          </cell>
          <cell r="K206">
            <v>40000.01</v>
          </cell>
          <cell r="L206">
            <v>80000</v>
          </cell>
          <cell r="M206">
            <v>98</v>
          </cell>
          <cell r="N206">
            <v>30</v>
          </cell>
          <cell r="O206">
            <v>1.25</v>
          </cell>
          <cell r="P206">
            <v>8.56</v>
          </cell>
        </row>
        <row r="207">
          <cell r="J207" t="str">
            <v>A-1Compra de ViviendaLey PreferencialResidencialNuevaCasaBG000000080000.01</v>
          </cell>
          <cell r="K207">
            <v>80000.009999999995</v>
          </cell>
          <cell r="L207">
            <v>120000</v>
          </cell>
          <cell r="M207">
            <v>98</v>
          </cell>
          <cell r="N207">
            <v>30</v>
          </cell>
          <cell r="O207">
            <v>1.25</v>
          </cell>
          <cell r="P207">
            <v>8.56</v>
          </cell>
        </row>
        <row r="208">
          <cell r="J208" t="str">
            <v>A-1Compra de ViviendaLey PreferencialResidencialNuevaCasaCOPA000000018000.00</v>
          </cell>
          <cell r="K208">
            <v>18000</v>
          </cell>
          <cell r="L208">
            <v>40000</v>
          </cell>
          <cell r="M208">
            <v>98</v>
          </cell>
          <cell r="N208">
            <v>30</v>
          </cell>
          <cell r="O208">
            <v>0</v>
          </cell>
          <cell r="P208">
            <v>4.28</v>
          </cell>
        </row>
        <row r="209">
          <cell r="J209" t="str">
            <v>A-1Compra de ViviendaLey PreferencialResidencialNuevaCasaCOPA000000040000.01</v>
          </cell>
          <cell r="K209">
            <v>40000.01</v>
          </cell>
          <cell r="L209">
            <v>80000</v>
          </cell>
          <cell r="M209">
            <v>98</v>
          </cell>
          <cell r="N209">
            <v>30</v>
          </cell>
          <cell r="O209">
            <v>1.25</v>
          </cell>
          <cell r="P209">
            <v>4.28</v>
          </cell>
        </row>
        <row r="210">
          <cell r="J210" t="str">
            <v>A-1Compra de ViviendaLey PreferencialResidencialNuevaCasaCOPA000000080000.01</v>
          </cell>
          <cell r="K210">
            <v>80000.009999999995</v>
          </cell>
          <cell r="L210">
            <v>120000</v>
          </cell>
          <cell r="M210">
            <v>98</v>
          </cell>
          <cell r="N210">
            <v>30</v>
          </cell>
          <cell r="O210">
            <v>1.25</v>
          </cell>
          <cell r="P210">
            <v>4.28</v>
          </cell>
        </row>
        <row r="211">
          <cell r="J211" t="str">
            <v>A-1Compra de ViviendaLey PreferencialResidencialNuevaCasaFERIA000000018000.00</v>
          </cell>
          <cell r="K211">
            <v>18000</v>
          </cell>
          <cell r="L211">
            <v>40000</v>
          </cell>
          <cell r="M211">
            <v>98</v>
          </cell>
          <cell r="N211">
            <v>30</v>
          </cell>
          <cell r="O211">
            <v>0</v>
          </cell>
          <cell r="P211">
            <v>4.28</v>
          </cell>
        </row>
        <row r="212">
          <cell r="J212" t="str">
            <v>A-1Compra de ViviendaLey PreferencialResidencialNuevaCasaFERIA000000040000.01</v>
          </cell>
          <cell r="K212">
            <v>40000.01</v>
          </cell>
          <cell r="L212">
            <v>80000</v>
          </cell>
          <cell r="M212">
            <v>98</v>
          </cell>
          <cell r="N212">
            <v>30</v>
          </cell>
          <cell r="O212">
            <v>1.25</v>
          </cell>
          <cell r="P212">
            <v>4.28</v>
          </cell>
        </row>
        <row r="213">
          <cell r="J213" t="str">
            <v>A-1Compra de ViviendaLey PreferencialResidencialNuevaCasaFERIA000000080000.01</v>
          </cell>
          <cell r="K213">
            <v>80000.009999999995</v>
          </cell>
          <cell r="L213">
            <v>120000</v>
          </cell>
          <cell r="M213">
            <v>98</v>
          </cell>
          <cell r="N213">
            <v>30</v>
          </cell>
          <cell r="O213">
            <v>1.25</v>
          </cell>
          <cell r="P213">
            <v>4.28</v>
          </cell>
        </row>
        <row r="214">
          <cell r="J214" t="str">
            <v>A-1Compra Venta de AccionesCasco AntiguoResidencialNuevaApartamentoBG000000030000.00</v>
          </cell>
          <cell r="K214">
            <v>30000</v>
          </cell>
          <cell r="L214">
            <v>99999999</v>
          </cell>
          <cell r="M214">
            <v>80</v>
          </cell>
          <cell r="N214">
            <v>30</v>
          </cell>
          <cell r="O214">
            <v>3.25</v>
          </cell>
          <cell r="P214">
            <v>4.28</v>
          </cell>
        </row>
        <row r="215">
          <cell r="J215" t="str">
            <v>A-1Compra Venta de AccionesCasco AntiguoResidencialNuevaCasaBG000000030000.00</v>
          </cell>
          <cell r="K215">
            <v>30000</v>
          </cell>
          <cell r="L215">
            <v>99999999</v>
          </cell>
          <cell r="M215">
            <v>80</v>
          </cell>
          <cell r="N215">
            <v>30</v>
          </cell>
          <cell r="O215">
            <v>3.25</v>
          </cell>
          <cell r="P215">
            <v>4.28</v>
          </cell>
        </row>
        <row r="216">
          <cell r="J216" t="str">
            <v>A-1Compra Venta de AccionesCasco AntiguoResidencialUsadaApartamentoBG000000030000.00</v>
          </cell>
          <cell r="K216">
            <v>30000</v>
          </cell>
          <cell r="L216">
            <v>99999999</v>
          </cell>
          <cell r="M216">
            <v>80</v>
          </cell>
          <cell r="N216">
            <v>30</v>
          </cell>
          <cell r="O216">
            <v>3.25</v>
          </cell>
          <cell r="P216">
            <v>4.28</v>
          </cell>
        </row>
        <row r="217">
          <cell r="J217" t="str">
            <v>A-1Compra Venta de AccionesCasco AntiguoResidencialUsadaCasaBG000000030000.00</v>
          </cell>
          <cell r="K217">
            <v>30000</v>
          </cell>
          <cell r="L217">
            <v>99999999</v>
          </cell>
          <cell r="M217">
            <v>80</v>
          </cell>
          <cell r="N217">
            <v>30</v>
          </cell>
          <cell r="O217">
            <v>3.25</v>
          </cell>
          <cell r="P217">
            <v>4.28</v>
          </cell>
        </row>
        <row r="218">
          <cell r="J218" t="str">
            <v>A-1Compra Venta de AccionesIndividualResidencialNuevaApartamentoBG000000030000.00</v>
          </cell>
          <cell r="K218">
            <v>30000</v>
          </cell>
          <cell r="L218">
            <v>100000</v>
          </cell>
          <cell r="M218">
            <v>95</v>
          </cell>
          <cell r="N218">
            <v>30</v>
          </cell>
          <cell r="O218">
            <v>5</v>
          </cell>
          <cell r="P218">
            <v>0</v>
          </cell>
        </row>
        <row r="219">
          <cell r="J219" t="str">
            <v>A-1Compra Venta de AccionesIndividualResidencialNuevaApartamentoBG000000100000.01</v>
          </cell>
          <cell r="K219">
            <v>100000.01</v>
          </cell>
          <cell r="L219">
            <v>250000</v>
          </cell>
          <cell r="M219">
            <v>90</v>
          </cell>
          <cell r="N219">
            <v>30</v>
          </cell>
          <cell r="O219">
            <v>5</v>
          </cell>
          <cell r="P219">
            <v>0</v>
          </cell>
        </row>
        <row r="220">
          <cell r="J220" t="str">
            <v>A-1Compra Venta de AccionesIndividualResidencialNuevaApartamentoBG000000250000.01</v>
          </cell>
          <cell r="K220">
            <v>250000.01</v>
          </cell>
          <cell r="L220">
            <v>600000</v>
          </cell>
          <cell r="M220">
            <v>80</v>
          </cell>
          <cell r="N220">
            <v>30</v>
          </cell>
          <cell r="O220">
            <v>5</v>
          </cell>
          <cell r="P220">
            <v>0</v>
          </cell>
        </row>
        <row r="221">
          <cell r="J221" t="str">
            <v>A-1Compra Venta de AccionesIndividualResidencialNuevaApartamentoBG000000600000.01</v>
          </cell>
          <cell r="K221">
            <v>600000.01</v>
          </cell>
          <cell r="L221">
            <v>99999999</v>
          </cell>
          <cell r="M221">
            <v>70</v>
          </cell>
          <cell r="N221">
            <v>30</v>
          </cell>
          <cell r="O221">
            <v>5</v>
          </cell>
          <cell r="P221">
            <v>0</v>
          </cell>
        </row>
        <row r="222">
          <cell r="J222" t="str">
            <v>A-1Compra Venta de AccionesIndividualResidencialNuevaCasaBG000000018000.00</v>
          </cell>
          <cell r="K222">
            <v>18000</v>
          </cell>
          <cell r="L222">
            <v>100000</v>
          </cell>
          <cell r="M222">
            <v>95</v>
          </cell>
          <cell r="N222">
            <v>30</v>
          </cell>
          <cell r="O222">
            <v>5</v>
          </cell>
          <cell r="P222">
            <v>0</v>
          </cell>
        </row>
        <row r="223">
          <cell r="J223" t="str">
            <v>A-1Compra Venta de AccionesIndividualResidencialNuevaCasaBG000000100000.01</v>
          </cell>
          <cell r="K223">
            <v>100000.01</v>
          </cell>
          <cell r="L223">
            <v>250000</v>
          </cell>
          <cell r="M223">
            <v>90</v>
          </cell>
          <cell r="N223">
            <v>30</v>
          </cell>
          <cell r="O223">
            <v>5</v>
          </cell>
          <cell r="P223">
            <v>0</v>
          </cell>
        </row>
        <row r="224">
          <cell r="J224" t="str">
            <v>A-1Compra Venta de AccionesIndividualResidencialNuevaCasaBG000000250000.01</v>
          </cell>
          <cell r="K224">
            <v>250000.01</v>
          </cell>
          <cell r="L224">
            <v>600000</v>
          </cell>
          <cell r="M224">
            <v>80</v>
          </cell>
          <cell r="N224">
            <v>30</v>
          </cell>
          <cell r="O224">
            <v>5</v>
          </cell>
          <cell r="P224">
            <v>0</v>
          </cell>
        </row>
        <row r="225">
          <cell r="J225" t="str">
            <v>A-1Compra Venta de AccionesIndividualResidencialNuevaCasaBG000000600000.01</v>
          </cell>
          <cell r="K225">
            <v>600000.01</v>
          </cell>
          <cell r="L225">
            <v>99999999</v>
          </cell>
          <cell r="M225">
            <v>70</v>
          </cell>
          <cell r="N225">
            <v>30</v>
          </cell>
          <cell r="O225">
            <v>5</v>
          </cell>
          <cell r="P225">
            <v>0</v>
          </cell>
        </row>
        <row r="226">
          <cell r="J226" t="str">
            <v>A-1Compra Venta de AccionesIndividualResidencialUsadaApartamentoBG000000030000.00</v>
          </cell>
          <cell r="K226">
            <v>30000</v>
          </cell>
          <cell r="L226">
            <v>250000</v>
          </cell>
          <cell r="M226">
            <v>90</v>
          </cell>
          <cell r="N226">
            <v>25</v>
          </cell>
          <cell r="O226">
            <v>5</v>
          </cell>
          <cell r="P226">
            <v>0</v>
          </cell>
        </row>
        <row r="227">
          <cell r="J227" t="str">
            <v>A-1Compra Venta de AccionesIndividualResidencialUsadaApartamentoBG000000250000.01</v>
          </cell>
          <cell r="K227">
            <v>250000.01</v>
          </cell>
          <cell r="L227">
            <v>500000</v>
          </cell>
          <cell r="M227">
            <v>80</v>
          </cell>
          <cell r="N227">
            <v>25</v>
          </cell>
          <cell r="O227">
            <v>5</v>
          </cell>
          <cell r="P227">
            <v>0</v>
          </cell>
        </row>
        <row r="228">
          <cell r="J228" t="str">
            <v>A-1Compra Venta de AccionesIndividualResidencialUsadaApartamentoBG000000500000.01</v>
          </cell>
          <cell r="K228">
            <v>500000.01</v>
          </cell>
          <cell r="L228">
            <v>99999999</v>
          </cell>
          <cell r="M228">
            <v>70</v>
          </cell>
          <cell r="N228">
            <v>25</v>
          </cell>
          <cell r="O228">
            <v>5</v>
          </cell>
          <cell r="P228">
            <v>0</v>
          </cell>
        </row>
        <row r="229">
          <cell r="J229" t="str">
            <v>A-1Compra Venta de AccionesIndividualResidencialUsadaCasaBG000000030000.00</v>
          </cell>
          <cell r="K229">
            <v>30000</v>
          </cell>
          <cell r="L229">
            <v>200000</v>
          </cell>
          <cell r="M229">
            <v>90</v>
          </cell>
          <cell r="N229">
            <v>30</v>
          </cell>
          <cell r="O229">
            <v>5</v>
          </cell>
          <cell r="P229">
            <v>0</v>
          </cell>
        </row>
        <row r="230">
          <cell r="J230" t="str">
            <v>A-1Compra Venta de AccionesIndividualResidencialUsadaCasaBG000000200000.01</v>
          </cell>
          <cell r="K230">
            <v>200000.01</v>
          </cell>
          <cell r="L230">
            <v>500000</v>
          </cell>
          <cell r="M230">
            <v>80</v>
          </cell>
          <cell r="N230">
            <v>30</v>
          </cell>
          <cell r="O230">
            <v>5</v>
          </cell>
          <cell r="P230">
            <v>0</v>
          </cell>
        </row>
        <row r="231">
          <cell r="J231" t="str">
            <v>A-1Compra Venta de AccionesIndividualResidencialUsadaCasaBG000000500000.01</v>
          </cell>
          <cell r="K231">
            <v>500000.01</v>
          </cell>
          <cell r="L231">
            <v>99999999</v>
          </cell>
          <cell r="M231">
            <v>70</v>
          </cell>
          <cell r="N231">
            <v>30</v>
          </cell>
          <cell r="O231">
            <v>5</v>
          </cell>
          <cell r="P231">
            <v>0</v>
          </cell>
        </row>
        <row r="232">
          <cell r="J232" t="str">
            <v>A-1Compra Vivienda VacacionalIndividualResidencialUsadaApartamentoBG000000030000.00</v>
          </cell>
          <cell r="K232">
            <v>30000</v>
          </cell>
          <cell r="L232">
            <v>250000</v>
          </cell>
          <cell r="M232">
            <v>90</v>
          </cell>
          <cell r="N232">
            <v>30</v>
          </cell>
          <cell r="O232">
            <v>6.5</v>
          </cell>
          <cell r="P232">
            <v>0</v>
          </cell>
        </row>
        <row r="233">
          <cell r="J233" t="str">
            <v>A-1Compra Vivienda VacacionalIndividualResidencialUsadaApartamentoBG000000250000.01</v>
          </cell>
          <cell r="K233">
            <v>250000.01</v>
          </cell>
          <cell r="L233">
            <v>500000</v>
          </cell>
          <cell r="M233">
            <v>80</v>
          </cell>
          <cell r="N233">
            <v>30</v>
          </cell>
          <cell r="O233">
            <v>6.5</v>
          </cell>
          <cell r="P233">
            <v>0</v>
          </cell>
        </row>
        <row r="234">
          <cell r="J234" t="str">
            <v>A-1Compra Vivienda VacacionalIndividualResidencialUsadaApartamentoBG000000500000.01</v>
          </cell>
          <cell r="K234">
            <v>500000.01</v>
          </cell>
          <cell r="L234">
            <v>99999999</v>
          </cell>
          <cell r="M234">
            <v>70</v>
          </cell>
          <cell r="N234">
            <v>30</v>
          </cell>
          <cell r="O234">
            <v>6.5</v>
          </cell>
          <cell r="P234">
            <v>0</v>
          </cell>
        </row>
        <row r="235">
          <cell r="J235" t="str">
            <v>A-1Compra Vivienda VacacionalIndividualResidencialUsadaApartamentoCOPA000000030000.00</v>
          </cell>
          <cell r="K235">
            <v>30000</v>
          </cell>
          <cell r="L235">
            <v>250000</v>
          </cell>
          <cell r="M235">
            <v>90</v>
          </cell>
          <cell r="N235">
            <v>30</v>
          </cell>
          <cell r="O235">
            <v>6.5</v>
          </cell>
          <cell r="P235">
            <v>0</v>
          </cell>
        </row>
        <row r="236">
          <cell r="J236" t="str">
            <v>A-1Compra Vivienda VacacionalIndividualResidencialUsadaApartamentoCOPA000000250000.01</v>
          </cell>
          <cell r="K236">
            <v>250000.01</v>
          </cell>
          <cell r="L236">
            <v>500000</v>
          </cell>
          <cell r="M236">
            <v>80</v>
          </cell>
          <cell r="N236">
            <v>30</v>
          </cell>
          <cell r="O236">
            <v>6.5</v>
          </cell>
          <cell r="P236">
            <v>0</v>
          </cell>
        </row>
        <row r="237">
          <cell r="J237" t="str">
            <v>A-1Compra Vivienda VacacionalIndividualResidencialUsadaApartamentoCOPA000000500000.01</v>
          </cell>
          <cell r="K237">
            <v>500000.01</v>
          </cell>
          <cell r="L237">
            <v>99999999</v>
          </cell>
          <cell r="M237">
            <v>70</v>
          </cell>
          <cell r="N237">
            <v>30</v>
          </cell>
          <cell r="O237">
            <v>6.5</v>
          </cell>
          <cell r="P237">
            <v>0</v>
          </cell>
        </row>
        <row r="238">
          <cell r="J238" t="str">
            <v>A-1Compra Vivienda VacacionalIndividualResidencialUsadaApartamentoFERIA000000030000.00</v>
          </cell>
          <cell r="K238">
            <v>30000</v>
          </cell>
          <cell r="L238">
            <v>250000</v>
          </cell>
          <cell r="M238">
            <v>90</v>
          </cell>
          <cell r="N238">
            <v>30</v>
          </cell>
          <cell r="O238">
            <v>6.5</v>
          </cell>
          <cell r="P238">
            <v>0</v>
          </cell>
        </row>
        <row r="239">
          <cell r="J239" t="str">
            <v>A-1Compra Vivienda VacacionalIndividualResidencialUsadaApartamentoFERIA000000250000.01</v>
          </cell>
          <cell r="K239">
            <v>250000.01</v>
          </cell>
          <cell r="L239">
            <v>500000</v>
          </cell>
          <cell r="M239">
            <v>80</v>
          </cell>
          <cell r="N239">
            <v>30</v>
          </cell>
          <cell r="O239">
            <v>6.5</v>
          </cell>
          <cell r="P239">
            <v>0</v>
          </cell>
        </row>
        <row r="240">
          <cell r="J240" t="str">
            <v>A-1Compra Vivienda VacacionalIndividualResidencialUsadaApartamentoFERIA000000500000.01</v>
          </cell>
          <cell r="K240">
            <v>500000.01</v>
          </cell>
          <cell r="L240">
            <v>99999999</v>
          </cell>
          <cell r="M240">
            <v>70</v>
          </cell>
          <cell r="N240">
            <v>30</v>
          </cell>
          <cell r="O240">
            <v>6.5</v>
          </cell>
          <cell r="P240">
            <v>0</v>
          </cell>
        </row>
        <row r="241">
          <cell r="J241" t="str">
            <v>A-1Compra Vivienda VacacionalIndividualVacacionalNuevaApartamentoBG000000050000.00</v>
          </cell>
          <cell r="K241">
            <v>50000</v>
          </cell>
          <cell r="L241">
            <v>99999999</v>
          </cell>
          <cell r="M241">
            <v>70</v>
          </cell>
          <cell r="N241">
            <v>20</v>
          </cell>
          <cell r="O241">
            <v>6.5</v>
          </cell>
          <cell r="P241">
            <v>0</v>
          </cell>
        </row>
        <row r="242">
          <cell r="J242" t="str">
            <v>A-1Compra Vivienda VacacionalIndividualVacacionalNuevaApartamentoCOPA000000050000.00</v>
          </cell>
          <cell r="K242">
            <v>50000</v>
          </cell>
          <cell r="L242">
            <v>99999999</v>
          </cell>
          <cell r="M242">
            <v>70</v>
          </cell>
          <cell r="N242">
            <v>20</v>
          </cell>
          <cell r="O242">
            <v>6.5</v>
          </cell>
          <cell r="P242">
            <v>0</v>
          </cell>
        </row>
        <row r="243">
          <cell r="J243" t="str">
            <v>A-1Compra Vivienda VacacionalIndividualVacacionalNuevaApartamentoFERIA000000050000.00</v>
          </cell>
          <cell r="K243">
            <v>50000</v>
          </cell>
          <cell r="L243">
            <v>99999999</v>
          </cell>
          <cell r="M243">
            <v>70</v>
          </cell>
          <cell r="N243">
            <v>20</v>
          </cell>
          <cell r="O243">
            <v>6.5</v>
          </cell>
          <cell r="P243">
            <v>0</v>
          </cell>
        </row>
        <row r="244">
          <cell r="J244" t="str">
            <v>A-1Compra Vivienda VacacionalIndividualVacacionalNuevaCasaBG000000050000.00</v>
          </cell>
          <cell r="K244">
            <v>50000</v>
          </cell>
          <cell r="L244">
            <v>99999999</v>
          </cell>
          <cell r="M244">
            <v>70</v>
          </cell>
          <cell r="N244">
            <v>20</v>
          </cell>
          <cell r="O244">
            <v>6.5</v>
          </cell>
          <cell r="P244">
            <v>0</v>
          </cell>
        </row>
        <row r="245">
          <cell r="J245" t="str">
            <v>A-1Compra Vivienda VacacionalIndividualVacacionalNuevaCasaCOPA000000050000.00</v>
          </cell>
          <cell r="K245">
            <v>50000</v>
          </cell>
          <cell r="L245">
            <v>99999999</v>
          </cell>
          <cell r="M245">
            <v>70</v>
          </cell>
          <cell r="N245">
            <v>20</v>
          </cell>
          <cell r="O245">
            <v>6.5</v>
          </cell>
          <cell r="P245">
            <v>0</v>
          </cell>
        </row>
        <row r="246">
          <cell r="J246" t="str">
            <v>A-1Compra Vivienda VacacionalIndividualVacacionalNuevaCasaFERIA000000050000.00</v>
          </cell>
          <cell r="K246">
            <v>50000</v>
          </cell>
          <cell r="L246">
            <v>99999999</v>
          </cell>
          <cell r="M246">
            <v>70</v>
          </cell>
          <cell r="N246">
            <v>20</v>
          </cell>
          <cell r="O246">
            <v>6.5</v>
          </cell>
          <cell r="P246">
            <v>0</v>
          </cell>
        </row>
        <row r="247">
          <cell r="J247" t="str">
            <v>A-1Compra Vivienda VacacionalIndividualVacacionalUsadaApartamentoBG000000050000.00</v>
          </cell>
          <cell r="K247">
            <v>50000</v>
          </cell>
          <cell r="L247">
            <v>99999999</v>
          </cell>
          <cell r="M247">
            <v>70</v>
          </cell>
          <cell r="N247">
            <v>20</v>
          </cell>
          <cell r="O247">
            <v>6.5</v>
          </cell>
          <cell r="P247">
            <v>0</v>
          </cell>
        </row>
        <row r="248">
          <cell r="J248" t="str">
            <v>A-1Compra Vivienda VacacionalIndividualVacacionalUsadaApartamentoCOPA000000050000.00</v>
          </cell>
          <cell r="K248">
            <v>50000</v>
          </cell>
          <cell r="L248">
            <v>99999999</v>
          </cell>
          <cell r="M248">
            <v>70</v>
          </cell>
          <cell r="N248">
            <v>20</v>
          </cell>
          <cell r="O248">
            <v>6.5</v>
          </cell>
          <cell r="P248">
            <v>0</v>
          </cell>
        </row>
        <row r="249">
          <cell r="J249" t="str">
            <v>A-1Compra Vivienda VacacionalIndividualVacacionalUsadaApartamentoFERIA000000050000.00</v>
          </cell>
          <cell r="K249">
            <v>50000</v>
          </cell>
          <cell r="L249">
            <v>99999999</v>
          </cell>
          <cell r="M249">
            <v>70</v>
          </cell>
          <cell r="N249">
            <v>20</v>
          </cell>
          <cell r="O249">
            <v>6.5</v>
          </cell>
          <cell r="P249">
            <v>0</v>
          </cell>
        </row>
        <row r="250">
          <cell r="J250" t="str">
            <v>A-1Compra Vivienda VacacionalIndividualVacacionalUsadaCasaBG000000050000.00</v>
          </cell>
          <cell r="K250">
            <v>50000</v>
          </cell>
          <cell r="L250">
            <v>99999999</v>
          </cell>
          <cell r="M250">
            <v>70</v>
          </cell>
          <cell r="N250">
            <v>20</v>
          </cell>
          <cell r="O250">
            <v>6.5</v>
          </cell>
          <cell r="P250">
            <v>0</v>
          </cell>
        </row>
        <row r="251">
          <cell r="J251" t="str">
            <v>A-1Compra Vivienda VacacionalIndividualVacacionalUsadaCasaCOPA000000050000.00</v>
          </cell>
          <cell r="K251">
            <v>50000</v>
          </cell>
          <cell r="L251">
            <v>99999999</v>
          </cell>
          <cell r="M251">
            <v>70</v>
          </cell>
          <cell r="N251">
            <v>20</v>
          </cell>
          <cell r="O251">
            <v>6.5</v>
          </cell>
          <cell r="P251">
            <v>0</v>
          </cell>
        </row>
        <row r="252">
          <cell r="J252" t="str">
            <v>A-1Compra Vivienda VacacionalIndividualVacacionalUsadaCasaFERIA000000050000.00</v>
          </cell>
          <cell r="K252">
            <v>50000</v>
          </cell>
          <cell r="L252">
            <v>99999999</v>
          </cell>
          <cell r="M252">
            <v>70</v>
          </cell>
          <cell r="N252">
            <v>20</v>
          </cell>
          <cell r="O252">
            <v>6.5</v>
          </cell>
          <cell r="P252">
            <v>0</v>
          </cell>
        </row>
        <row r="253">
          <cell r="J253" t="str">
            <v>A-1ConstrucciónIndividualInterinoNuevaApartamentoBG000000100000.00</v>
          </cell>
          <cell r="K253">
            <v>100000</v>
          </cell>
          <cell r="L253">
            <v>99999999</v>
          </cell>
          <cell r="M253">
            <v>90</v>
          </cell>
          <cell r="N253">
            <v>30</v>
          </cell>
          <cell r="O253">
            <v>6</v>
          </cell>
          <cell r="P253">
            <v>0</v>
          </cell>
        </row>
        <row r="254">
          <cell r="J254" t="str">
            <v>A-1ConstrucciónIndividualInterinoNuevaApartamentoCOPA000000100000.00</v>
          </cell>
          <cell r="K254">
            <v>100000</v>
          </cell>
          <cell r="L254">
            <v>99999999</v>
          </cell>
          <cell r="M254">
            <v>90</v>
          </cell>
          <cell r="N254">
            <v>30</v>
          </cell>
          <cell r="O254">
            <v>6</v>
          </cell>
          <cell r="P254">
            <v>0</v>
          </cell>
        </row>
        <row r="255">
          <cell r="J255" t="str">
            <v>A-1ConstrucciónIndividualInterinoNuevaApartamentoFERIA000000100000.00</v>
          </cell>
          <cell r="K255">
            <v>100000</v>
          </cell>
          <cell r="L255">
            <v>99999999</v>
          </cell>
          <cell r="M255">
            <v>90</v>
          </cell>
          <cell r="N255">
            <v>30</v>
          </cell>
          <cell r="O255">
            <v>6</v>
          </cell>
          <cell r="P255">
            <v>0</v>
          </cell>
        </row>
        <row r="256">
          <cell r="J256" t="str">
            <v>A-1ConstrucciónIndividualInterinoNuevaCasaBG000000100000.00</v>
          </cell>
          <cell r="K256">
            <v>100000</v>
          </cell>
          <cell r="L256">
            <v>99999999</v>
          </cell>
          <cell r="M256">
            <v>90</v>
          </cell>
          <cell r="N256">
            <v>30</v>
          </cell>
          <cell r="O256">
            <v>6</v>
          </cell>
          <cell r="P256">
            <v>0</v>
          </cell>
        </row>
        <row r="257">
          <cell r="J257" t="str">
            <v>A-1ConstrucciónIndividualInterinoNuevaCasaCOPA000000100000.00</v>
          </cell>
          <cell r="K257">
            <v>100000</v>
          </cell>
          <cell r="L257">
            <v>99999999</v>
          </cell>
          <cell r="M257">
            <v>90</v>
          </cell>
          <cell r="N257">
            <v>30</v>
          </cell>
          <cell r="O257">
            <v>6</v>
          </cell>
          <cell r="P257">
            <v>0</v>
          </cell>
        </row>
        <row r="258">
          <cell r="J258" t="str">
            <v>A-1ConstrucciónIndividualInterinoNuevaCasaFERIA000000100000.00</v>
          </cell>
          <cell r="K258">
            <v>100000</v>
          </cell>
          <cell r="L258">
            <v>99999999</v>
          </cell>
          <cell r="M258">
            <v>90</v>
          </cell>
          <cell r="N258">
            <v>30</v>
          </cell>
          <cell r="O258">
            <v>6</v>
          </cell>
          <cell r="P258">
            <v>0</v>
          </cell>
        </row>
        <row r="259">
          <cell r="J259" t="str">
            <v>A-1ConstrucciónLey PreferencialInterinoNuevaApartamentoBG000000080000.01</v>
          </cell>
          <cell r="K259">
            <v>80000.009999999995</v>
          </cell>
          <cell r="L259">
            <v>120000</v>
          </cell>
          <cell r="M259">
            <v>90</v>
          </cell>
          <cell r="N259">
            <v>30</v>
          </cell>
          <cell r="O259">
            <v>6</v>
          </cell>
          <cell r="P259">
            <v>4.28</v>
          </cell>
        </row>
        <row r="260">
          <cell r="J260" t="str">
            <v>A-1ConstrucciónLey PreferencialInterinoNuevaApartamentoCOPA000000080000.01</v>
          </cell>
          <cell r="K260">
            <v>80000.009999999995</v>
          </cell>
          <cell r="L260">
            <v>120000</v>
          </cell>
          <cell r="M260">
            <v>90</v>
          </cell>
          <cell r="N260">
            <v>30</v>
          </cell>
          <cell r="O260">
            <v>6</v>
          </cell>
          <cell r="P260">
            <v>4.28</v>
          </cell>
        </row>
        <row r="261">
          <cell r="J261" t="str">
            <v>A-1ConstrucciónLey PreferencialInterinoNuevaApartamentoFERIA000000080000.01</v>
          </cell>
          <cell r="K261">
            <v>80000.009999999995</v>
          </cell>
          <cell r="L261">
            <v>120000</v>
          </cell>
          <cell r="M261">
            <v>90</v>
          </cell>
          <cell r="N261">
            <v>30</v>
          </cell>
          <cell r="O261">
            <v>6</v>
          </cell>
          <cell r="P261">
            <v>4.28</v>
          </cell>
        </row>
        <row r="262">
          <cell r="J262" t="str">
            <v>A-1ConstrucciónLey PreferencialInterinoNuevaCasaBG000000080000.01</v>
          </cell>
          <cell r="K262">
            <v>80000.009999999995</v>
          </cell>
          <cell r="L262">
            <v>120000</v>
          </cell>
          <cell r="M262">
            <v>90</v>
          </cell>
          <cell r="N262">
            <v>30</v>
          </cell>
          <cell r="O262">
            <v>6</v>
          </cell>
          <cell r="P262">
            <v>4.28</v>
          </cell>
        </row>
        <row r="263">
          <cell r="J263" t="str">
            <v>A-1ConstrucciónLey PreferencialInterinoNuevaCasaCOPA000000080000.01</v>
          </cell>
          <cell r="K263">
            <v>80000.009999999995</v>
          </cell>
          <cell r="L263">
            <v>120000</v>
          </cell>
          <cell r="M263">
            <v>90</v>
          </cell>
          <cell r="N263">
            <v>30</v>
          </cell>
          <cell r="O263">
            <v>6</v>
          </cell>
          <cell r="P263">
            <v>4.28</v>
          </cell>
        </row>
        <row r="264">
          <cell r="J264" t="str">
            <v>A-1ConstrucciónLey PreferencialInterinoNuevaCasaFERIA000000080000.01</v>
          </cell>
          <cell r="K264">
            <v>80000.009999999995</v>
          </cell>
          <cell r="L264">
            <v>120000</v>
          </cell>
          <cell r="M264">
            <v>90</v>
          </cell>
          <cell r="N264">
            <v>30</v>
          </cell>
          <cell r="O264">
            <v>6</v>
          </cell>
          <cell r="P264">
            <v>4.28</v>
          </cell>
        </row>
        <row r="265">
          <cell r="J265" t="str">
            <v>A-1Extensión de PlazoIndividualResidencialUsadaApartamentoBG000000005000.00</v>
          </cell>
          <cell r="K265">
            <v>5000</v>
          </cell>
          <cell r="L265">
            <v>50000000</v>
          </cell>
          <cell r="M265">
            <v>100</v>
          </cell>
          <cell r="N265">
            <v>30</v>
          </cell>
          <cell r="O265">
            <v>0</v>
          </cell>
          <cell r="P265">
            <v>0</v>
          </cell>
        </row>
        <row r="266">
          <cell r="J266" t="str">
            <v>A-1Extensión de PlazoIndividualResidencialUsadaApartamentoCOPA000000005000.00</v>
          </cell>
          <cell r="K266">
            <v>5000</v>
          </cell>
          <cell r="L266">
            <v>50000000</v>
          </cell>
          <cell r="M266">
            <v>100</v>
          </cell>
          <cell r="N266">
            <v>30</v>
          </cell>
          <cell r="O266">
            <v>0</v>
          </cell>
          <cell r="P266">
            <v>0</v>
          </cell>
        </row>
        <row r="267">
          <cell r="J267" t="str">
            <v>A-1Extensión de PlazoIndividualResidencialUsadaApartamentoFERIA000000005000.00</v>
          </cell>
          <cell r="K267">
            <v>5000</v>
          </cell>
          <cell r="L267">
            <v>50000000</v>
          </cell>
          <cell r="M267">
            <v>100</v>
          </cell>
          <cell r="N267">
            <v>30</v>
          </cell>
          <cell r="O267">
            <v>0</v>
          </cell>
          <cell r="P267">
            <v>0</v>
          </cell>
        </row>
        <row r="268">
          <cell r="J268" t="str">
            <v>A-1Extensión de PlazoIndividualResidencialUsadaCasaBG000000005000.00</v>
          </cell>
          <cell r="K268">
            <v>5000</v>
          </cell>
          <cell r="L268">
            <v>50000000</v>
          </cell>
          <cell r="M268">
            <v>100</v>
          </cell>
          <cell r="N268">
            <v>30</v>
          </cell>
          <cell r="O268">
            <v>0</v>
          </cell>
          <cell r="P268">
            <v>0</v>
          </cell>
        </row>
        <row r="269">
          <cell r="J269" t="str">
            <v>A-1Extensión de PlazoIndividualResidencialUsadaCasaCOPA000000005000.00</v>
          </cell>
          <cell r="K269">
            <v>5000</v>
          </cell>
          <cell r="L269">
            <v>50000000</v>
          </cell>
          <cell r="M269">
            <v>100</v>
          </cell>
          <cell r="N269">
            <v>30</v>
          </cell>
          <cell r="O269">
            <v>0</v>
          </cell>
          <cell r="P269">
            <v>0</v>
          </cell>
        </row>
        <row r="270">
          <cell r="J270" t="str">
            <v>A-1Extensión de PlazoIndividualResidencialUsadaCasaFERIA000000005000.00</v>
          </cell>
          <cell r="K270">
            <v>5000</v>
          </cell>
          <cell r="L270">
            <v>50000000</v>
          </cell>
          <cell r="M270">
            <v>100</v>
          </cell>
          <cell r="N270">
            <v>30</v>
          </cell>
          <cell r="O270">
            <v>0</v>
          </cell>
          <cell r="P270">
            <v>0</v>
          </cell>
        </row>
        <row r="271">
          <cell r="J271" t="str">
            <v>A-1Extensión de PlazoLey PreferencialResidencialUsadaApartamentoBG000000005000.00</v>
          </cell>
          <cell r="K271">
            <v>5000</v>
          </cell>
          <cell r="L271">
            <v>120000</v>
          </cell>
          <cell r="M271">
            <v>100</v>
          </cell>
          <cell r="N271">
            <v>30</v>
          </cell>
          <cell r="O271">
            <v>0</v>
          </cell>
          <cell r="P271">
            <v>4.28</v>
          </cell>
        </row>
        <row r="272">
          <cell r="J272" t="str">
            <v>A-1Extensión de PlazoLey PreferencialResidencialUsadaApartamentoCOPA000000005000.00</v>
          </cell>
          <cell r="K272">
            <v>5000</v>
          </cell>
          <cell r="L272">
            <v>120000</v>
          </cell>
          <cell r="M272">
            <v>100</v>
          </cell>
          <cell r="N272">
            <v>30</v>
          </cell>
          <cell r="O272">
            <v>0</v>
          </cell>
          <cell r="P272">
            <v>4.28</v>
          </cell>
        </row>
        <row r="273">
          <cell r="J273" t="str">
            <v>A-1Extensión de PlazoLey PreferencialResidencialUsadaApartamentoFERIA000000005000.00</v>
          </cell>
          <cell r="K273">
            <v>5000</v>
          </cell>
          <cell r="L273">
            <v>120000</v>
          </cell>
          <cell r="M273">
            <v>100</v>
          </cell>
          <cell r="N273">
            <v>30</v>
          </cell>
          <cell r="O273">
            <v>0</v>
          </cell>
          <cell r="P273">
            <v>4.28</v>
          </cell>
        </row>
        <row r="274">
          <cell r="J274" t="str">
            <v>A-1Extensión de PlazoLey PreferencialResidencialUsadaCasaBG000000005000.00</v>
          </cell>
          <cell r="K274">
            <v>5000</v>
          </cell>
          <cell r="L274">
            <v>120000</v>
          </cell>
          <cell r="M274">
            <v>100</v>
          </cell>
          <cell r="N274">
            <v>30</v>
          </cell>
          <cell r="O274">
            <v>0</v>
          </cell>
          <cell r="P274">
            <v>4.28</v>
          </cell>
        </row>
        <row r="275">
          <cell r="J275" t="str">
            <v>A-1Extensión de PlazoLey PreferencialResidencialUsadaCasaCOPA000000005000.00</v>
          </cell>
          <cell r="K275">
            <v>5000</v>
          </cell>
          <cell r="L275">
            <v>120000</v>
          </cell>
          <cell r="M275">
            <v>100</v>
          </cell>
          <cell r="N275">
            <v>30</v>
          </cell>
          <cell r="O275">
            <v>0</v>
          </cell>
          <cell r="P275">
            <v>4.28</v>
          </cell>
        </row>
        <row r="276">
          <cell r="J276" t="str">
            <v>A-1Extensión de PlazoLey PreferencialResidencialUsadaCasaFERIA000000005000.00</v>
          </cell>
          <cell r="K276">
            <v>5000</v>
          </cell>
          <cell r="L276">
            <v>120000</v>
          </cell>
          <cell r="M276">
            <v>100</v>
          </cell>
          <cell r="N276">
            <v>30</v>
          </cell>
          <cell r="O276">
            <v>0</v>
          </cell>
          <cell r="P276">
            <v>4.28</v>
          </cell>
        </row>
        <row r="277">
          <cell r="J277" t="str">
            <v>A-1Traspaso de Otro BancoIndividualResidencialUsadaApartamentoBG000000030000.00</v>
          </cell>
          <cell r="K277">
            <v>30000</v>
          </cell>
          <cell r="L277">
            <v>250000</v>
          </cell>
          <cell r="M277">
            <v>90</v>
          </cell>
          <cell r="N277">
            <v>30</v>
          </cell>
          <cell r="O277">
            <v>5.25</v>
          </cell>
          <cell r="P277">
            <v>0</v>
          </cell>
        </row>
        <row r="278">
          <cell r="J278" t="str">
            <v>A-1Traspaso de Otro BancoIndividualResidencialUsadaApartamentoBG000000250000.01</v>
          </cell>
          <cell r="K278">
            <v>250000.01</v>
          </cell>
          <cell r="L278">
            <v>500000</v>
          </cell>
          <cell r="M278">
            <v>80</v>
          </cell>
          <cell r="N278">
            <v>30</v>
          </cell>
          <cell r="O278">
            <v>5</v>
          </cell>
          <cell r="P278">
            <v>0</v>
          </cell>
        </row>
        <row r="279">
          <cell r="J279" t="str">
            <v>A-1Traspaso de Otro BancoIndividualResidencialUsadaApartamentoBG000000500000.01</v>
          </cell>
          <cell r="K279">
            <v>500000.01</v>
          </cell>
          <cell r="L279">
            <v>99999999</v>
          </cell>
          <cell r="M279">
            <v>70</v>
          </cell>
          <cell r="N279">
            <v>30</v>
          </cell>
          <cell r="O279">
            <v>5</v>
          </cell>
          <cell r="P279">
            <v>0</v>
          </cell>
        </row>
        <row r="280">
          <cell r="J280" t="str">
            <v>A-1Traspaso de Otro BancoIndividualResidencialUsadaApartamentoCOPA000000030000.00</v>
          </cell>
          <cell r="K280">
            <v>30000</v>
          </cell>
          <cell r="L280">
            <v>250000</v>
          </cell>
          <cell r="M280">
            <v>90</v>
          </cell>
          <cell r="N280">
            <v>30</v>
          </cell>
          <cell r="O280">
            <v>5.25</v>
          </cell>
          <cell r="P280">
            <v>0</v>
          </cell>
        </row>
        <row r="281">
          <cell r="J281" t="str">
            <v>A-1Traspaso de Otro BancoIndividualResidencialUsadaApartamentoCOPA000000250000.01</v>
          </cell>
          <cell r="K281">
            <v>250000.01</v>
          </cell>
          <cell r="L281">
            <v>500000</v>
          </cell>
          <cell r="M281">
            <v>80</v>
          </cell>
          <cell r="N281">
            <v>30</v>
          </cell>
          <cell r="O281">
            <v>5</v>
          </cell>
          <cell r="P281">
            <v>0</v>
          </cell>
        </row>
        <row r="282">
          <cell r="J282" t="str">
            <v>A-1Traspaso de Otro BancoIndividualResidencialUsadaApartamentoCOPA000000500000.01</v>
          </cell>
          <cell r="K282">
            <v>500000.01</v>
          </cell>
          <cell r="L282">
            <v>99999999</v>
          </cell>
          <cell r="M282">
            <v>70</v>
          </cell>
          <cell r="N282">
            <v>30</v>
          </cell>
          <cell r="O282">
            <v>5</v>
          </cell>
          <cell r="P282">
            <v>0</v>
          </cell>
        </row>
        <row r="283">
          <cell r="J283" t="str">
            <v>A-1Traspaso de Otro BancoIndividualResidencialUsadaApartamentoFERIA000000040000.00</v>
          </cell>
          <cell r="K283">
            <v>40000</v>
          </cell>
          <cell r="L283">
            <v>200000</v>
          </cell>
          <cell r="M283">
            <v>90</v>
          </cell>
          <cell r="N283">
            <v>30</v>
          </cell>
          <cell r="O283">
            <v>5.25</v>
          </cell>
          <cell r="P283">
            <v>0</v>
          </cell>
        </row>
        <row r="284">
          <cell r="J284" t="str">
            <v>A-1Traspaso de Otro BancoIndividualResidencialUsadaApartamentoFERIA000000200000.01</v>
          </cell>
          <cell r="K284">
            <v>200000.01</v>
          </cell>
          <cell r="L284">
            <v>99999999</v>
          </cell>
          <cell r="M284">
            <v>80</v>
          </cell>
          <cell r="N284">
            <v>30</v>
          </cell>
          <cell r="O284">
            <v>5</v>
          </cell>
          <cell r="P284">
            <v>0</v>
          </cell>
        </row>
        <row r="285">
          <cell r="J285" t="str">
            <v>A-1Traspaso de Otro BancoIndividualResidencialUsadaApartamentoFERIA000000500000.01</v>
          </cell>
          <cell r="K285">
            <v>500000.01</v>
          </cell>
          <cell r="L285">
            <v>99999999</v>
          </cell>
          <cell r="M285">
            <v>70</v>
          </cell>
          <cell r="N285">
            <v>30</v>
          </cell>
          <cell r="O285">
            <v>5</v>
          </cell>
          <cell r="P285">
            <v>0</v>
          </cell>
        </row>
        <row r="286">
          <cell r="J286" t="str">
            <v>A-1Traspaso de Otro BancoIndividualResidencialUsadaCasaBG000000030000.00</v>
          </cell>
          <cell r="K286">
            <v>30000</v>
          </cell>
          <cell r="L286">
            <v>250000</v>
          </cell>
          <cell r="M286">
            <v>90</v>
          </cell>
          <cell r="N286">
            <v>30</v>
          </cell>
          <cell r="O286">
            <v>5.25</v>
          </cell>
          <cell r="P286">
            <v>0</v>
          </cell>
        </row>
        <row r="287">
          <cell r="J287" t="str">
            <v>A-1Traspaso de Otro BancoIndividualResidencialUsadaCasaBG000000250000.01</v>
          </cell>
          <cell r="K287">
            <v>250000.01</v>
          </cell>
          <cell r="L287">
            <v>500000</v>
          </cell>
          <cell r="M287">
            <v>80</v>
          </cell>
          <cell r="N287">
            <v>30</v>
          </cell>
          <cell r="O287">
            <v>5</v>
          </cell>
          <cell r="P287">
            <v>0</v>
          </cell>
        </row>
        <row r="288">
          <cell r="J288" t="str">
            <v>A-1Traspaso de Otro BancoIndividualResidencialUsadaCasaBG000000500000.01</v>
          </cell>
          <cell r="K288">
            <v>500000.01</v>
          </cell>
          <cell r="L288">
            <v>99999999</v>
          </cell>
          <cell r="M288">
            <v>70</v>
          </cell>
          <cell r="N288">
            <v>30</v>
          </cell>
          <cell r="O288">
            <v>5</v>
          </cell>
          <cell r="P288">
            <v>0</v>
          </cell>
        </row>
        <row r="289">
          <cell r="J289" t="str">
            <v>A-1Traspaso de Otro BancoIndividualResidencialUsadaCasaCOPA000000030000.00</v>
          </cell>
          <cell r="K289">
            <v>30000</v>
          </cell>
          <cell r="L289">
            <v>250000</v>
          </cell>
          <cell r="M289">
            <v>90</v>
          </cell>
          <cell r="N289">
            <v>30</v>
          </cell>
          <cell r="O289">
            <v>5.25</v>
          </cell>
          <cell r="P289">
            <v>0</v>
          </cell>
        </row>
        <row r="290">
          <cell r="J290" t="str">
            <v>A-1Traspaso de Otro BancoIndividualResidencialUsadaCasaCOPA000000250000.01</v>
          </cell>
          <cell r="K290">
            <v>250000.01</v>
          </cell>
          <cell r="L290">
            <v>500000</v>
          </cell>
          <cell r="M290">
            <v>80</v>
          </cell>
          <cell r="N290">
            <v>30</v>
          </cell>
          <cell r="O290">
            <v>5</v>
          </cell>
          <cell r="P290">
            <v>0</v>
          </cell>
        </row>
        <row r="291">
          <cell r="J291" t="str">
            <v>A-1Traspaso de Otro BancoIndividualResidencialUsadaCasaCOPA000000500000.01</v>
          </cell>
          <cell r="K291">
            <v>500000.01</v>
          </cell>
          <cell r="L291">
            <v>99999999</v>
          </cell>
          <cell r="M291">
            <v>70</v>
          </cell>
          <cell r="N291">
            <v>30</v>
          </cell>
          <cell r="O291">
            <v>5</v>
          </cell>
          <cell r="P291">
            <v>0</v>
          </cell>
        </row>
        <row r="292">
          <cell r="J292" t="str">
            <v>A-1Traspaso de Otro BancoIndividualResidencialUsadaCasaFERIA000000040000.00</v>
          </cell>
          <cell r="K292">
            <v>40000</v>
          </cell>
          <cell r="L292">
            <v>200000</v>
          </cell>
          <cell r="M292">
            <v>90</v>
          </cell>
          <cell r="N292">
            <v>30</v>
          </cell>
          <cell r="O292">
            <v>5.25</v>
          </cell>
          <cell r="P292">
            <v>0</v>
          </cell>
        </row>
        <row r="293">
          <cell r="J293" t="str">
            <v>A-1Traspaso de Otro BancoIndividualResidencialUsadaCasaFERIA000000200000.01</v>
          </cell>
          <cell r="K293">
            <v>200000.01</v>
          </cell>
          <cell r="L293">
            <v>99999999</v>
          </cell>
          <cell r="M293">
            <v>80</v>
          </cell>
          <cell r="N293">
            <v>30</v>
          </cell>
          <cell r="O293">
            <v>5</v>
          </cell>
          <cell r="P293">
            <v>0</v>
          </cell>
        </row>
        <row r="294">
          <cell r="J294" t="str">
            <v>A-1Traspaso de Otro BancoIndividualResidencialUsadaCasaFERIA000000500000.01</v>
          </cell>
          <cell r="K294">
            <v>500000.01</v>
          </cell>
          <cell r="L294">
            <v>99999999</v>
          </cell>
          <cell r="M294">
            <v>70</v>
          </cell>
          <cell r="N294">
            <v>30</v>
          </cell>
          <cell r="O294">
            <v>5</v>
          </cell>
          <cell r="P294">
            <v>0</v>
          </cell>
        </row>
        <row r="295">
          <cell r="J295" t="str">
            <v>A-1Traspaso por compra de vivienda (Ley Preferencial en BG)Ley PreferencialResidencialUsadaApartamentoBG000000030000.00</v>
          </cell>
          <cell r="K295">
            <v>30000</v>
          </cell>
          <cell r="L295">
            <v>40000</v>
          </cell>
          <cell r="M295">
            <v>95</v>
          </cell>
          <cell r="N295">
            <v>30</v>
          </cell>
          <cell r="O295">
            <v>0</v>
          </cell>
          <cell r="P295">
            <v>8.56</v>
          </cell>
        </row>
        <row r="296">
          <cell r="J296" t="str">
            <v>A-1Traspaso por compra de vivienda (Ley Preferencial en BG)Ley PreferencialResidencialUsadaApartamentoBG000000040000.01</v>
          </cell>
          <cell r="K296">
            <v>40000.01</v>
          </cell>
          <cell r="L296">
            <v>80000</v>
          </cell>
          <cell r="M296">
            <v>95</v>
          </cell>
          <cell r="N296">
            <v>30</v>
          </cell>
          <cell r="O296">
            <v>1.25</v>
          </cell>
          <cell r="P296">
            <v>8.56</v>
          </cell>
        </row>
        <row r="297">
          <cell r="J297" t="str">
            <v>A-1Traspaso por compra de vivienda (Ley Preferencial en BG)Ley PreferencialResidencialUsadaApartamentoBG000000080000.01</v>
          </cell>
          <cell r="K297">
            <v>80000.009999999995</v>
          </cell>
          <cell r="L297">
            <v>120000</v>
          </cell>
          <cell r="M297">
            <v>95</v>
          </cell>
          <cell r="N297">
            <v>30</v>
          </cell>
          <cell r="O297">
            <v>1.25</v>
          </cell>
          <cell r="P297">
            <v>8.56</v>
          </cell>
        </row>
        <row r="298">
          <cell r="J298" t="str">
            <v>A-1Traspaso por compra de vivienda (Ley Preferencial en BG)Ley PreferencialResidencialUsadaApartamentoCOPA000000030000.00</v>
          </cell>
          <cell r="K298">
            <v>30000</v>
          </cell>
          <cell r="L298">
            <v>40000</v>
          </cell>
          <cell r="M298">
            <v>95</v>
          </cell>
          <cell r="N298">
            <v>30</v>
          </cell>
          <cell r="O298">
            <v>0</v>
          </cell>
          <cell r="P298">
            <v>4.28</v>
          </cell>
        </row>
        <row r="299">
          <cell r="J299" t="str">
            <v>A-1Traspaso por compra de vivienda (Ley Preferencial en BG)Ley PreferencialResidencialUsadaApartamentoCOPA000000040000.01</v>
          </cell>
          <cell r="K299">
            <v>40000.01</v>
          </cell>
          <cell r="L299">
            <v>80000</v>
          </cell>
          <cell r="M299">
            <v>95</v>
          </cell>
          <cell r="N299">
            <v>30</v>
          </cell>
          <cell r="O299">
            <v>1.25</v>
          </cell>
          <cell r="P299">
            <v>4.28</v>
          </cell>
        </row>
        <row r="300">
          <cell r="J300" t="str">
            <v>A-1Traspaso por compra de vivienda (Ley Preferencial en BG)Ley PreferencialResidencialUsadaApartamentoCOPA000000080000.01</v>
          </cell>
          <cell r="K300">
            <v>80000.009999999995</v>
          </cell>
          <cell r="L300">
            <v>120000</v>
          </cell>
          <cell r="M300">
            <v>95</v>
          </cell>
          <cell r="N300">
            <v>30</v>
          </cell>
          <cell r="O300">
            <v>1.25</v>
          </cell>
          <cell r="P300">
            <v>4.28</v>
          </cell>
        </row>
        <row r="301">
          <cell r="J301" t="str">
            <v>A-1Traspaso por compra de vivienda (Ley Preferencial en BG)Ley PreferencialResidencialUsadaApartamentoFERIA000000030000.00</v>
          </cell>
          <cell r="K301">
            <v>30000</v>
          </cell>
          <cell r="L301">
            <v>40000</v>
          </cell>
          <cell r="M301">
            <v>95</v>
          </cell>
          <cell r="N301">
            <v>30</v>
          </cell>
          <cell r="O301">
            <v>0</v>
          </cell>
          <cell r="P301">
            <v>4.28</v>
          </cell>
        </row>
        <row r="302">
          <cell r="J302" t="str">
            <v>A-1Traspaso por compra de vivienda (Ley Preferencial en BG)Ley PreferencialResidencialUsadaApartamentoFERIA000000040000.01</v>
          </cell>
          <cell r="K302">
            <v>40000.01</v>
          </cell>
          <cell r="L302">
            <v>80000</v>
          </cell>
          <cell r="M302">
            <v>95</v>
          </cell>
          <cell r="N302">
            <v>30</v>
          </cell>
          <cell r="O302">
            <v>1.25</v>
          </cell>
          <cell r="P302">
            <v>4.28</v>
          </cell>
        </row>
        <row r="303">
          <cell r="J303" t="str">
            <v>A-1Traspaso por compra de vivienda (Ley Preferencial en BG)Ley PreferencialResidencialUsadaApartamentoFERIA000000080000.01</v>
          </cell>
          <cell r="K303">
            <v>80000.009999999995</v>
          </cell>
          <cell r="L303">
            <v>120000</v>
          </cell>
          <cell r="M303">
            <v>95</v>
          </cell>
          <cell r="N303">
            <v>30</v>
          </cell>
          <cell r="O303">
            <v>1.25</v>
          </cell>
          <cell r="P303">
            <v>4.28</v>
          </cell>
        </row>
        <row r="304">
          <cell r="J304" t="str">
            <v>A-1Traspaso por compra de vivienda (Ley Preferencial en BG)Ley PreferencialResidencialUsadaCasaBG000000018000.00</v>
          </cell>
          <cell r="K304">
            <v>18000</v>
          </cell>
          <cell r="L304">
            <v>40000</v>
          </cell>
          <cell r="M304">
            <v>98</v>
          </cell>
          <cell r="N304">
            <v>30</v>
          </cell>
          <cell r="O304">
            <v>0</v>
          </cell>
          <cell r="P304">
            <v>8.56</v>
          </cell>
        </row>
        <row r="305">
          <cell r="J305" t="str">
            <v>A-1Traspaso por compra de vivienda (Ley Preferencial en BG)Ley PreferencialResidencialUsadaCasaBG000000030000.01</v>
          </cell>
          <cell r="K305">
            <v>30000.01</v>
          </cell>
          <cell r="L305">
            <v>80000</v>
          </cell>
          <cell r="M305">
            <v>98</v>
          </cell>
          <cell r="N305">
            <v>30</v>
          </cell>
          <cell r="O305">
            <v>1.25</v>
          </cell>
          <cell r="P305">
            <v>8.56</v>
          </cell>
        </row>
        <row r="306">
          <cell r="J306" t="str">
            <v>A-1Traspaso por compra de vivienda (Ley Preferencial en BG)Ley PreferencialResidencialUsadaCasaBG000000080000.01</v>
          </cell>
          <cell r="K306">
            <v>80000.009999999995</v>
          </cell>
          <cell r="L306">
            <v>120000</v>
          </cell>
          <cell r="M306">
            <v>98</v>
          </cell>
          <cell r="N306">
            <v>30</v>
          </cell>
          <cell r="O306">
            <v>1.25</v>
          </cell>
          <cell r="P306">
            <v>8.56</v>
          </cell>
        </row>
        <row r="307">
          <cell r="J307" t="str">
            <v>A-1Traspaso por compra de vivienda (Ley Preferencial en BG)Ley PreferencialResidencialUsadaCasaCOPA000000018000.00</v>
          </cell>
          <cell r="K307">
            <v>18000</v>
          </cell>
          <cell r="L307">
            <v>40000</v>
          </cell>
          <cell r="M307">
            <v>98</v>
          </cell>
          <cell r="N307">
            <v>30</v>
          </cell>
          <cell r="O307">
            <v>0</v>
          </cell>
          <cell r="P307">
            <v>4.28</v>
          </cell>
        </row>
        <row r="308">
          <cell r="J308" t="str">
            <v>A-1Traspaso por compra de vivienda (Ley Preferencial en BG)Ley PreferencialResidencialUsadaCasaCOPA000000030000.01</v>
          </cell>
          <cell r="K308">
            <v>30000.01</v>
          </cell>
          <cell r="L308">
            <v>80000</v>
          </cell>
          <cell r="M308">
            <v>98</v>
          </cell>
          <cell r="N308">
            <v>30</v>
          </cell>
          <cell r="O308">
            <v>1.25</v>
          </cell>
          <cell r="P308">
            <v>4.28</v>
          </cell>
        </row>
        <row r="309">
          <cell r="J309" t="str">
            <v>A-1Traspaso por compra de vivienda (Ley Preferencial en BG)Ley PreferencialResidencialUsadaCasaCOPA000000080000.01</v>
          </cell>
          <cell r="K309">
            <v>80000.009999999995</v>
          </cell>
          <cell r="L309">
            <v>120000</v>
          </cell>
          <cell r="M309">
            <v>98</v>
          </cell>
          <cell r="N309">
            <v>30</v>
          </cell>
          <cell r="O309">
            <v>1.25</v>
          </cell>
          <cell r="P309">
            <v>4.28</v>
          </cell>
        </row>
        <row r="310">
          <cell r="J310" t="str">
            <v>A-1Traspaso por compra de vivienda (Ley Preferencial en BG)Ley PreferencialResidencialUsadaCasaFERIA000000018000.00</v>
          </cell>
          <cell r="K310">
            <v>18000</v>
          </cell>
          <cell r="L310">
            <v>40000</v>
          </cell>
          <cell r="M310">
            <v>98</v>
          </cell>
          <cell r="N310">
            <v>30</v>
          </cell>
          <cell r="O310">
            <v>0</v>
          </cell>
          <cell r="P310">
            <v>4.28</v>
          </cell>
        </row>
        <row r="311">
          <cell r="J311" t="str">
            <v>A-1Traspaso por compra de vivienda (Ley Preferencial en BG)Ley PreferencialResidencialUsadaCasaFERIA000000030000.01</v>
          </cell>
          <cell r="K311">
            <v>30000.01</v>
          </cell>
          <cell r="L311">
            <v>80000</v>
          </cell>
          <cell r="M311">
            <v>98</v>
          </cell>
          <cell r="N311">
            <v>30</v>
          </cell>
          <cell r="O311">
            <v>1.25</v>
          </cell>
          <cell r="P311">
            <v>4.28</v>
          </cell>
        </row>
        <row r="312">
          <cell r="J312" t="str">
            <v>A-1Traspaso por compra de vivienda (Ley Preferencial en BG)Ley PreferencialResidencialUsadaCasaFERIA000000080000.01</v>
          </cell>
          <cell r="K312">
            <v>80000.009999999995</v>
          </cell>
          <cell r="L312">
            <v>120000</v>
          </cell>
          <cell r="M312">
            <v>98</v>
          </cell>
          <cell r="N312">
            <v>30</v>
          </cell>
          <cell r="O312">
            <v>1.25</v>
          </cell>
          <cell r="P312">
            <v>4.28</v>
          </cell>
        </row>
        <row r="313">
          <cell r="J313" t="str">
            <v>ACambio de DeudorIndividualResidencialUsadaApartamentoBG000000005000.00</v>
          </cell>
          <cell r="K313">
            <v>5000</v>
          </cell>
          <cell r="L313">
            <v>50000000</v>
          </cell>
          <cell r="M313">
            <v>100</v>
          </cell>
          <cell r="N313">
            <v>30</v>
          </cell>
          <cell r="O313">
            <v>0</v>
          </cell>
          <cell r="P313">
            <v>0</v>
          </cell>
        </row>
        <row r="314">
          <cell r="J314" t="str">
            <v>ACambio de DeudorIndividualResidencialUsadaApartamentoCOPA000000005000.00</v>
          </cell>
          <cell r="K314">
            <v>5000</v>
          </cell>
          <cell r="L314">
            <v>50000000</v>
          </cell>
          <cell r="M314">
            <v>100</v>
          </cell>
          <cell r="N314">
            <v>30</v>
          </cell>
          <cell r="O314">
            <v>0</v>
          </cell>
          <cell r="P314">
            <v>0</v>
          </cell>
        </row>
        <row r="315">
          <cell r="J315" t="str">
            <v>ACambio de DeudorIndividualResidencialUsadaApartamentoFERIA000000005000.00</v>
          </cell>
          <cell r="K315">
            <v>5000</v>
          </cell>
          <cell r="L315">
            <v>50000000</v>
          </cell>
          <cell r="M315">
            <v>100</v>
          </cell>
          <cell r="N315">
            <v>30</v>
          </cell>
          <cell r="O315">
            <v>0</v>
          </cell>
          <cell r="P315">
            <v>0</v>
          </cell>
        </row>
        <row r="316">
          <cell r="J316" t="str">
            <v>ACambio de DeudorIndividualResidencialUsadaCasaBG000000005000.00</v>
          </cell>
          <cell r="K316">
            <v>5000</v>
          </cell>
          <cell r="L316">
            <v>50000000</v>
          </cell>
          <cell r="M316">
            <v>100</v>
          </cell>
          <cell r="N316">
            <v>30</v>
          </cell>
          <cell r="O316">
            <v>0</v>
          </cell>
          <cell r="P316">
            <v>0</v>
          </cell>
        </row>
        <row r="317">
          <cell r="J317" t="str">
            <v>ACambio de DeudorIndividualResidencialUsadaCasaCOPA000000005000.00</v>
          </cell>
          <cell r="K317">
            <v>5000</v>
          </cell>
          <cell r="L317">
            <v>50000000</v>
          </cell>
          <cell r="M317">
            <v>100</v>
          </cell>
          <cell r="N317">
            <v>30</v>
          </cell>
          <cell r="O317">
            <v>0</v>
          </cell>
          <cell r="P317">
            <v>0</v>
          </cell>
        </row>
        <row r="318">
          <cell r="J318" t="str">
            <v>ACambio de DeudorIndividualResidencialUsadaCasaFERIA000000005000.00</v>
          </cell>
          <cell r="K318">
            <v>5000</v>
          </cell>
          <cell r="L318">
            <v>50000000</v>
          </cell>
          <cell r="M318">
            <v>100</v>
          </cell>
          <cell r="N318">
            <v>30</v>
          </cell>
          <cell r="O318">
            <v>0</v>
          </cell>
          <cell r="P318">
            <v>0</v>
          </cell>
        </row>
        <row r="319">
          <cell r="J319" t="str">
            <v>ACambio de DeudorLey PreferencialResidencialUsadaApartamentoBG000000005000.00</v>
          </cell>
          <cell r="K319">
            <v>5000</v>
          </cell>
          <cell r="L319">
            <v>120000</v>
          </cell>
          <cell r="M319">
            <v>100</v>
          </cell>
          <cell r="N319">
            <v>30</v>
          </cell>
          <cell r="O319">
            <v>0</v>
          </cell>
          <cell r="P319">
            <v>4.28</v>
          </cell>
        </row>
        <row r="320">
          <cell r="J320" t="str">
            <v>ACambio de DeudorLey PreferencialResidencialUsadaApartamentoCOPA000000005000.00</v>
          </cell>
          <cell r="K320">
            <v>5000</v>
          </cell>
          <cell r="L320">
            <v>120000</v>
          </cell>
          <cell r="M320">
            <v>100</v>
          </cell>
          <cell r="N320">
            <v>30</v>
          </cell>
          <cell r="O320">
            <v>0</v>
          </cell>
          <cell r="P320">
            <v>8.56</v>
          </cell>
        </row>
        <row r="321">
          <cell r="J321" t="str">
            <v>ACambio de DeudorLey PreferencialResidencialUsadaApartamentoFERIA000000005000.00</v>
          </cell>
          <cell r="K321">
            <v>5000</v>
          </cell>
          <cell r="L321">
            <v>120000</v>
          </cell>
          <cell r="M321">
            <v>100</v>
          </cell>
          <cell r="N321">
            <v>30</v>
          </cell>
          <cell r="O321">
            <v>0</v>
          </cell>
          <cell r="P321">
            <v>4.28</v>
          </cell>
        </row>
        <row r="322">
          <cell r="J322" t="str">
            <v>ACambio de DeudorLey PreferencialResidencialUsadaCasaBG000000005000.00</v>
          </cell>
          <cell r="K322">
            <v>5000</v>
          </cell>
          <cell r="L322">
            <v>120000</v>
          </cell>
          <cell r="M322">
            <v>100</v>
          </cell>
          <cell r="N322">
            <v>30</v>
          </cell>
          <cell r="O322">
            <v>0</v>
          </cell>
          <cell r="P322">
            <v>4.28</v>
          </cell>
        </row>
        <row r="323">
          <cell r="J323" t="str">
            <v>ACambio de DeudorLey PreferencialResidencialUsadaCasaCOPA000000005000.00</v>
          </cell>
          <cell r="K323">
            <v>5000</v>
          </cell>
          <cell r="L323">
            <v>120000</v>
          </cell>
          <cell r="M323">
            <v>100</v>
          </cell>
          <cell r="N323">
            <v>30</v>
          </cell>
          <cell r="O323">
            <v>0</v>
          </cell>
          <cell r="P323">
            <v>8.56</v>
          </cell>
        </row>
        <row r="324">
          <cell r="J324" t="str">
            <v>ACambio de DeudorLey PreferencialResidencialUsadaCasaFERIA000000005000.00</v>
          </cell>
          <cell r="K324">
            <v>5000</v>
          </cell>
          <cell r="L324">
            <v>120000</v>
          </cell>
          <cell r="M324">
            <v>100</v>
          </cell>
          <cell r="N324">
            <v>30</v>
          </cell>
          <cell r="O324">
            <v>0</v>
          </cell>
          <cell r="P324">
            <v>4.28</v>
          </cell>
        </row>
        <row r="325">
          <cell r="J325" t="str">
            <v>ACambio de Dueño y DeudorIndividualResidencialUsadaApartamentoBG000000005000.00</v>
          </cell>
          <cell r="K325">
            <v>5000</v>
          </cell>
          <cell r="L325">
            <v>50000000</v>
          </cell>
          <cell r="M325">
            <v>100</v>
          </cell>
          <cell r="N325">
            <v>30</v>
          </cell>
          <cell r="O325">
            <v>0</v>
          </cell>
          <cell r="P325">
            <v>0</v>
          </cell>
        </row>
        <row r="326">
          <cell r="J326" t="str">
            <v>ACambio de Dueño y DeudorIndividualResidencialUsadaApartamentoCOPA000000005000.00</v>
          </cell>
          <cell r="K326">
            <v>5000</v>
          </cell>
          <cell r="L326">
            <v>50000000</v>
          </cell>
          <cell r="M326">
            <v>100</v>
          </cell>
          <cell r="N326">
            <v>30</v>
          </cell>
          <cell r="O326">
            <v>0</v>
          </cell>
          <cell r="P326">
            <v>0</v>
          </cell>
        </row>
        <row r="327">
          <cell r="J327" t="str">
            <v>ACambio de Dueño y DeudorIndividualResidencialUsadaApartamentoFERIA000000005000.00</v>
          </cell>
          <cell r="K327">
            <v>5000</v>
          </cell>
          <cell r="L327">
            <v>50000000</v>
          </cell>
          <cell r="M327">
            <v>100</v>
          </cell>
          <cell r="N327">
            <v>30</v>
          </cell>
          <cell r="O327">
            <v>0</v>
          </cell>
          <cell r="P327">
            <v>0</v>
          </cell>
        </row>
        <row r="328">
          <cell r="J328" t="str">
            <v>ACambio de Dueño y DeudorIndividualResidencialUsadaCasaBG000000005000.00</v>
          </cell>
          <cell r="K328">
            <v>5000</v>
          </cell>
          <cell r="L328">
            <v>50000000</v>
          </cell>
          <cell r="M328">
            <v>100</v>
          </cell>
          <cell r="N328">
            <v>30</v>
          </cell>
          <cell r="O328">
            <v>0</v>
          </cell>
          <cell r="P328">
            <v>0</v>
          </cell>
        </row>
        <row r="329">
          <cell r="J329" t="str">
            <v>ACambio de Dueño y DeudorIndividualResidencialUsadaCasaCOPA000000005000.00</v>
          </cell>
          <cell r="K329">
            <v>5000</v>
          </cell>
          <cell r="L329">
            <v>50000000</v>
          </cell>
          <cell r="M329">
            <v>100</v>
          </cell>
          <cell r="N329">
            <v>30</v>
          </cell>
          <cell r="O329">
            <v>0</v>
          </cell>
          <cell r="P329">
            <v>0</v>
          </cell>
        </row>
        <row r="330">
          <cell r="J330" t="str">
            <v>ACambio de Dueño y DeudorIndividualResidencialUsadaCasaFERIA000000005000.00</v>
          </cell>
          <cell r="K330">
            <v>5000</v>
          </cell>
          <cell r="L330">
            <v>50000000</v>
          </cell>
          <cell r="M330">
            <v>100</v>
          </cell>
          <cell r="N330">
            <v>30</v>
          </cell>
          <cell r="O330">
            <v>0</v>
          </cell>
          <cell r="P330">
            <v>0</v>
          </cell>
        </row>
        <row r="331">
          <cell r="J331" t="str">
            <v>ACambio de Dueño y DeudorLey PreferencialResidencialUsadaApartamentoBG000000005000.00</v>
          </cell>
          <cell r="K331">
            <v>5000</v>
          </cell>
          <cell r="L331">
            <v>120000</v>
          </cell>
          <cell r="M331">
            <v>100</v>
          </cell>
          <cell r="N331">
            <v>30</v>
          </cell>
          <cell r="O331">
            <v>0</v>
          </cell>
          <cell r="P331">
            <v>4.28</v>
          </cell>
        </row>
        <row r="332">
          <cell r="J332" t="str">
            <v>ACambio de Dueño y DeudorLey PreferencialResidencialUsadaApartamentoCOPA000000005000.00</v>
          </cell>
          <cell r="K332">
            <v>5000</v>
          </cell>
          <cell r="L332">
            <v>120000</v>
          </cell>
          <cell r="M332">
            <v>100</v>
          </cell>
          <cell r="N332">
            <v>30</v>
          </cell>
          <cell r="O332">
            <v>0</v>
          </cell>
          <cell r="P332">
            <v>8.56</v>
          </cell>
        </row>
        <row r="333">
          <cell r="J333" t="str">
            <v>ACambio de Dueño y DeudorLey PreferencialResidencialUsadaApartamentoFERIA000000005000.00</v>
          </cell>
          <cell r="K333">
            <v>5000</v>
          </cell>
          <cell r="L333">
            <v>120000</v>
          </cell>
          <cell r="M333">
            <v>100</v>
          </cell>
          <cell r="N333">
            <v>30</v>
          </cell>
          <cell r="O333">
            <v>0</v>
          </cell>
          <cell r="P333">
            <v>4.28</v>
          </cell>
        </row>
        <row r="334">
          <cell r="J334" t="str">
            <v>ACambio de Dueño y DeudorLey PreferencialResidencialUsadaCasaBG000000005000.00</v>
          </cell>
          <cell r="K334">
            <v>5000</v>
          </cell>
          <cell r="L334">
            <v>120000</v>
          </cell>
          <cell r="M334">
            <v>100</v>
          </cell>
          <cell r="N334">
            <v>30</v>
          </cell>
          <cell r="O334">
            <v>0</v>
          </cell>
          <cell r="P334">
            <v>4.28</v>
          </cell>
        </row>
        <row r="335">
          <cell r="J335" t="str">
            <v>ACambio de Dueño y DeudorLey PreferencialResidencialUsadaCasaCOPA000000005000.00</v>
          </cell>
          <cell r="K335">
            <v>5000</v>
          </cell>
          <cell r="L335">
            <v>120000</v>
          </cell>
          <cell r="M335">
            <v>100</v>
          </cell>
          <cell r="N335">
            <v>30</v>
          </cell>
          <cell r="O335">
            <v>0</v>
          </cell>
          <cell r="P335">
            <v>8.56</v>
          </cell>
        </row>
        <row r="336">
          <cell r="J336" t="str">
            <v>ACambio de Dueño y DeudorLey PreferencialResidencialUsadaCasaFERIA000000005000.00</v>
          </cell>
          <cell r="K336">
            <v>5000</v>
          </cell>
          <cell r="L336">
            <v>120000</v>
          </cell>
          <cell r="M336">
            <v>100</v>
          </cell>
          <cell r="N336">
            <v>30</v>
          </cell>
          <cell r="O336">
            <v>0</v>
          </cell>
          <cell r="P336">
            <v>4.28</v>
          </cell>
        </row>
        <row r="337">
          <cell r="J337" t="str">
            <v>ACambio de DueñoIndividualResidencialUsadaApartamentoBG000000005000.00</v>
          </cell>
          <cell r="K337">
            <v>5000</v>
          </cell>
          <cell r="L337">
            <v>50000000</v>
          </cell>
          <cell r="M337">
            <v>100</v>
          </cell>
          <cell r="N337">
            <v>30</v>
          </cell>
          <cell r="O337">
            <v>0</v>
          </cell>
          <cell r="P337">
            <v>0</v>
          </cell>
        </row>
        <row r="338">
          <cell r="J338" t="str">
            <v>ACambio de DueñoIndividualResidencialUsadaApartamentoCOPA000000005000.00</v>
          </cell>
          <cell r="K338">
            <v>5000</v>
          </cell>
          <cell r="L338">
            <v>50000000</v>
          </cell>
          <cell r="M338">
            <v>100</v>
          </cell>
          <cell r="N338">
            <v>30</v>
          </cell>
          <cell r="O338">
            <v>0</v>
          </cell>
          <cell r="P338">
            <v>0</v>
          </cell>
        </row>
        <row r="339">
          <cell r="J339" t="str">
            <v>ACambio de DueñoIndividualResidencialUsadaApartamentoFERIA000000005000.00</v>
          </cell>
          <cell r="K339">
            <v>5000</v>
          </cell>
          <cell r="L339">
            <v>50000000</v>
          </cell>
          <cell r="M339">
            <v>100</v>
          </cell>
          <cell r="N339">
            <v>30</v>
          </cell>
          <cell r="O339">
            <v>0</v>
          </cell>
          <cell r="P339">
            <v>0</v>
          </cell>
        </row>
        <row r="340">
          <cell r="J340" t="str">
            <v>ACambio de DueñoIndividualResidencialUsadaCasaBG000000005000.00</v>
          </cell>
          <cell r="K340">
            <v>5000</v>
          </cell>
          <cell r="L340">
            <v>50000000</v>
          </cell>
          <cell r="M340">
            <v>100</v>
          </cell>
          <cell r="N340">
            <v>30</v>
          </cell>
          <cell r="O340">
            <v>0</v>
          </cell>
          <cell r="P340">
            <v>0</v>
          </cell>
        </row>
        <row r="341">
          <cell r="J341" t="str">
            <v>ACambio de DueñoIndividualResidencialUsadaCasaCOPA000000005000.00</v>
          </cell>
          <cell r="K341">
            <v>5000</v>
          </cell>
          <cell r="L341">
            <v>50000000</v>
          </cell>
          <cell r="M341">
            <v>100</v>
          </cell>
          <cell r="N341">
            <v>30</v>
          </cell>
          <cell r="O341">
            <v>0</v>
          </cell>
          <cell r="P341">
            <v>0</v>
          </cell>
        </row>
        <row r="342">
          <cell r="J342" t="str">
            <v>ACambio de DueñoIndividualResidencialUsadaCasaFERIA000000005000.00</v>
          </cell>
          <cell r="K342">
            <v>5000</v>
          </cell>
          <cell r="L342">
            <v>50000000</v>
          </cell>
          <cell r="M342">
            <v>100</v>
          </cell>
          <cell r="N342">
            <v>30</v>
          </cell>
          <cell r="O342">
            <v>0</v>
          </cell>
          <cell r="P342">
            <v>0</v>
          </cell>
        </row>
        <row r="343">
          <cell r="J343" t="str">
            <v>ACambio de DueñoLey PreferencialResidencialUsadaApartamentoBG000000005000.00</v>
          </cell>
          <cell r="K343">
            <v>5000</v>
          </cell>
          <cell r="L343">
            <v>120000</v>
          </cell>
          <cell r="M343">
            <v>100</v>
          </cell>
          <cell r="N343">
            <v>30</v>
          </cell>
          <cell r="O343">
            <v>0</v>
          </cell>
          <cell r="P343">
            <v>4.28</v>
          </cell>
        </row>
        <row r="344">
          <cell r="J344" t="str">
            <v>ACambio de DueñoLey PreferencialResidencialUsadaApartamentoCOPA000000005000.00</v>
          </cell>
          <cell r="K344">
            <v>5000</v>
          </cell>
          <cell r="L344">
            <v>120000</v>
          </cell>
          <cell r="M344">
            <v>100</v>
          </cell>
          <cell r="N344">
            <v>30</v>
          </cell>
          <cell r="O344">
            <v>0</v>
          </cell>
          <cell r="P344">
            <v>8.56</v>
          </cell>
        </row>
        <row r="345">
          <cell r="J345" t="str">
            <v>ACambio de DueñoLey PreferencialResidencialUsadaApartamentoFERIA000000005000.00</v>
          </cell>
          <cell r="K345">
            <v>5000</v>
          </cell>
          <cell r="L345">
            <v>120000</v>
          </cell>
          <cell r="M345">
            <v>100</v>
          </cell>
          <cell r="N345">
            <v>30</v>
          </cell>
          <cell r="O345">
            <v>0</v>
          </cell>
          <cell r="P345">
            <v>4.28</v>
          </cell>
        </row>
        <row r="346">
          <cell r="J346" t="str">
            <v>ACambio de DueñoLey PreferencialResidencialUsadaCasaBG000000005000.00</v>
          </cell>
          <cell r="K346">
            <v>5000</v>
          </cell>
          <cell r="L346">
            <v>120000</v>
          </cell>
          <cell r="M346">
            <v>100</v>
          </cell>
          <cell r="N346">
            <v>30</v>
          </cell>
          <cell r="O346">
            <v>0</v>
          </cell>
          <cell r="P346">
            <v>4.28</v>
          </cell>
        </row>
        <row r="347">
          <cell r="J347" t="str">
            <v>ACambio de DueñoLey PreferencialResidencialUsadaCasaCOPA000000005000.00</v>
          </cell>
          <cell r="K347">
            <v>5000</v>
          </cell>
          <cell r="L347">
            <v>120000</v>
          </cell>
          <cell r="M347">
            <v>100</v>
          </cell>
          <cell r="N347">
            <v>30</v>
          </cell>
          <cell r="O347">
            <v>0</v>
          </cell>
          <cell r="P347">
            <v>8.56</v>
          </cell>
        </row>
        <row r="348">
          <cell r="J348" t="str">
            <v>ACambio de DueñoLey PreferencialResidencialUsadaCasaFERIA000000005000.00</v>
          </cell>
          <cell r="K348">
            <v>5000</v>
          </cell>
          <cell r="L348">
            <v>120000</v>
          </cell>
          <cell r="M348">
            <v>100</v>
          </cell>
          <cell r="N348">
            <v>30</v>
          </cell>
          <cell r="O348">
            <v>0</v>
          </cell>
          <cell r="P348">
            <v>4.28</v>
          </cell>
        </row>
        <row r="349">
          <cell r="J349" t="str">
            <v>ACambio de Fiador SolidarioIndividualResidencialUsadaApartamentoBG000000005000.00</v>
          </cell>
          <cell r="K349">
            <v>5000</v>
          </cell>
          <cell r="L349">
            <v>50000000</v>
          </cell>
          <cell r="M349">
            <v>100</v>
          </cell>
          <cell r="N349">
            <v>30</v>
          </cell>
          <cell r="O349">
            <v>0</v>
          </cell>
          <cell r="P349">
            <v>0</v>
          </cell>
        </row>
        <row r="350">
          <cell r="J350" t="str">
            <v>ACambio de Fiador SolidarioIndividualResidencialUsadaApartamentoCOPA000000005000.00</v>
          </cell>
          <cell r="K350">
            <v>5000</v>
          </cell>
          <cell r="L350">
            <v>50000000</v>
          </cell>
          <cell r="M350">
            <v>100</v>
          </cell>
          <cell r="N350">
            <v>30</v>
          </cell>
          <cell r="O350">
            <v>0</v>
          </cell>
          <cell r="P350">
            <v>0</v>
          </cell>
        </row>
        <row r="351">
          <cell r="J351" t="str">
            <v>ACambio de Fiador SolidarioIndividualResidencialUsadaApartamentoFERIA000000005000.00</v>
          </cell>
          <cell r="K351">
            <v>5000</v>
          </cell>
          <cell r="L351">
            <v>50000000</v>
          </cell>
          <cell r="M351">
            <v>100</v>
          </cell>
          <cell r="N351">
            <v>30</v>
          </cell>
          <cell r="O351">
            <v>0</v>
          </cell>
          <cell r="P351">
            <v>0</v>
          </cell>
        </row>
        <row r="352">
          <cell r="J352" t="str">
            <v>ACambio de Fiador SolidarioIndividualResidencialUsadaCasaBG000000005000.00</v>
          </cell>
          <cell r="K352">
            <v>5000</v>
          </cell>
          <cell r="L352">
            <v>50000000</v>
          </cell>
          <cell r="M352">
            <v>100</v>
          </cell>
          <cell r="N352">
            <v>30</v>
          </cell>
          <cell r="O352">
            <v>0</v>
          </cell>
          <cell r="P352">
            <v>0</v>
          </cell>
        </row>
        <row r="353">
          <cell r="J353" t="str">
            <v>ACambio de Fiador SolidarioIndividualResidencialUsadaCasaCOPA000000005000.00</v>
          </cell>
          <cell r="K353">
            <v>5000</v>
          </cell>
          <cell r="L353">
            <v>50000000</v>
          </cell>
          <cell r="M353">
            <v>100</v>
          </cell>
          <cell r="N353">
            <v>30</v>
          </cell>
          <cell r="O353">
            <v>0</v>
          </cell>
          <cell r="P353">
            <v>0</v>
          </cell>
        </row>
        <row r="354">
          <cell r="J354" t="str">
            <v>ACambio de Fiador SolidarioIndividualResidencialUsadaCasaFERIA000000005000.00</v>
          </cell>
          <cell r="K354">
            <v>5000</v>
          </cell>
          <cell r="L354">
            <v>50000000</v>
          </cell>
          <cell r="M354">
            <v>100</v>
          </cell>
          <cell r="N354">
            <v>30</v>
          </cell>
          <cell r="O354">
            <v>0</v>
          </cell>
          <cell r="P354">
            <v>0</v>
          </cell>
        </row>
        <row r="355">
          <cell r="J355" t="str">
            <v>ACambio de Fiador SolidarioLey PreferencialResidencialUsadaApartamentoBG000000005000.00</v>
          </cell>
          <cell r="K355">
            <v>5000</v>
          </cell>
          <cell r="L355">
            <v>120000</v>
          </cell>
          <cell r="M355">
            <v>100</v>
          </cell>
          <cell r="N355">
            <v>30</v>
          </cell>
          <cell r="O355">
            <v>0</v>
          </cell>
          <cell r="P355">
            <v>4.28</v>
          </cell>
        </row>
        <row r="356">
          <cell r="J356" t="str">
            <v>ACambio de Fiador SolidarioLey PreferencialResidencialUsadaApartamentoCOPA000000005000.00</v>
          </cell>
          <cell r="K356">
            <v>5000</v>
          </cell>
          <cell r="L356">
            <v>120000</v>
          </cell>
          <cell r="M356">
            <v>100</v>
          </cell>
          <cell r="N356">
            <v>30</v>
          </cell>
          <cell r="O356">
            <v>0</v>
          </cell>
          <cell r="P356">
            <v>8.56</v>
          </cell>
        </row>
        <row r="357">
          <cell r="J357" t="str">
            <v>ACambio de Fiador SolidarioLey PreferencialResidencialUsadaApartamentoFERIA000000005000.00</v>
          </cell>
          <cell r="K357">
            <v>5000</v>
          </cell>
          <cell r="L357">
            <v>120000</v>
          </cell>
          <cell r="M357">
            <v>100</v>
          </cell>
          <cell r="N357">
            <v>30</v>
          </cell>
          <cell r="O357">
            <v>0</v>
          </cell>
          <cell r="P357">
            <v>4.28</v>
          </cell>
        </row>
        <row r="358">
          <cell r="J358" t="str">
            <v>ACambio de Fiador SolidarioLey PreferencialResidencialUsadaCasaBG000000005000.00</v>
          </cell>
          <cell r="K358">
            <v>5000</v>
          </cell>
          <cell r="L358">
            <v>120000</v>
          </cell>
          <cell r="M358">
            <v>100</v>
          </cell>
          <cell r="N358">
            <v>30</v>
          </cell>
          <cell r="O358">
            <v>0</v>
          </cell>
          <cell r="P358">
            <v>4.28</v>
          </cell>
        </row>
        <row r="359">
          <cell r="J359" t="str">
            <v>ACambio de Fiador SolidarioLey PreferencialResidencialUsadaCasaCOPA000000005000.00</v>
          </cell>
          <cell r="K359">
            <v>5000</v>
          </cell>
          <cell r="L359">
            <v>120000</v>
          </cell>
          <cell r="M359">
            <v>100</v>
          </cell>
          <cell r="N359">
            <v>30</v>
          </cell>
          <cell r="O359">
            <v>0</v>
          </cell>
          <cell r="P359">
            <v>8.56</v>
          </cell>
        </row>
        <row r="360">
          <cell r="J360" t="str">
            <v>ACambio de Fiador SolidarioLey PreferencialResidencialUsadaCasaFERIA000000005000.00</v>
          </cell>
          <cell r="K360">
            <v>5000</v>
          </cell>
          <cell r="L360">
            <v>120000</v>
          </cell>
          <cell r="M360">
            <v>100</v>
          </cell>
          <cell r="N360">
            <v>30</v>
          </cell>
          <cell r="O360">
            <v>0</v>
          </cell>
          <cell r="P360">
            <v>4.28</v>
          </cell>
        </row>
        <row r="361">
          <cell r="J361" t="str">
            <v>ACasa CashIndividualRefinanciamientoUsadaApartamentoBG000000030000.00</v>
          </cell>
          <cell r="K361">
            <v>30000</v>
          </cell>
          <cell r="L361">
            <v>250000</v>
          </cell>
          <cell r="M361">
            <v>90</v>
          </cell>
          <cell r="N361">
            <v>20</v>
          </cell>
          <cell r="O361">
            <v>6.25</v>
          </cell>
          <cell r="P361">
            <v>0</v>
          </cell>
        </row>
        <row r="362">
          <cell r="J362" t="str">
            <v>ACasa CashIndividualRefinanciamientoUsadaApartamentoBG000000250000.01</v>
          </cell>
          <cell r="K362">
            <v>250000.01</v>
          </cell>
          <cell r="L362">
            <v>500000</v>
          </cell>
          <cell r="M362">
            <v>80</v>
          </cell>
          <cell r="N362">
            <v>20</v>
          </cell>
          <cell r="O362">
            <v>6</v>
          </cell>
          <cell r="P362">
            <v>0</v>
          </cell>
        </row>
        <row r="363">
          <cell r="J363" t="str">
            <v>ACasa CashIndividualRefinanciamientoUsadaApartamentoBG000000500000.01</v>
          </cell>
          <cell r="K363">
            <v>500000.01</v>
          </cell>
          <cell r="L363">
            <v>99999999</v>
          </cell>
          <cell r="M363">
            <v>70</v>
          </cell>
          <cell r="N363">
            <v>20</v>
          </cell>
          <cell r="O363">
            <v>6</v>
          </cell>
          <cell r="P363">
            <v>0</v>
          </cell>
        </row>
        <row r="364">
          <cell r="J364" t="str">
            <v>ACasa CashIndividualRefinanciamientoUsadaApartamentoCOPA000000030000.00</v>
          </cell>
          <cell r="K364">
            <v>30000</v>
          </cell>
          <cell r="L364">
            <v>250000</v>
          </cell>
          <cell r="M364">
            <v>90</v>
          </cell>
          <cell r="N364">
            <v>20</v>
          </cell>
          <cell r="O364">
            <v>6.25</v>
          </cell>
          <cell r="P364">
            <v>0</v>
          </cell>
        </row>
        <row r="365">
          <cell r="J365" t="str">
            <v>ACasa CashIndividualRefinanciamientoUsadaApartamentoCOPA000000250000.01</v>
          </cell>
          <cell r="K365">
            <v>250000.01</v>
          </cell>
          <cell r="L365">
            <v>500000</v>
          </cell>
          <cell r="M365">
            <v>80</v>
          </cell>
          <cell r="N365">
            <v>20</v>
          </cell>
          <cell r="O365">
            <v>6</v>
          </cell>
          <cell r="P365">
            <v>0</v>
          </cell>
        </row>
        <row r="366">
          <cell r="J366" t="str">
            <v>ACasa CashIndividualRefinanciamientoUsadaApartamentoCOPA000000500000.01</v>
          </cell>
          <cell r="K366">
            <v>500000.01</v>
          </cell>
          <cell r="L366">
            <v>99999999</v>
          </cell>
          <cell r="M366">
            <v>70</v>
          </cell>
          <cell r="N366">
            <v>20</v>
          </cell>
          <cell r="O366">
            <v>6</v>
          </cell>
          <cell r="P366">
            <v>0</v>
          </cell>
        </row>
        <row r="367">
          <cell r="J367" t="str">
            <v>ACasa CashIndividualRefinanciamientoUsadaApartamentoFERIA000000030000.00</v>
          </cell>
          <cell r="K367">
            <v>30000</v>
          </cell>
          <cell r="L367">
            <v>250000</v>
          </cell>
          <cell r="M367">
            <v>90</v>
          </cell>
          <cell r="N367">
            <v>20</v>
          </cell>
          <cell r="O367">
            <v>6.25</v>
          </cell>
          <cell r="P367">
            <v>0</v>
          </cell>
        </row>
        <row r="368">
          <cell r="J368" t="str">
            <v>ACasa CashIndividualRefinanciamientoUsadaApartamentoFERIA000000250000.01</v>
          </cell>
          <cell r="K368">
            <v>250000.01</v>
          </cell>
          <cell r="L368">
            <v>500000</v>
          </cell>
          <cell r="M368">
            <v>90</v>
          </cell>
          <cell r="N368">
            <v>20</v>
          </cell>
          <cell r="O368">
            <v>6</v>
          </cell>
          <cell r="P368">
            <v>0</v>
          </cell>
        </row>
        <row r="369">
          <cell r="J369" t="str">
            <v>ACasa CashIndividualRefinanciamientoUsadaApartamentoFERIA000000500000.01</v>
          </cell>
          <cell r="K369">
            <v>500000.01</v>
          </cell>
          <cell r="L369">
            <v>99999999</v>
          </cell>
          <cell r="M369">
            <v>90</v>
          </cell>
          <cell r="N369">
            <v>20</v>
          </cell>
          <cell r="O369">
            <v>6</v>
          </cell>
          <cell r="P369">
            <v>0</v>
          </cell>
        </row>
        <row r="370">
          <cell r="J370" t="str">
            <v>ACasa CashIndividualRefinanciamientoUsadaCasaBG000000030000.00</v>
          </cell>
          <cell r="K370">
            <v>30000</v>
          </cell>
          <cell r="L370">
            <v>250000</v>
          </cell>
          <cell r="M370">
            <v>90</v>
          </cell>
          <cell r="N370">
            <v>20</v>
          </cell>
          <cell r="O370">
            <v>6.25</v>
          </cell>
          <cell r="P370">
            <v>0</v>
          </cell>
        </row>
        <row r="371">
          <cell r="J371" t="str">
            <v>ACasa CashIndividualRefinanciamientoUsadaCasaBG000000250000.01</v>
          </cell>
          <cell r="K371">
            <v>250000.01</v>
          </cell>
          <cell r="L371">
            <v>500000</v>
          </cell>
          <cell r="M371">
            <v>80</v>
          </cell>
          <cell r="N371">
            <v>20</v>
          </cell>
          <cell r="O371">
            <v>6</v>
          </cell>
          <cell r="P371">
            <v>0</v>
          </cell>
        </row>
        <row r="372">
          <cell r="J372" t="str">
            <v>ACasa CashIndividualRefinanciamientoUsadaCasaBG000000500000.01</v>
          </cell>
          <cell r="K372">
            <v>500000.01</v>
          </cell>
          <cell r="L372">
            <v>99999999</v>
          </cell>
          <cell r="M372">
            <v>70</v>
          </cell>
          <cell r="N372">
            <v>20</v>
          </cell>
          <cell r="O372">
            <v>6</v>
          </cell>
          <cell r="P372">
            <v>0</v>
          </cell>
        </row>
        <row r="373">
          <cell r="J373" t="str">
            <v>ACasa CashIndividualRefinanciamientoUsadaCasaCOPA000000030000.00</v>
          </cell>
          <cell r="K373">
            <v>30000</v>
          </cell>
          <cell r="L373">
            <v>250000</v>
          </cell>
          <cell r="M373">
            <v>90</v>
          </cell>
          <cell r="N373">
            <v>20</v>
          </cell>
          <cell r="O373">
            <v>6.25</v>
          </cell>
          <cell r="P373">
            <v>0</v>
          </cell>
        </row>
        <row r="374">
          <cell r="J374" t="str">
            <v>ACasa CashIndividualRefinanciamientoUsadaCasaCOPA000000250000.01</v>
          </cell>
          <cell r="K374">
            <v>250000.01</v>
          </cell>
          <cell r="L374">
            <v>500000</v>
          </cell>
          <cell r="M374">
            <v>80</v>
          </cell>
          <cell r="N374">
            <v>20</v>
          </cell>
          <cell r="O374">
            <v>6</v>
          </cell>
          <cell r="P374">
            <v>0</v>
          </cell>
        </row>
        <row r="375">
          <cell r="J375" t="str">
            <v>ACasa CashIndividualRefinanciamientoUsadaCasaCOPA000000500000.01</v>
          </cell>
          <cell r="K375">
            <v>500000.01</v>
          </cell>
          <cell r="L375">
            <v>99999999</v>
          </cell>
          <cell r="M375">
            <v>70</v>
          </cell>
          <cell r="N375">
            <v>20</v>
          </cell>
          <cell r="O375">
            <v>6</v>
          </cell>
          <cell r="P375">
            <v>0</v>
          </cell>
        </row>
        <row r="376">
          <cell r="J376" t="str">
            <v>ACasa CashIndividualRefinanciamientoUsadaCasaFERIA000000030000.00</v>
          </cell>
          <cell r="K376">
            <v>30000</v>
          </cell>
          <cell r="L376">
            <v>250000</v>
          </cell>
          <cell r="M376">
            <v>90</v>
          </cell>
          <cell r="N376">
            <v>20</v>
          </cell>
          <cell r="O376">
            <v>6.25</v>
          </cell>
          <cell r="P376">
            <v>0</v>
          </cell>
        </row>
        <row r="377">
          <cell r="J377" t="str">
            <v>ACasa CashIndividualRefinanciamientoUsadaCasaFERIA000000250000.01</v>
          </cell>
          <cell r="K377">
            <v>250000.01</v>
          </cell>
          <cell r="L377">
            <v>500000</v>
          </cell>
          <cell r="M377">
            <v>90</v>
          </cell>
          <cell r="N377">
            <v>20</v>
          </cell>
          <cell r="O377">
            <v>6</v>
          </cell>
          <cell r="P377">
            <v>0</v>
          </cell>
        </row>
        <row r="378">
          <cell r="J378" t="str">
            <v>ACasa CashIndividualRefinanciamientoUsadaCasaFERIA000000500000.01</v>
          </cell>
          <cell r="K378">
            <v>500000.01</v>
          </cell>
          <cell r="L378">
            <v>99999999</v>
          </cell>
          <cell r="M378">
            <v>90</v>
          </cell>
          <cell r="N378">
            <v>20</v>
          </cell>
          <cell r="O378">
            <v>6</v>
          </cell>
          <cell r="P378">
            <v>0</v>
          </cell>
        </row>
        <row r="379">
          <cell r="J379" t="str">
            <v>ACasa CashIndividualResidencialUsadaApartamentoBG000000030000.00</v>
          </cell>
          <cell r="K379">
            <v>30000</v>
          </cell>
          <cell r="L379">
            <v>250000</v>
          </cell>
          <cell r="M379">
            <v>90</v>
          </cell>
          <cell r="N379">
            <v>20</v>
          </cell>
          <cell r="O379">
            <v>6.25</v>
          </cell>
          <cell r="P379">
            <v>0</v>
          </cell>
        </row>
        <row r="380">
          <cell r="J380" t="str">
            <v>ACasa CashIndividualResidencialUsadaApartamentoBG000000250000.01</v>
          </cell>
          <cell r="K380">
            <v>250000.01</v>
          </cell>
          <cell r="L380">
            <v>500000</v>
          </cell>
          <cell r="M380">
            <v>80</v>
          </cell>
          <cell r="N380">
            <v>20</v>
          </cell>
          <cell r="O380">
            <v>6</v>
          </cell>
          <cell r="P380">
            <v>0</v>
          </cell>
        </row>
        <row r="381">
          <cell r="J381" t="str">
            <v>ACasa CashIndividualResidencialUsadaApartamentoBG000000500000.01</v>
          </cell>
          <cell r="K381">
            <v>500000.01</v>
          </cell>
          <cell r="L381">
            <v>99999999</v>
          </cell>
          <cell r="M381">
            <v>70</v>
          </cell>
          <cell r="N381">
            <v>20</v>
          </cell>
          <cell r="O381">
            <v>6</v>
          </cell>
          <cell r="P381">
            <v>0</v>
          </cell>
        </row>
        <row r="382">
          <cell r="J382" t="str">
            <v>ACasa CashIndividualResidencialUsadaApartamentoCOPA000000030000.00</v>
          </cell>
          <cell r="K382">
            <v>30000</v>
          </cell>
          <cell r="L382">
            <v>250000</v>
          </cell>
          <cell r="M382">
            <v>90</v>
          </cell>
          <cell r="N382">
            <v>20</v>
          </cell>
          <cell r="O382">
            <v>6.25</v>
          </cell>
          <cell r="P382">
            <v>0</v>
          </cell>
        </row>
        <row r="383">
          <cell r="J383" t="str">
            <v>ACasa CashIndividualResidencialUsadaApartamentoCOPA000000250000.01</v>
          </cell>
          <cell r="K383">
            <v>250000.01</v>
          </cell>
          <cell r="L383">
            <v>500000</v>
          </cell>
          <cell r="M383">
            <v>80</v>
          </cell>
          <cell r="N383">
            <v>20</v>
          </cell>
          <cell r="O383">
            <v>6</v>
          </cell>
          <cell r="P383">
            <v>0</v>
          </cell>
        </row>
        <row r="384">
          <cell r="J384" t="str">
            <v>ACasa CashIndividualResidencialUsadaApartamentoCOPA000000500000.01</v>
          </cell>
          <cell r="K384">
            <v>500000.01</v>
          </cell>
          <cell r="L384">
            <v>99999999</v>
          </cell>
          <cell r="M384">
            <v>70</v>
          </cell>
          <cell r="N384">
            <v>20</v>
          </cell>
          <cell r="O384">
            <v>6</v>
          </cell>
          <cell r="P384">
            <v>0</v>
          </cell>
        </row>
        <row r="385">
          <cell r="J385" t="str">
            <v>ACasa CashIndividualResidencialUsadaApartamentoFERIA000000030000.00</v>
          </cell>
          <cell r="K385">
            <v>30000</v>
          </cell>
          <cell r="L385">
            <v>250000</v>
          </cell>
          <cell r="M385">
            <v>90</v>
          </cell>
          <cell r="N385">
            <v>20</v>
          </cell>
          <cell r="O385">
            <v>6.25</v>
          </cell>
          <cell r="P385">
            <v>0</v>
          </cell>
        </row>
        <row r="386">
          <cell r="J386" t="str">
            <v>ACasa CashIndividualResidencialUsadaApartamentoFERIA000000250000.01</v>
          </cell>
          <cell r="K386">
            <v>250000.01</v>
          </cell>
          <cell r="L386">
            <v>500000</v>
          </cell>
          <cell r="M386">
            <v>90</v>
          </cell>
          <cell r="N386">
            <v>20</v>
          </cell>
          <cell r="O386">
            <v>6</v>
          </cell>
          <cell r="P386">
            <v>0</v>
          </cell>
        </row>
        <row r="387">
          <cell r="J387" t="str">
            <v>ACasa CashIndividualResidencialUsadaApartamentoFERIA000000500000.01</v>
          </cell>
          <cell r="K387">
            <v>500000.01</v>
          </cell>
          <cell r="L387">
            <v>99999999</v>
          </cell>
          <cell r="M387">
            <v>90</v>
          </cell>
          <cell r="N387">
            <v>20</v>
          </cell>
          <cell r="O387">
            <v>6</v>
          </cell>
          <cell r="P387">
            <v>0</v>
          </cell>
        </row>
        <row r="388">
          <cell r="J388" t="str">
            <v>ACasa CashIndividualResidencialUsadaCasaBG000000030000.00</v>
          </cell>
          <cell r="K388">
            <v>30000</v>
          </cell>
          <cell r="L388">
            <v>250000</v>
          </cell>
          <cell r="M388">
            <v>90</v>
          </cell>
          <cell r="N388">
            <v>20</v>
          </cell>
          <cell r="O388">
            <v>6.25</v>
          </cell>
          <cell r="P388">
            <v>0</v>
          </cell>
        </row>
        <row r="389">
          <cell r="J389" t="str">
            <v>ACasa CashIndividualResidencialUsadaCasaBG000000250000.01</v>
          </cell>
          <cell r="K389">
            <v>250000.01</v>
          </cell>
          <cell r="L389">
            <v>500000</v>
          </cell>
          <cell r="M389">
            <v>80</v>
          </cell>
          <cell r="N389">
            <v>20</v>
          </cell>
          <cell r="O389">
            <v>6</v>
          </cell>
          <cell r="P389">
            <v>0</v>
          </cell>
        </row>
        <row r="390">
          <cell r="J390" t="str">
            <v>ACasa CashIndividualResidencialUsadaCasaBG000000500000.01</v>
          </cell>
          <cell r="K390">
            <v>500000.01</v>
          </cell>
          <cell r="L390">
            <v>99999999</v>
          </cell>
          <cell r="M390">
            <v>70</v>
          </cell>
          <cell r="N390">
            <v>20</v>
          </cell>
          <cell r="O390">
            <v>6</v>
          </cell>
          <cell r="P390">
            <v>0</v>
          </cell>
        </row>
        <row r="391">
          <cell r="J391" t="str">
            <v>ACasa CashIndividualResidencialUsadaCasaCOPA000000030000.00</v>
          </cell>
          <cell r="K391">
            <v>30000</v>
          </cell>
          <cell r="L391">
            <v>250000</v>
          </cell>
          <cell r="M391">
            <v>90</v>
          </cell>
          <cell r="N391">
            <v>20</v>
          </cell>
          <cell r="O391">
            <v>6.25</v>
          </cell>
          <cell r="P391">
            <v>0</v>
          </cell>
        </row>
        <row r="392">
          <cell r="J392" t="str">
            <v>ACasa CashIndividualResidencialUsadaCasaCOPA000000250000.01</v>
          </cell>
          <cell r="K392">
            <v>250000.01</v>
          </cell>
          <cell r="L392">
            <v>500000</v>
          </cell>
          <cell r="M392">
            <v>80</v>
          </cell>
          <cell r="N392">
            <v>20</v>
          </cell>
          <cell r="O392">
            <v>6</v>
          </cell>
          <cell r="P392">
            <v>0</v>
          </cell>
        </row>
        <row r="393">
          <cell r="J393" t="str">
            <v>ACasa CashIndividualResidencialUsadaCasaCOPA000000500000.01</v>
          </cell>
          <cell r="K393">
            <v>500000.01</v>
          </cell>
          <cell r="L393">
            <v>99999999</v>
          </cell>
          <cell r="M393">
            <v>70</v>
          </cell>
          <cell r="N393">
            <v>20</v>
          </cell>
          <cell r="O393">
            <v>6</v>
          </cell>
          <cell r="P393">
            <v>0</v>
          </cell>
        </row>
        <row r="394">
          <cell r="J394" t="str">
            <v>ACasa CashIndividualResidencialUsadaCasaFERIA000000030000.00</v>
          </cell>
          <cell r="K394">
            <v>30000</v>
          </cell>
          <cell r="L394">
            <v>250000</v>
          </cell>
          <cell r="M394">
            <v>90</v>
          </cell>
          <cell r="N394">
            <v>20</v>
          </cell>
          <cell r="O394">
            <v>6.25</v>
          </cell>
          <cell r="P394">
            <v>0</v>
          </cell>
        </row>
        <row r="395">
          <cell r="J395" t="str">
            <v>ACasa CashIndividualResidencialUsadaCasaFERIA000000250000.01</v>
          </cell>
          <cell r="K395">
            <v>250000.01</v>
          </cell>
          <cell r="L395">
            <v>500000</v>
          </cell>
          <cell r="M395">
            <v>90</v>
          </cell>
          <cell r="N395">
            <v>20</v>
          </cell>
          <cell r="O395">
            <v>6</v>
          </cell>
          <cell r="P395">
            <v>0</v>
          </cell>
        </row>
        <row r="396">
          <cell r="J396" t="str">
            <v>ACasa CashIndividualResidencialUsadaCasaFERIA000000500000.01</v>
          </cell>
          <cell r="K396">
            <v>500000.01</v>
          </cell>
          <cell r="L396">
            <v>99999999</v>
          </cell>
          <cell r="M396">
            <v>90</v>
          </cell>
          <cell r="N396">
            <v>20</v>
          </cell>
          <cell r="O396">
            <v>6</v>
          </cell>
          <cell r="P396">
            <v>0</v>
          </cell>
        </row>
        <row r="397">
          <cell r="J397" t="str">
            <v>ACasa CashIndividualSegunda HipotecaUsadaApartamentoBG000000030000.00</v>
          </cell>
          <cell r="K397">
            <v>30000</v>
          </cell>
          <cell r="L397">
            <v>250000</v>
          </cell>
          <cell r="M397">
            <v>90</v>
          </cell>
          <cell r="N397">
            <v>20</v>
          </cell>
          <cell r="O397">
            <v>6.25</v>
          </cell>
          <cell r="P397">
            <v>0</v>
          </cell>
        </row>
        <row r="398">
          <cell r="J398" t="str">
            <v>ACasa CashIndividualSegunda HipotecaUsadaApartamentoBG000000250000.01</v>
          </cell>
          <cell r="K398">
            <v>250000.01</v>
          </cell>
          <cell r="L398">
            <v>500000</v>
          </cell>
          <cell r="M398">
            <v>80</v>
          </cell>
          <cell r="N398">
            <v>20</v>
          </cell>
          <cell r="O398">
            <v>6</v>
          </cell>
          <cell r="P398">
            <v>0</v>
          </cell>
        </row>
        <row r="399">
          <cell r="J399" t="str">
            <v>ACasa CashIndividualSegunda HipotecaUsadaApartamentoBG000000500000.01</v>
          </cell>
          <cell r="K399">
            <v>500000.01</v>
          </cell>
          <cell r="L399">
            <v>99999999</v>
          </cell>
          <cell r="M399">
            <v>70</v>
          </cell>
          <cell r="N399">
            <v>20</v>
          </cell>
          <cell r="O399">
            <v>6</v>
          </cell>
          <cell r="P399">
            <v>0</v>
          </cell>
        </row>
        <row r="400">
          <cell r="J400" t="str">
            <v>ACasa CashIndividualSegunda HipotecaUsadaApartamentoCOPA000000030000.00</v>
          </cell>
          <cell r="K400">
            <v>30000</v>
          </cell>
          <cell r="L400">
            <v>250000</v>
          </cell>
          <cell r="M400">
            <v>90</v>
          </cell>
          <cell r="N400">
            <v>20</v>
          </cell>
          <cell r="O400">
            <v>6.25</v>
          </cell>
          <cell r="P400">
            <v>0</v>
          </cell>
        </row>
        <row r="401">
          <cell r="J401" t="str">
            <v>ACasa CashIndividualSegunda HipotecaUsadaApartamentoCOPA000000250000.01</v>
          </cell>
          <cell r="K401">
            <v>250000.01</v>
          </cell>
          <cell r="L401">
            <v>500000</v>
          </cell>
          <cell r="M401">
            <v>80</v>
          </cell>
          <cell r="N401">
            <v>20</v>
          </cell>
          <cell r="O401">
            <v>6</v>
          </cell>
          <cell r="P401">
            <v>0</v>
          </cell>
        </row>
        <row r="402">
          <cell r="J402" t="str">
            <v>ACasa CashIndividualSegunda HipotecaUsadaApartamentoCOPA000000500000.01</v>
          </cell>
          <cell r="K402">
            <v>500000.01</v>
          </cell>
          <cell r="L402">
            <v>99999999</v>
          </cell>
          <cell r="M402">
            <v>70</v>
          </cell>
          <cell r="N402">
            <v>20</v>
          </cell>
          <cell r="O402">
            <v>6</v>
          </cell>
          <cell r="P402">
            <v>0</v>
          </cell>
        </row>
        <row r="403">
          <cell r="J403" t="str">
            <v>ACasa CashIndividualSegunda HipotecaUsadaApartamentoFERIA000000030000.00</v>
          </cell>
          <cell r="K403">
            <v>30000</v>
          </cell>
          <cell r="L403">
            <v>250000</v>
          </cell>
          <cell r="M403">
            <v>90</v>
          </cell>
          <cell r="N403">
            <v>20</v>
          </cell>
          <cell r="O403">
            <v>6.25</v>
          </cell>
          <cell r="P403">
            <v>0</v>
          </cell>
        </row>
        <row r="404">
          <cell r="J404" t="str">
            <v>ACasa CashIndividualSegunda HipotecaUsadaApartamentoFERIA000000250000.01</v>
          </cell>
          <cell r="K404">
            <v>250000.01</v>
          </cell>
          <cell r="L404">
            <v>500000</v>
          </cell>
          <cell r="M404">
            <v>90</v>
          </cell>
          <cell r="N404">
            <v>20</v>
          </cell>
          <cell r="O404">
            <v>6</v>
          </cell>
          <cell r="P404">
            <v>0</v>
          </cell>
        </row>
        <row r="405">
          <cell r="J405" t="str">
            <v>ACasa CashIndividualSegunda HipotecaUsadaApartamentoFERIA000000500000.01</v>
          </cell>
          <cell r="K405">
            <v>500000.01</v>
          </cell>
          <cell r="L405">
            <v>99999999</v>
          </cell>
          <cell r="M405">
            <v>90</v>
          </cell>
          <cell r="N405">
            <v>20</v>
          </cell>
          <cell r="O405">
            <v>6</v>
          </cell>
          <cell r="P405">
            <v>0</v>
          </cell>
        </row>
        <row r="406">
          <cell r="J406" t="str">
            <v>ACasa CashIndividualSegunda HipotecaUsadaCasaBG000000030000.00</v>
          </cell>
          <cell r="K406">
            <v>30000</v>
          </cell>
          <cell r="L406">
            <v>250000</v>
          </cell>
          <cell r="M406">
            <v>90</v>
          </cell>
          <cell r="N406">
            <v>20</v>
          </cell>
          <cell r="O406">
            <v>6.25</v>
          </cell>
          <cell r="P406">
            <v>0</v>
          </cell>
        </row>
        <row r="407">
          <cell r="J407" t="str">
            <v>ACasa CashIndividualSegunda HipotecaUsadaCasaBG000000250000.01</v>
          </cell>
          <cell r="K407">
            <v>250000.01</v>
          </cell>
          <cell r="L407">
            <v>500000</v>
          </cell>
          <cell r="M407">
            <v>80</v>
          </cell>
          <cell r="N407">
            <v>20</v>
          </cell>
          <cell r="O407">
            <v>6</v>
          </cell>
          <cell r="P407">
            <v>0</v>
          </cell>
        </row>
        <row r="408">
          <cell r="J408" t="str">
            <v>ACasa CashIndividualSegunda HipotecaUsadaCasaBG000000500000.01</v>
          </cell>
          <cell r="K408">
            <v>500000.01</v>
          </cell>
          <cell r="L408">
            <v>99999999</v>
          </cell>
          <cell r="M408">
            <v>70</v>
          </cell>
          <cell r="N408">
            <v>20</v>
          </cell>
          <cell r="O408">
            <v>6</v>
          </cell>
          <cell r="P408">
            <v>0</v>
          </cell>
        </row>
        <row r="409">
          <cell r="J409" t="str">
            <v>ACasa CashIndividualSegunda HipotecaUsadaCasaCOPA000000030000.00</v>
          </cell>
          <cell r="K409">
            <v>30000</v>
          </cell>
          <cell r="L409">
            <v>250000</v>
          </cell>
          <cell r="M409">
            <v>90</v>
          </cell>
          <cell r="N409">
            <v>20</v>
          </cell>
          <cell r="O409">
            <v>6.25</v>
          </cell>
          <cell r="P409">
            <v>0</v>
          </cell>
        </row>
        <row r="410">
          <cell r="J410" t="str">
            <v>ACasa CashIndividualSegunda HipotecaUsadaCasaCOPA000000250000.01</v>
          </cell>
          <cell r="K410">
            <v>250000.01</v>
          </cell>
          <cell r="L410">
            <v>500000</v>
          </cell>
          <cell r="M410">
            <v>80</v>
          </cell>
          <cell r="N410">
            <v>20</v>
          </cell>
          <cell r="O410">
            <v>6</v>
          </cell>
          <cell r="P410">
            <v>0</v>
          </cell>
        </row>
        <row r="411">
          <cell r="J411" t="str">
            <v>ACasa CashIndividualSegunda HipotecaUsadaCasaCOPA000000500000.01</v>
          </cell>
          <cell r="K411">
            <v>500000.01</v>
          </cell>
          <cell r="L411">
            <v>99999999</v>
          </cell>
          <cell r="M411">
            <v>70</v>
          </cell>
          <cell r="N411">
            <v>20</v>
          </cell>
          <cell r="O411">
            <v>6</v>
          </cell>
          <cell r="P411">
            <v>0</v>
          </cell>
        </row>
        <row r="412">
          <cell r="J412" t="str">
            <v>ACasa CashIndividualSegunda HipotecaUsadaCasaFERIA000000030000.00</v>
          </cell>
          <cell r="K412">
            <v>30000</v>
          </cell>
          <cell r="L412">
            <v>250000</v>
          </cell>
          <cell r="M412">
            <v>90</v>
          </cell>
          <cell r="N412">
            <v>20</v>
          </cell>
          <cell r="O412">
            <v>6.25</v>
          </cell>
          <cell r="P412">
            <v>0</v>
          </cell>
        </row>
        <row r="413">
          <cell r="J413" t="str">
            <v>ACasa CashIndividualSegunda HipotecaUsadaCasaFERIA000000250000.01</v>
          </cell>
          <cell r="K413">
            <v>250000.01</v>
          </cell>
          <cell r="L413">
            <v>500000</v>
          </cell>
          <cell r="M413">
            <v>90</v>
          </cell>
          <cell r="N413">
            <v>20</v>
          </cell>
          <cell r="O413">
            <v>6</v>
          </cell>
          <cell r="P413">
            <v>0</v>
          </cell>
        </row>
        <row r="414">
          <cell r="J414" t="str">
            <v>ACasa CashIndividualSegunda HipotecaUsadaCasaFERIA000000500000.01</v>
          </cell>
          <cell r="K414">
            <v>500000.01</v>
          </cell>
          <cell r="L414">
            <v>99999999</v>
          </cell>
          <cell r="M414">
            <v>90</v>
          </cell>
          <cell r="N414">
            <v>20</v>
          </cell>
          <cell r="O414">
            <v>6</v>
          </cell>
          <cell r="P414">
            <v>0</v>
          </cell>
        </row>
        <row r="415">
          <cell r="J415" t="str">
            <v>ACompra de ViviendaCasco AntiguoResidencialNuevaApartamentoBG000000030000.00</v>
          </cell>
          <cell r="K415">
            <v>30000</v>
          </cell>
          <cell r="L415">
            <v>99999999</v>
          </cell>
          <cell r="M415">
            <v>80</v>
          </cell>
          <cell r="N415">
            <v>30</v>
          </cell>
          <cell r="O415">
            <v>3.25</v>
          </cell>
          <cell r="P415">
            <v>8.56</v>
          </cell>
        </row>
        <row r="416">
          <cell r="J416" t="str">
            <v>ACompra de ViviendaCasco AntiguoResidencialNuevaApartamentoCOPA000000030000.00</v>
          </cell>
          <cell r="K416">
            <v>30000</v>
          </cell>
          <cell r="L416">
            <v>99999999</v>
          </cell>
          <cell r="M416">
            <v>80</v>
          </cell>
          <cell r="N416">
            <v>30</v>
          </cell>
          <cell r="O416">
            <v>3.25</v>
          </cell>
          <cell r="P416">
            <v>4.28</v>
          </cell>
        </row>
        <row r="417">
          <cell r="J417" t="str">
            <v>ACompra de ViviendaCasco AntiguoResidencialNuevaApartamentoFERIA000000030000.00</v>
          </cell>
          <cell r="K417">
            <v>30000</v>
          </cell>
          <cell r="L417">
            <v>99999999</v>
          </cell>
          <cell r="M417">
            <v>80</v>
          </cell>
          <cell r="N417">
            <v>30</v>
          </cell>
          <cell r="O417">
            <v>3.25</v>
          </cell>
          <cell r="P417">
            <v>4.28</v>
          </cell>
        </row>
        <row r="418">
          <cell r="J418" t="str">
            <v>ACompra de ViviendaCasco AntiguoResidencialNuevaCasaBG000000030000.00</v>
          </cell>
          <cell r="K418">
            <v>30000</v>
          </cell>
          <cell r="L418">
            <v>99999999</v>
          </cell>
          <cell r="M418">
            <v>80</v>
          </cell>
          <cell r="N418">
            <v>30</v>
          </cell>
          <cell r="O418">
            <v>3.25</v>
          </cell>
          <cell r="P418">
            <v>8.56</v>
          </cell>
        </row>
        <row r="419">
          <cell r="J419" t="str">
            <v>ACompra de ViviendaCasco AntiguoResidencialNuevaCasaCOPA000000030000.00</v>
          </cell>
          <cell r="K419">
            <v>30000</v>
          </cell>
          <cell r="L419">
            <v>99999999</v>
          </cell>
          <cell r="M419">
            <v>80</v>
          </cell>
          <cell r="N419">
            <v>30</v>
          </cell>
          <cell r="O419">
            <v>3.25</v>
          </cell>
          <cell r="P419">
            <v>4.28</v>
          </cell>
        </row>
        <row r="420">
          <cell r="J420" t="str">
            <v>ACompra de ViviendaCasco AntiguoResidencialNuevaCasaFERIA000000030000.00</v>
          </cell>
          <cell r="K420">
            <v>30000</v>
          </cell>
          <cell r="L420">
            <v>99999999</v>
          </cell>
          <cell r="M420">
            <v>80</v>
          </cell>
          <cell r="N420">
            <v>30</v>
          </cell>
          <cell r="O420">
            <v>3.25</v>
          </cell>
          <cell r="P420">
            <v>4.28</v>
          </cell>
        </row>
        <row r="421">
          <cell r="J421" t="str">
            <v>ACompra de ViviendaCasco AntiguoResidencialUsadaApartamentoBG000000030000.00</v>
          </cell>
          <cell r="K421">
            <v>30000</v>
          </cell>
          <cell r="L421">
            <v>99999999</v>
          </cell>
          <cell r="M421">
            <v>80</v>
          </cell>
          <cell r="N421">
            <v>30</v>
          </cell>
          <cell r="O421">
            <v>3.25</v>
          </cell>
          <cell r="P421">
            <v>8.56</v>
          </cell>
        </row>
        <row r="422">
          <cell r="J422" t="str">
            <v>ACompra de ViviendaCasco AntiguoResidencialUsadaApartamentoCOPA000000030000.00</v>
          </cell>
          <cell r="K422">
            <v>30000</v>
          </cell>
          <cell r="L422">
            <v>99999999</v>
          </cell>
          <cell r="M422">
            <v>80</v>
          </cell>
          <cell r="N422">
            <v>30</v>
          </cell>
          <cell r="O422">
            <v>3.25</v>
          </cell>
          <cell r="P422">
            <v>4.28</v>
          </cell>
        </row>
        <row r="423">
          <cell r="J423" t="str">
            <v>ACompra de ViviendaCasco AntiguoResidencialUsadaApartamentoFERIA000000030000.00</v>
          </cell>
          <cell r="K423">
            <v>30000</v>
          </cell>
          <cell r="L423">
            <v>99999999</v>
          </cell>
          <cell r="M423">
            <v>80</v>
          </cell>
          <cell r="N423">
            <v>30</v>
          </cell>
          <cell r="O423">
            <v>3.25</v>
          </cell>
          <cell r="P423">
            <v>4.28</v>
          </cell>
        </row>
        <row r="424">
          <cell r="J424" t="str">
            <v>ACompra de ViviendaCasco AntiguoResidencialUsadaCasaBG000000030000.00</v>
          </cell>
          <cell r="K424">
            <v>30000</v>
          </cell>
          <cell r="L424">
            <v>99999999</v>
          </cell>
          <cell r="M424">
            <v>80</v>
          </cell>
          <cell r="N424">
            <v>30</v>
          </cell>
          <cell r="O424">
            <v>3.25</v>
          </cell>
          <cell r="P424">
            <v>8.56</v>
          </cell>
        </row>
        <row r="425">
          <cell r="J425" t="str">
            <v>ACompra de ViviendaCasco AntiguoResidencialUsadaCasaCOPA000000030000.00</v>
          </cell>
          <cell r="K425">
            <v>30000</v>
          </cell>
          <cell r="L425">
            <v>99999999</v>
          </cell>
          <cell r="M425">
            <v>80</v>
          </cell>
          <cell r="N425">
            <v>30</v>
          </cell>
          <cell r="O425">
            <v>3.25</v>
          </cell>
          <cell r="P425">
            <v>4.28</v>
          </cell>
        </row>
        <row r="426">
          <cell r="J426" t="str">
            <v>ACompra de ViviendaCasco AntiguoResidencialUsadaCasaFERIA000000030000.00</v>
          </cell>
          <cell r="K426">
            <v>30000</v>
          </cell>
          <cell r="L426">
            <v>99999999</v>
          </cell>
          <cell r="M426">
            <v>80</v>
          </cell>
          <cell r="N426">
            <v>30</v>
          </cell>
          <cell r="O426">
            <v>3.25</v>
          </cell>
          <cell r="P426">
            <v>4.28</v>
          </cell>
        </row>
        <row r="427">
          <cell r="J427" t="str">
            <v>ACompra de ViviendaIndividualReposeído (BG)UsadaApartamentoBG000000040000.00</v>
          </cell>
          <cell r="K427">
            <v>40000</v>
          </cell>
          <cell r="L427">
            <v>250000</v>
          </cell>
          <cell r="M427">
            <v>98</v>
          </cell>
          <cell r="N427">
            <v>30</v>
          </cell>
          <cell r="O427">
            <v>5.5</v>
          </cell>
          <cell r="P427">
            <v>0</v>
          </cell>
        </row>
        <row r="428">
          <cell r="J428" t="str">
            <v>ACompra de ViviendaIndividualReposeído (BG)UsadaApartamentoBG000000250000.01</v>
          </cell>
          <cell r="K428">
            <v>250000.01</v>
          </cell>
          <cell r="L428">
            <v>500000</v>
          </cell>
          <cell r="M428">
            <v>90</v>
          </cell>
          <cell r="N428">
            <v>30</v>
          </cell>
          <cell r="O428">
            <v>5.5</v>
          </cell>
          <cell r="P428">
            <v>0</v>
          </cell>
        </row>
        <row r="429">
          <cell r="J429" t="str">
            <v>ACompra de ViviendaIndividualReposeído (BG)UsadaApartamentoBG000000500000.01</v>
          </cell>
          <cell r="K429">
            <v>500000.01</v>
          </cell>
          <cell r="L429">
            <v>99999999</v>
          </cell>
          <cell r="M429">
            <v>70</v>
          </cell>
          <cell r="N429">
            <v>30</v>
          </cell>
          <cell r="O429">
            <v>5.25</v>
          </cell>
          <cell r="P429">
            <v>0</v>
          </cell>
        </row>
        <row r="430">
          <cell r="J430" t="str">
            <v>ACompra de ViviendaIndividualReposeído (BG)UsadaApartamentoCOPA000000030000.00</v>
          </cell>
          <cell r="K430">
            <v>30000</v>
          </cell>
          <cell r="L430">
            <v>250000</v>
          </cell>
          <cell r="M430">
            <v>98</v>
          </cell>
          <cell r="N430">
            <v>30</v>
          </cell>
          <cell r="O430">
            <v>5.5</v>
          </cell>
          <cell r="P430">
            <v>0</v>
          </cell>
        </row>
        <row r="431">
          <cell r="J431" t="str">
            <v>ACompra de ViviendaIndividualReposeído (BG)UsadaApartamentoCOPA000000250000.01</v>
          </cell>
          <cell r="K431">
            <v>250000.01</v>
          </cell>
          <cell r="L431">
            <v>500000</v>
          </cell>
          <cell r="M431">
            <v>90</v>
          </cell>
          <cell r="N431">
            <v>30</v>
          </cell>
          <cell r="O431">
            <v>5.5</v>
          </cell>
          <cell r="P431">
            <v>0</v>
          </cell>
        </row>
        <row r="432">
          <cell r="J432" t="str">
            <v>ACompra de ViviendaIndividualReposeído (BG)UsadaApartamentoCOPA000000500000.01</v>
          </cell>
          <cell r="K432">
            <v>500000.01</v>
          </cell>
          <cell r="L432">
            <v>99999999</v>
          </cell>
          <cell r="M432">
            <v>70</v>
          </cell>
          <cell r="N432">
            <v>30</v>
          </cell>
          <cell r="O432">
            <v>5.25</v>
          </cell>
          <cell r="P432">
            <v>0</v>
          </cell>
        </row>
        <row r="433">
          <cell r="J433" t="str">
            <v>ACompra de ViviendaIndividualReposeído (BG)UsadaApartamentoFERIA000000030000.00</v>
          </cell>
          <cell r="K433">
            <v>30000</v>
          </cell>
          <cell r="L433">
            <v>250000</v>
          </cell>
          <cell r="M433">
            <v>98</v>
          </cell>
          <cell r="N433">
            <v>30</v>
          </cell>
          <cell r="O433">
            <v>5.5</v>
          </cell>
          <cell r="P433">
            <v>0</v>
          </cell>
        </row>
        <row r="434">
          <cell r="J434" t="str">
            <v>ACompra de ViviendaIndividualReposeído (BG)UsadaApartamentoFERIA000000250000.01</v>
          </cell>
          <cell r="K434">
            <v>250000.01</v>
          </cell>
          <cell r="L434">
            <v>500000</v>
          </cell>
          <cell r="M434">
            <v>95</v>
          </cell>
          <cell r="N434">
            <v>30</v>
          </cell>
          <cell r="O434">
            <v>5.5</v>
          </cell>
          <cell r="P434">
            <v>0</v>
          </cell>
        </row>
        <row r="435">
          <cell r="J435" t="str">
            <v>ACompra de ViviendaIndividualReposeído (BG)UsadaApartamentoFERIA000000500000.01</v>
          </cell>
          <cell r="K435">
            <v>500000.01</v>
          </cell>
          <cell r="L435">
            <v>99999999</v>
          </cell>
          <cell r="M435">
            <v>95</v>
          </cell>
          <cell r="N435">
            <v>30</v>
          </cell>
          <cell r="O435">
            <v>5.25</v>
          </cell>
          <cell r="P435">
            <v>0</v>
          </cell>
        </row>
        <row r="436">
          <cell r="J436" t="str">
            <v>ACompra de ViviendaIndividualReposeído (BG)UsadaCasaBG000000040000.00</v>
          </cell>
          <cell r="K436">
            <v>40000</v>
          </cell>
          <cell r="L436">
            <v>250000</v>
          </cell>
          <cell r="M436">
            <v>98</v>
          </cell>
          <cell r="N436">
            <v>30</v>
          </cell>
          <cell r="O436">
            <v>5.5</v>
          </cell>
          <cell r="P436">
            <v>0</v>
          </cell>
        </row>
        <row r="437">
          <cell r="J437" t="str">
            <v>ACompra de ViviendaIndividualReposeído (BG)UsadaCasaBG000000250000.01</v>
          </cell>
          <cell r="K437">
            <v>250000.01</v>
          </cell>
          <cell r="L437">
            <v>500000</v>
          </cell>
          <cell r="M437">
            <v>90</v>
          </cell>
          <cell r="N437">
            <v>30</v>
          </cell>
          <cell r="O437">
            <v>5.5</v>
          </cell>
          <cell r="P437">
            <v>0</v>
          </cell>
        </row>
        <row r="438">
          <cell r="J438" t="str">
            <v>ACompra de ViviendaIndividualReposeído (BG)UsadaCasaBG000000500000.01</v>
          </cell>
          <cell r="K438">
            <v>500000.01</v>
          </cell>
          <cell r="L438">
            <v>99999999</v>
          </cell>
          <cell r="M438">
            <v>70</v>
          </cell>
          <cell r="N438">
            <v>30</v>
          </cell>
          <cell r="O438">
            <v>5.25</v>
          </cell>
          <cell r="P438">
            <v>0</v>
          </cell>
        </row>
        <row r="439">
          <cell r="J439" t="str">
            <v>ACompra de ViviendaIndividualReposeído (BG)UsadaCasaCOPA000000030000.00</v>
          </cell>
          <cell r="K439">
            <v>30000</v>
          </cell>
          <cell r="L439">
            <v>250000</v>
          </cell>
          <cell r="M439">
            <v>98</v>
          </cell>
          <cell r="N439">
            <v>30</v>
          </cell>
          <cell r="O439">
            <v>5.5</v>
          </cell>
          <cell r="P439">
            <v>0</v>
          </cell>
        </row>
        <row r="440">
          <cell r="J440" t="str">
            <v>ACompra de ViviendaIndividualReposeído (BG)UsadaCasaCOPA000000250000.01</v>
          </cell>
          <cell r="K440">
            <v>250000.01</v>
          </cell>
          <cell r="L440">
            <v>500000</v>
          </cell>
          <cell r="M440">
            <v>90</v>
          </cell>
          <cell r="N440">
            <v>30</v>
          </cell>
          <cell r="O440">
            <v>5.5</v>
          </cell>
          <cell r="P440">
            <v>0</v>
          </cell>
        </row>
        <row r="441">
          <cell r="J441" t="str">
            <v>ACompra de ViviendaIndividualReposeído (BG)UsadaCasaCOPA000000500000.01</v>
          </cell>
          <cell r="K441">
            <v>500000.01</v>
          </cell>
          <cell r="L441">
            <v>99999999</v>
          </cell>
          <cell r="M441">
            <v>70</v>
          </cell>
          <cell r="N441">
            <v>30</v>
          </cell>
          <cell r="O441">
            <v>5.25</v>
          </cell>
          <cell r="P441">
            <v>0</v>
          </cell>
        </row>
        <row r="442">
          <cell r="J442" t="str">
            <v>ACompra de ViviendaIndividualReposeído (BG)UsadaCasaFERIA000000030000.00</v>
          </cell>
          <cell r="K442">
            <v>30000</v>
          </cell>
          <cell r="L442">
            <v>250000</v>
          </cell>
          <cell r="M442">
            <v>98</v>
          </cell>
          <cell r="N442">
            <v>30</v>
          </cell>
          <cell r="O442">
            <v>5.5</v>
          </cell>
          <cell r="P442">
            <v>0</v>
          </cell>
        </row>
        <row r="443">
          <cell r="J443" t="str">
            <v>ACompra de ViviendaIndividualReposeído (BG)UsadaCasaFERIA000000250000.01</v>
          </cell>
          <cell r="K443">
            <v>250000.01</v>
          </cell>
          <cell r="L443">
            <v>500000</v>
          </cell>
          <cell r="M443">
            <v>95</v>
          </cell>
          <cell r="N443">
            <v>30</v>
          </cell>
          <cell r="O443">
            <v>5.5</v>
          </cell>
          <cell r="P443">
            <v>0</v>
          </cell>
        </row>
        <row r="444">
          <cell r="J444" t="str">
            <v>ACompra de ViviendaIndividualReposeído (BG)UsadaCasaFERIA000000500000.01</v>
          </cell>
          <cell r="K444">
            <v>500000.01</v>
          </cell>
          <cell r="L444">
            <v>99999999</v>
          </cell>
          <cell r="M444">
            <v>95</v>
          </cell>
          <cell r="N444">
            <v>30</v>
          </cell>
          <cell r="O444">
            <v>5.25</v>
          </cell>
          <cell r="P444">
            <v>0</v>
          </cell>
        </row>
        <row r="445">
          <cell r="J445" t="str">
            <v>ACompra de ViviendaIndividualResidencialNuevaApartamentoBG000000040000.00</v>
          </cell>
          <cell r="K445">
            <v>40000</v>
          </cell>
          <cell r="L445">
            <v>100000</v>
          </cell>
          <cell r="M445">
            <v>95</v>
          </cell>
          <cell r="N445">
            <v>30</v>
          </cell>
          <cell r="O445">
            <v>5.75</v>
          </cell>
          <cell r="P445">
            <v>0</v>
          </cell>
        </row>
        <row r="446">
          <cell r="J446" t="str">
            <v>ACompra de ViviendaIndividualResidencialNuevaApartamentoBG000000100000.01</v>
          </cell>
          <cell r="K446">
            <v>100000.01</v>
          </cell>
          <cell r="L446">
            <v>250000</v>
          </cell>
          <cell r="M446">
            <v>90</v>
          </cell>
          <cell r="N446">
            <v>30</v>
          </cell>
          <cell r="O446">
            <v>5.75</v>
          </cell>
          <cell r="P446">
            <v>0</v>
          </cell>
        </row>
        <row r="447">
          <cell r="J447" t="str">
            <v>ACompra de ViviendaIndividualResidencialNuevaApartamentoBG000000250000.01</v>
          </cell>
          <cell r="K447">
            <v>250000.01</v>
          </cell>
          <cell r="L447">
            <v>600000</v>
          </cell>
          <cell r="M447">
            <v>80</v>
          </cell>
          <cell r="N447">
            <v>30</v>
          </cell>
          <cell r="O447">
            <v>5.5</v>
          </cell>
          <cell r="P447">
            <v>0</v>
          </cell>
        </row>
        <row r="448">
          <cell r="J448" t="str">
            <v>ACompra de ViviendaIndividualResidencialNuevaApartamentoBG000000600000.01</v>
          </cell>
          <cell r="K448">
            <v>600000.01</v>
          </cell>
          <cell r="L448">
            <v>99999999</v>
          </cell>
          <cell r="M448">
            <v>70</v>
          </cell>
          <cell r="N448">
            <v>30</v>
          </cell>
          <cell r="O448">
            <v>5.25</v>
          </cell>
          <cell r="P448">
            <v>0</v>
          </cell>
        </row>
        <row r="449">
          <cell r="J449" t="str">
            <v>ACompra de ViviendaIndividualResidencialNuevaApartamentoCOPA000000030000.00</v>
          </cell>
          <cell r="K449">
            <v>30000</v>
          </cell>
          <cell r="L449">
            <v>100000</v>
          </cell>
          <cell r="M449">
            <v>95</v>
          </cell>
          <cell r="N449">
            <v>30</v>
          </cell>
          <cell r="O449">
            <v>5.75</v>
          </cell>
          <cell r="P449">
            <v>0</v>
          </cell>
        </row>
        <row r="450">
          <cell r="J450" t="str">
            <v>ACompra de ViviendaIndividualResidencialNuevaApartamentoCOPA000000100000.01</v>
          </cell>
          <cell r="K450">
            <v>100000.01</v>
          </cell>
          <cell r="L450">
            <v>250000</v>
          </cell>
          <cell r="M450">
            <v>90</v>
          </cell>
          <cell r="N450">
            <v>30</v>
          </cell>
          <cell r="O450">
            <v>5.75</v>
          </cell>
          <cell r="P450">
            <v>0</v>
          </cell>
        </row>
        <row r="451">
          <cell r="J451" t="str">
            <v>ACompra de ViviendaIndividualResidencialNuevaApartamentoCOPA000000250000.01</v>
          </cell>
          <cell r="K451">
            <v>250000.01</v>
          </cell>
          <cell r="L451">
            <v>600000</v>
          </cell>
          <cell r="M451">
            <v>80</v>
          </cell>
          <cell r="N451">
            <v>30</v>
          </cell>
          <cell r="O451">
            <v>5.5</v>
          </cell>
          <cell r="P451">
            <v>0</v>
          </cell>
        </row>
        <row r="452">
          <cell r="J452" t="str">
            <v>ACompra de ViviendaIndividualResidencialNuevaApartamentoCOPA000000600000.01</v>
          </cell>
          <cell r="K452">
            <v>600000.01</v>
          </cell>
          <cell r="L452">
            <v>99999999</v>
          </cell>
          <cell r="M452">
            <v>70</v>
          </cell>
          <cell r="N452">
            <v>30</v>
          </cell>
          <cell r="O452">
            <v>5.25</v>
          </cell>
          <cell r="P452">
            <v>0</v>
          </cell>
        </row>
        <row r="453">
          <cell r="J453" t="str">
            <v>ACompra de ViviendaIndividualResidencialNuevaApartamentoFERIA000000030000.00</v>
          </cell>
          <cell r="K453">
            <v>30000</v>
          </cell>
          <cell r="L453">
            <v>100000</v>
          </cell>
          <cell r="M453">
            <v>95</v>
          </cell>
          <cell r="N453">
            <v>30</v>
          </cell>
          <cell r="O453">
            <v>5.75</v>
          </cell>
          <cell r="P453">
            <v>0</v>
          </cell>
        </row>
        <row r="454">
          <cell r="J454" t="str">
            <v>ACompra de ViviendaIndividualResidencialNuevaApartamentoFERIA000000100000.01</v>
          </cell>
          <cell r="K454">
            <v>100000.01</v>
          </cell>
          <cell r="L454">
            <v>250000</v>
          </cell>
          <cell r="M454">
            <v>90</v>
          </cell>
          <cell r="N454">
            <v>30</v>
          </cell>
          <cell r="O454">
            <v>5.75</v>
          </cell>
          <cell r="P454">
            <v>0</v>
          </cell>
        </row>
        <row r="455">
          <cell r="J455" t="str">
            <v>ACompra de ViviendaIndividualResidencialNuevaApartamentoFERIA000000250000.01</v>
          </cell>
          <cell r="K455">
            <v>250000.01</v>
          </cell>
          <cell r="L455">
            <v>600000</v>
          </cell>
          <cell r="M455">
            <v>80</v>
          </cell>
          <cell r="N455">
            <v>30</v>
          </cell>
          <cell r="O455">
            <v>5.5</v>
          </cell>
          <cell r="P455">
            <v>0</v>
          </cell>
        </row>
        <row r="456">
          <cell r="J456" t="str">
            <v>ACompra de ViviendaIndividualResidencialNuevaApartamentoFERIA000000600000.01</v>
          </cell>
          <cell r="K456">
            <v>600000.01</v>
          </cell>
          <cell r="L456">
            <v>99999999</v>
          </cell>
          <cell r="M456">
            <v>70</v>
          </cell>
          <cell r="N456">
            <v>30</v>
          </cell>
          <cell r="O456">
            <v>5.25</v>
          </cell>
          <cell r="P456">
            <v>0</v>
          </cell>
        </row>
        <row r="457">
          <cell r="J457" t="str">
            <v>ACompra de ViviendaIndividualResidencialNuevaCasaBG000000018000.00</v>
          </cell>
          <cell r="K457">
            <v>18000</v>
          </cell>
          <cell r="L457">
            <v>100000</v>
          </cell>
          <cell r="M457">
            <v>95</v>
          </cell>
          <cell r="N457">
            <v>30</v>
          </cell>
          <cell r="O457">
            <v>5.75</v>
          </cell>
          <cell r="P457">
            <v>0</v>
          </cell>
        </row>
        <row r="458">
          <cell r="J458" t="str">
            <v>ACompra de ViviendaIndividualResidencialNuevaCasaBG000000100000.01</v>
          </cell>
          <cell r="K458">
            <v>100000.01</v>
          </cell>
          <cell r="L458">
            <v>250000</v>
          </cell>
          <cell r="M458">
            <v>90</v>
          </cell>
          <cell r="N458">
            <v>30</v>
          </cell>
          <cell r="O458">
            <v>5.75</v>
          </cell>
          <cell r="P458">
            <v>0</v>
          </cell>
        </row>
        <row r="459">
          <cell r="J459" t="str">
            <v>ACompra de ViviendaIndividualResidencialNuevaCasaBG000000250000.01</v>
          </cell>
          <cell r="K459">
            <v>250000.01</v>
          </cell>
          <cell r="L459">
            <v>600000</v>
          </cell>
          <cell r="M459">
            <v>80</v>
          </cell>
          <cell r="N459">
            <v>30</v>
          </cell>
          <cell r="O459">
            <v>5.5</v>
          </cell>
          <cell r="P459">
            <v>0</v>
          </cell>
        </row>
        <row r="460">
          <cell r="J460" t="str">
            <v>ACompra de ViviendaIndividualResidencialNuevaCasaBG000000600000.01</v>
          </cell>
          <cell r="K460">
            <v>600000.01</v>
          </cell>
          <cell r="L460">
            <v>99999999</v>
          </cell>
          <cell r="M460">
            <v>70</v>
          </cell>
          <cell r="N460">
            <v>30</v>
          </cell>
          <cell r="O460">
            <v>5.25</v>
          </cell>
          <cell r="P460">
            <v>0</v>
          </cell>
        </row>
        <row r="461">
          <cell r="J461" t="str">
            <v>ACompra de ViviendaIndividualResidencialNuevaCasaCOPA000000018000.00</v>
          </cell>
          <cell r="K461">
            <v>18000</v>
          </cell>
          <cell r="L461">
            <v>100000</v>
          </cell>
          <cell r="M461">
            <v>95</v>
          </cell>
          <cell r="N461">
            <v>30</v>
          </cell>
          <cell r="O461">
            <v>5.75</v>
          </cell>
          <cell r="P461">
            <v>0</v>
          </cell>
        </row>
        <row r="462">
          <cell r="J462" t="str">
            <v>ACompra de ViviendaIndividualResidencialNuevaCasaCOPA000000100000.01</v>
          </cell>
          <cell r="K462">
            <v>100000.01</v>
          </cell>
          <cell r="L462">
            <v>250000</v>
          </cell>
          <cell r="M462">
            <v>90</v>
          </cell>
          <cell r="N462">
            <v>30</v>
          </cell>
          <cell r="O462">
            <v>5.75</v>
          </cell>
          <cell r="P462">
            <v>0</v>
          </cell>
        </row>
        <row r="463">
          <cell r="J463" t="str">
            <v>ACompra de ViviendaIndividualResidencialNuevaCasaCOPA000000250000.01</v>
          </cell>
          <cell r="K463">
            <v>250000.01</v>
          </cell>
          <cell r="L463">
            <v>600000</v>
          </cell>
          <cell r="M463">
            <v>80</v>
          </cell>
          <cell r="N463">
            <v>30</v>
          </cell>
          <cell r="O463">
            <v>5.5</v>
          </cell>
          <cell r="P463">
            <v>0</v>
          </cell>
        </row>
        <row r="464">
          <cell r="J464" t="str">
            <v>ACompra de ViviendaIndividualResidencialNuevaCasaCOPA000000600000.01</v>
          </cell>
          <cell r="K464">
            <v>600000.01</v>
          </cell>
          <cell r="L464">
            <v>99999999</v>
          </cell>
          <cell r="M464">
            <v>70</v>
          </cell>
          <cell r="N464">
            <v>30</v>
          </cell>
          <cell r="O464">
            <v>5.25</v>
          </cell>
          <cell r="P464">
            <v>0</v>
          </cell>
        </row>
        <row r="465">
          <cell r="J465" t="str">
            <v>ACompra de ViviendaIndividualResidencialNuevaCasaFERIA000000018000.00</v>
          </cell>
          <cell r="K465">
            <v>18000</v>
          </cell>
          <cell r="L465">
            <v>100000</v>
          </cell>
          <cell r="M465">
            <v>95</v>
          </cell>
          <cell r="N465">
            <v>30</v>
          </cell>
          <cell r="O465">
            <v>5.75</v>
          </cell>
          <cell r="P465">
            <v>0</v>
          </cell>
        </row>
        <row r="466">
          <cell r="J466" t="str">
            <v>ACompra de ViviendaIndividualResidencialNuevaCasaFERIA000000100000.01</v>
          </cell>
          <cell r="K466">
            <v>100000.01</v>
          </cell>
          <cell r="L466">
            <v>250000</v>
          </cell>
          <cell r="M466">
            <v>90</v>
          </cell>
          <cell r="N466">
            <v>30</v>
          </cell>
          <cell r="O466">
            <v>5.75</v>
          </cell>
          <cell r="P466">
            <v>0</v>
          </cell>
        </row>
        <row r="467">
          <cell r="J467" t="str">
            <v>ACompra de ViviendaIndividualResidencialNuevaCasaFERIA000000250000.01</v>
          </cell>
          <cell r="K467">
            <v>250000.01</v>
          </cell>
          <cell r="L467">
            <v>600000</v>
          </cell>
          <cell r="M467">
            <v>80</v>
          </cell>
          <cell r="N467">
            <v>30</v>
          </cell>
          <cell r="O467">
            <v>5.5</v>
          </cell>
          <cell r="P467">
            <v>0</v>
          </cell>
        </row>
        <row r="468">
          <cell r="J468" t="str">
            <v>ACompra de ViviendaIndividualResidencialNuevaCasaFERIA000000600000.01</v>
          </cell>
          <cell r="K468">
            <v>600000.01</v>
          </cell>
          <cell r="L468">
            <v>99999999</v>
          </cell>
          <cell r="M468">
            <v>70</v>
          </cell>
          <cell r="N468">
            <v>30</v>
          </cell>
          <cell r="O468">
            <v>5.25</v>
          </cell>
          <cell r="P468">
            <v>0</v>
          </cell>
        </row>
        <row r="469">
          <cell r="J469" t="str">
            <v>ACompra de ViviendaIndividualResidencialUsadaApartamentoBG000000040000.00</v>
          </cell>
          <cell r="K469">
            <v>40000</v>
          </cell>
          <cell r="L469">
            <v>200000</v>
          </cell>
          <cell r="M469">
            <v>90</v>
          </cell>
          <cell r="N469">
            <v>25</v>
          </cell>
          <cell r="O469">
            <v>5.5</v>
          </cell>
          <cell r="P469">
            <v>0</v>
          </cell>
        </row>
        <row r="470">
          <cell r="J470" t="str">
            <v>ACompra de ViviendaIndividualResidencialUsadaApartamentoBG000000200000.01</v>
          </cell>
          <cell r="K470">
            <v>200000.01</v>
          </cell>
          <cell r="L470">
            <v>500000</v>
          </cell>
          <cell r="M470">
            <v>80</v>
          </cell>
          <cell r="N470">
            <v>25</v>
          </cell>
          <cell r="O470">
            <v>5.5</v>
          </cell>
          <cell r="P470">
            <v>0</v>
          </cell>
        </row>
        <row r="471">
          <cell r="J471" t="str">
            <v>ACompra de ViviendaIndividualResidencialUsadaApartamentoBG000000500000.01</v>
          </cell>
          <cell r="K471">
            <v>500000.01</v>
          </cell>
          <cell r="L471">
            <v>99999999</v>
          </cell>
          <cell r="M471">
            <v>70</v>
          </cell>
          <cell r="N471">
            <v>25</v>
          </cell>
          <cell r="O471">
            <v>5.25</v>
          </cell>
          <cell r="P471">
            <v>0</v>
          </cell>
        </row>
        <row r="472">
          <cell r="J472" t="str">
            <v>ACompra de ViviendaIndividualResidencialUsadaApartamentoCOPA000000030000.00</v>
          </cell>
          <cell r="K472">
            <v>30000</v>
          </cell>
          <cell r="L472">
            <v>250000</v>
          </cell>
          <cell r="M472">
            <v>90</v>
          </cell>
          <cell r="N472">
            <v>25</v>
          </cell>
          <cell r="O472">
            <v>5.5</v>
          </cell>
          <cell r="P472">
            <v>0</v>
          </cell>
        </row>
        <row r="473">
          <cell r="J473" t="str">
            <v>ACompra de ViviendaIndividualResidencialUsadaApartamentoCOPA000000250000.01</v>
          </cell>
          <cell r="K473">
            <v>250000.01</v>
          </cell>
          <cell r="L473">
            <v>500000</v>
          </cell>
          <cell r="M473">
            <v>80</v>
          </cell>
          <cell r="N473">
            <v>25</v>
          </cell>
          <cell r="O473">
            <v>5.5</v>
          </cell>
          <cell r="P473">
            <v>0</v>
          </cell>
        </row>
        <row r="474">
          <cell r="J474" t="str">
            <v>ACompra de ViviendaIndividualResidencialUsadaApartamentoCOPA000000500000.01</v>
          </cell>
          <cell r="K474">
            <v>500000.01</v>
          </cell>
          <cell r="L474">
            <v>99999999</v>
          </cell>
          <cell r="M474">
            <v>70</v>
          </cell>
          <cell r="N474">
            <v>25</v>
          </cell>
          <cell r="O474">
            <v>5.25</v>
          </cell>
          <cell r="P474">
            <v>0</v>
          </cell>
        </row>
        <row r="475">
          <cell r="J475" t="str">
            <v>ACompra de ViviendaIndividualResidencialUsadaApartamentoFERIA000000030000.00</v>
          </cell>
          <cell r="K475">
            <v>30000</v>
          </cell>
          <cell r="L475">
            <v>200000</v>
          </cell>
          <cell r="M475">
            <v>90</v>
          </cell>
          <cell r="N475">
            <v>25</v>
          </cell>
          <cell r="O475">
            <v>5.5</v>
          </cell>
          <cell r="P475">
            <v>0</v>
          </cell>
        </row>
        <row r="476">
          <cell r="J476" t="str">
            <v>ACompra de ViviendaIndividualResidencialUsadaApartamentoFERIA000000200000.01</v>
          </cell>
          <cell r="K476">
            <v>200000.01</v>
          </cell>
          <cell r="L476">
            <v>400000</v>
          </cell>
          <cell r="M476">
            <v>80</v>
          </cell>
          <cell r="N476">
            <v>25</v>
          </cell>
          <cell r="O476">
            <v>5.5</v>
          </cell>
          <cell r="P476">
            <v>0</v>
          </cell>
        </row>
        <row r="477">
          <cell r="J477" t="str">
            <v>ACompra de ViviendaIndividualResidencialUsadaApartamentoFERIA000000400000.01</v>
          </cell>
          <cell r="K477">
            <v>400000.01</v>
          </cell>
          <cell r="L477">
            <v>99999999</v>
          </cell>
          <cell r="M477">
            <v>70</v>
          </cell>
          <cell r="N477">
            <v>25</v>
          </cell>
          <cell r="O477">
            <v>5.25</v>
          </cell>
          <cell r="P477">
            <v>0</v>
          </cell>
        </row>
        <row r="478">
          <cell r="J478" t="str">
            <v>ACompra de ViviendaIndividualResidencialUsadaCasaBG000000040000.00</v>
          </cell>
          <cell r="K478">
            <v>40000</v>
          </cell>
          <cell r="L478">
            <v>200000</v>
          </cell>
          <cell r="M478">
            <v>90</v>
          </cell>
          <cell r="N478">
            <v>30</v>
          </cell>
          <cell r="O478">
            <v>5.5</v>
          </cell>
          <cell r="P478">
            <v>0</v>
          </cell>
        </row>
        <row r="479">
          <cell r="J479" t="str">
            <v>ACompra de ViviendaIndividualResidencialUsadaCasaBG000000200000.01</v>
          </cell>
          <cell r="K479">
            <v>200000.01</v>
          </cell>
          <cell r="L479">
            <v>500000</v>
          </cell>
          <cell r="M479">
            <v>80</v>
          </cell>
          <cell r="N479">
            <v>30</v>
          </cell>
          <cell r="O479">
            <v>5.5</v>
          </cell>
          <cell r="P479">
            <v>0</v>
          </cell>
        </row>
        <row r="480">
          <cell r="J480" t="str">
            <v>ACompra de ViviendaIndividualResidencialUsadaCasaBG000000500000.01</v>
          </cell>
          <cell r="K480">
            <v>500000.01</v>
          </cell>
          <cell r="L480">
            <v>99999999</v>
          </cell>
          <cell r="M480">
            <v>70</v>
          </cell>
          <cell r="N480">
            <v>30</v>
          </cell>
          <cell r="O480">
            <v>5.25</v>
          </cell>
          <cell r="P480">
            <v>0</v>
          </cell>
        </row>
        <row r="481">
          <cell r="J481" t="str">
            <v>ACompra de ViviendaIndividualResidencialUsadaCasaCOPA000000030000.00</v>
          </cell>
          <cell r="K481">
            <v>30000</v>
          </cell>
          <cell r="L481">
            <v>250000</v>
          </cell>
          <cell r="M481">
            <v>90</v>
          </cell>
          <cell r="N481">
            <v>30</v>
          </cell>
          <cell r="O481">
            <v>5.5</v>
          </cell>
          <cell r="P481">
            <v>0</v>
          </cell>
        </row>
        <row r="482">
          <cell r="J482" t="str">
            <v>ACompra de ViviendaIndividualResidencialUsadaCasaCOPA000000250000.01</v>
          </cell>
          <cell r="K482">
            <v>250000.01</v>
          </cell>
          <cell r="L482">
            <v>500000</v>
          </cell>
          <cell r="M482">
            <v>80</v>
          </cell>
          <cell r="N482">
            <v>30</v>
          </cell>
          <cell r="O482">
            <v>5.5</v>
          </cell>
          <cell r="P482">
            <v>0</v>
          </cell>
        </row>
        <row r="483">
          <cell r="J483" t="str">
            <v>ACompra de ViviendaIndividualResidencialUsadaCasaCOPA000000500000.01</v>
          </cell>
          <cell r="K483">
            <v>500000.01</v>
          </cell>
          <cell r="L483">
            <v>99999999</v>
          </cell>
          <cell r="M483">
            <v>70</v>
          </cell>
          <cell r="N483">
            <v>30</v>
          </cell>
          <cell r="O483">
            <v>5.25</v>
          </cell>
          <cell r="P483">
            <v>0</v>
          </cell>
        </row>
        <row r="484">
          <cell r="J484" t="str">
            <v>ACompra de ViviendaIndividualResidencialUsadaCasaFERIA000000030000.00</v>
          </cell>
          <cell r="K484">
            <v>30000</v>
          </cell>
          <cell r="L484">
            <v>200000</v>
          </cell>
          <cell r="M484">
            <v>90</v>
          </cell>
          <cell r="N484">
            <v>30</v>
          </cell>
          <cell r="O484">
            <v>5.5</v>
          </cell>
          <cell r="P484">
            <v>0</v>
          </cell>
        </row>
        <row r="485">
          <cell r="J485" t="str">
            <v>ACompra de ViviendaIndividualResidencialUsadaCasaFERIA000000200000.01</v>
          </cell>
          <cell r="K485">
            <v>200000.01</v>
          </cell>
          <cell r="L485">
            <v>400000</v>
          </cell>
          <cell r="M485">
            <v>80</v>
          </cell>
          <cell r="N485">
            <v>30</v>
          </cell>
          <cell r="O485">
            <v>5.5</v>
          </cell>
          <cell r="P485">
            <v>0</v>
          </cell>
        </row>
        <row r="486">
          <cell r="J486" t="str">
            <v>ACompra de ViviendaIndividualResidencialUsadaCasaFERIA000000400000.01</v>
          </cell>
          <cell r="K486">
            <v>400000.01</v>
          </cell>
          <cell r="L486">
            <v>99999999</v>
          </cell>
          <cell r="M486">
            <v>70</v>
          </cell>
          <cell r="N486">
            <v>30</v>
          </cell>
          <cell r="O486">
            <v>5.25</v>
          </cell>
          <cell r="P486">
            <v>0</v>
          </cell>
        </row>
        <row r="487">
          <cell r="J487" t="str">
            <v>ACompra de ViviendaLey PreferencialReposeído (BG)UsadaApartamentoBG000000015000.00</v>
          </cell>
          <cell r="K487">
            <v>15000</v>
          </cell>
          <cell r="L487">
            <v>40000</v>
          </cell>
          <cell r="M487">
            <v>98</v>
          </cell>
          <cell r="N487">
            <v>30</v>
          </cell>
          <cell r="O487">
            <v>0</v>
          </cell>
          <cell r="P487">
            <v>8.56</v>
          </cell>
        </row>
        <row r="488">
          <cell r="J488" t="str">
            <v>ACompra de ViviendaLey PreferencialReposeído (BG)UsadaApartamentoBG000000040000.01</v>
          </cell>
          <cell r="K488">
            <v>40000.01</v>
          </cell>
          <cell r="L488">
            <v>80000</v>
          </cell>
          <cell r="M488">
            <v>98</v>
          </cell>
          <cell r="N488">
            <v>30</v>
          </cell>
          <cell r="O488">
            <v>1.25</v>
          </cell>
          <cell r="P488">
            <v>8.56</v>
          </cell>
        </row>
        <row r="489">
          <cell r="J489" t="str">
            <v>ACompra de ViviendaLey PreferencialReposeído (BG)UsadaApartamentoBG000000080000.01</v>
          </cell>
          <cell r="K489">
            <v>80000.009999999995</v>
          </cell>
          <cell r="L489">
            <v>120000</v>
          </cell>
          <cell r="M489">
            <v>98</v>
          </cell>
          <cell r="N489">
            <v>30</v>
          </cell>
          <cell r="O489">
            <v>1.25</v>
          </cell>
          <cell r="P489">
            <v>8.56</v>
          </cell>
        </row>
        <row r="490">
          <cell r="J490" t="str">
            <v>ACompra de ViviendaLey PreferencialReposeído (BG)UsadaApartamentoCOPA000000015000.00</v>
          </cell>
          <cell r="K490">
            <v>15000</v>
          </cell>
          <cell r="L490">
            <v>40000</v>
          </cell>
          <cell r="M490">
            <v>98</v>
          </cell>
          <cell r="N490">
            <v>30</v>
          </cell>
          <cell r="O490">
            <v>0</v>
          </cell>
          <cell r="P490">
            <v>4.28</v>
          </cell>
        </row>
        <row r="491">
          <cell r="J491" t="str">
            <v>ACompra de ViviendaLey PreferencialReposeído (BG)UsadaApartamentoCOPA000000040000.01</v>
          </cell>
          <cell r="K491">
            <v>40000.01</v>
          </cell>
          <cell r="L491">
            <v>80000</v>
          </cell>
          <cell r="M491">
            <v>98</v>
          </cell>
          <cell r="N491">
            <v>30</v>
          </cell>
          <cell r="O491">
            <v>1.25</v>
          </cell>
          <cell r="P491">
            <v>4.28</v>
          </cell>
        </row>
        <row r="492">
          <cell r="J492" t="str">
            <v>ACompra de ViviendaLey PreferencialReposeído (BG)UsadaApartamentoCOPA000000080000.01</v>
          </cell>
          <cell r="K492">
            <v>80000.009999999995</v>
          </cell>
          <cell r="L492">
            <v>120000</v>
          </cell>
          <cell r="M492">
            <v>98</v>
          </cell>
          <cell r="N492">
            <v>30</v>
          </cell>
          <cell r="O492">
            <v>1.25</v>
          </cell>
          <cell r="P492">
            <v>4.28</v>
          </cell>
        </row>
        <row r="493">
          <cell r="J493" t="str">
            <v>ACompra de ViviendaLey PreferencialReposeído (BG)UsadaApartamentoFERIA000000015000.00</v>
          </cell>
          <cell r="K493">
            <v>15000</v>
          </cell>
          <cell r="L493">
            <v>40000</v>
          </cell>
          <cell r="M493">
            <v>95</v>
          </cell>
          <cell r="N493">
            <v>30</v>
          </cell>
          <cell r="O493">
            <v>0</v>
          </cell>
          <cell r="P493">
            <v>4.28</v>
          </cell>
        </row>
        <row r="494">
          <cell r="J494" t="str">
            <v>ACompra de ViviendaLey PreferencialReposeído (BG)UsadaApartamentoFERIA000000040000.01</v>
          </cell>
          <cell r="K494">
            <v>40000.01</v>
          </cell>
          <cell r="L494">
            <v>80000</v>
          </cell>
          <cell r="M494">
            <v>95</v>
          </cell>
          <cell r="N494">
            <v>30</v>
          </cell>
          <cell r="O494">
            <v>1.25</v>
          </cell>
          <cell r="P494">
            <v>4.28</v>
          </cell>
        </row>
        <row r="495">
          <cell r="J495" t="str">
            <v>ACompra de ViviendaLey PreferencialReposeído (BG)UsadaApartamentoFERIA000000080000.01</v>
          </cell>
          <cell r="K495">
            <v>80000.009999999995</v>
          </cell>
          <cell r="L495">
            <v>120000</v>
          </cell>
          <cell r="M495">
            <v>95</v>
          </cell>
          <cell r="N495">
            <v>30</v>
          </cell>
          <cell r="O495">
            <v>1.25</v>
          </cell>
          <cell r="P495">
            <v>4.28</v>
          </cell>
        </row>
        <row r="496">
          <cell r="J496" t="str">
            <v>ACompra de ViviendaLey PreferencialReposeído (BG)UsadaCasaBG000000015000.00</v>
          </cell>
          <cell r="K496">
            <v>15000</v>
          </cell>
          <cell r="L496">
            <v>40000</v>
          </cell>
          <cell r="M496">
            <v>98</v>
          </cell>
          <cell r="N496">
            <v>30</v>
          </cell>
          <cell r="O496">
            <v>0</v>
          </cell>
          <cell r="P496">
            <v>8.56</v>
          </cell>
        </row>
        <row r="497">
          <cell r="J497" t="str">
            <v>ACompra de ViviendaLey PreferencialReposeído (BG)UsadaCasaBG000000040000.01</v>
          </cell>
          <cell r="K497">
            <v>40000.01</v>
          </cell>
          <cell r="L497">
            <v>80000</v>
          </cell>
          <cell r="M497">
            <v>98</v>
          </cell>
          <cell r="N497">
            <v>30</v>
          </cell>
          <cell r="O497">
            <v>1.25</v>
          </cell>
          <cell r="P497">
            <v>8.56</v>
          </cell>
        </row>
        <row r="498">
          <cell r="J498" t="str">
            <v>ACompra de ViviendaLey PreferencialReposeído (BG)UsadaCasaBG000000080000.01</v>
          </cell>
          <cell r="K498">
            <v>80000.009999999995</v>
          </cell>
          <cell r="L498">
            <v>120000</v>
          </cell>
          <cell r="M498">
            <v>98</v>
          </cell>
          <cell r="N498">
            <v>30</v>
          </cell>
          <cell r="O498">
            <v>1.25</v>
          </cell>
          <cell r="P498">
            <v>8.56</v>
          </cell>
        </row>
        <row r="499">
          <cell r="J499" t="str">
            <v>ACompra de ViviendaLey PreferencialReposeído (BG)UsadaCasaCOPA000000015000.00</v>
          </cell>
          <cell r="K499">
            <v>15000</v>
          </cell>
          <cell r="L499">
            <v>40000</v>
          </cell>
          <cell r="M499">
            <v>98</v>
          </cell>
          <cell r="N499">
            <v>30</v>
          </cell>
          <cell r="O499">
            <v>0</v>
          </cell>
          <cell r="P499">
            <v>4.28</v>
          </cell>
        </row>
        <row r="500">
          <cell r="J500" t="str">
            <v>ACompra de ViviendaLey PreferencialReposeído (BG)UsadaCasaCOPA000000040000.01</v>
          </cell>
          <cell r="K500">
            <v>40000.01</v>
          </cell>
          <cell r="L500">
            <v>80000</v>
          </cell>
          <cell r="M500">
            <v>98</v>
          </cell>
          <cell r="N500">
            <v>30</v>
          </cell>
          <cell r="O500">
            <v>1.25</v>
          </cell>
          <cell r="P500">
            <v>4.28</v>
          </cell>
        </row>
        <row r="501">
          <cell r="J501" t="str">
            <v>ACompra de ViviendaLey PreferencialReposeído (BG)UsadaCasaCOPA000000080000.01</v>
          </cell>
          <cell r="K501">
            <v>80000.009999999995</v>
          </cell>
          <cell r="L501">
            <v>120000</v>
          </cell>
          <cell r="M501">
            <v>98</v>
          </cell>
          <cell r="N501">
            <v>30</v>
          </cell>
          <cell r="O501">
            <v>1.25</v>
          </cell>
          <cell r="P501">
            <v>4.28</v>
          </cell>
        </row>
        <row r="502">
          <cell r="J502" t="str">
            <v>ACompra de ViviendaLey PreferencialReposeído (BG)UsadaCasaFERIA000000015000.00</v>
          </cell>
          <cell r="K502">
            <v>15000</v>
          </cell>
          <cell r="L502">
            <v>40000</v>
          </cell>
          <cell r="M502">
            <v>95</v>
          </cell>
          <cell r="N502">
            <v>30</v>
          </cell>
          <cell r="O502">
            <v>0</v>
          </cell>
          <cell r="P502">
            <v>4.28</v>
          </cell>
        </row>
        <row r="503">
          <cell r="J503" t="str">
            <v>ACompra de ViviendaLey PreferencialReposeído (BG)UsadaCasaFERIA000000040000.01</v>
          </cell>
          <cell r="K503">
            <v>40000.01</v>
          </cell>
          <cell r="L503">
            <v>80000</v>
          </cell>
          <cell r="M503">
            <v>95</v>
          </cell>
          <cell r="N503">
            <v>30</v>
          </cell>
          <cell r="O503">
            <v>1.25</v>
          </cell>
          <cell r="P503">
            <v>4.28</v>
          </cell>
        </row>
        <row r="504">
          <cell r="J504" t="str">
            <v>ACompra de ViviendaLey PreferencialReposeído (BG)UsadaCasaFERIA000000080000.01</v>
          </cell>
          <cell r="K504">
            <v>80000.009999999995</v>
          </cell>
          <cell r="L504">
            <v>120000</v>
          </cell>
          <cell r="M504">
            <v>95</v>
          </cell>
          <cell r="N504">
            <v>30</v>
          </cell>
          <cell r="O504">
            <v>1.25</v>
          </cell>
          <cell r="P504">
            <v>4.28</v>
          </cell>
        </row>
        <row r="505">
          <cell r="J505" t="str">
            <v>ACompra de ViviendaLey PreferencialResidencialNuevaApartamentoBG000000030000.00</v>
          </cell>
          <cell r="K505">
            <v>30000</v>
          </cell>
          <cell r="L505">
            <v>40000</v>
          </cell>
          <cell r="M505">
            <v>95</v>
          </cell>
          <cell r="N505">
            <v>30</v>
          </cell>
          <cell r="O505">
            <v>0</v>
          </cell>
          <cell r="P505">
            <v>8.56</v>
          </cell>
        </row>
        <row r="506">
          <cell r="J506" t="str">
            <v>ACompra de ViviendaLey PreferencialResidencialNuevaApartamentoBG000000040000.01</v>
          </cell>
          <cell r="K506">
            <v>40000.01</v>
          </cell>
          <cell r="L506">
            <v>80000</v>
          </cell>
          <cell r="M506">
            <v>95</v>
          </cell>
          <cell r="N506">
            <v>30</v>
          </cell>
          <cell r="O506">
            <v>1.25</v>
          </cell>
          <cell r="P506">
            <v>8.56</v>
          </cell>
        </row>
        <row r="507">
          <cell r="J507" t="str">
            <v>ACompra de ViviendaLey PreferencialResidencialNuevaApartamentoBG000000080000.01</v>
          </cell>
          <cell r="K507">
            <v>80000.009999999995</v>
          </cell>
          <cell r="L507">
            <v>120000</v>
          </cell>
          <cell r="M507">
            <v>95</v>
          </cell>
          <cell r="N507">
            <v>30</v>
          </cell>
          <cell r="O507">
            <v>1.25</v>
          </cell>
          <cell r="P507">
            <v>8.56</v>
          </cell>
        </row>
        <row r="508">
          <cell r="J508" t="str">
            <v>ACompra de ViviendaLey PreferencialResidencialNuevaApartamentoCOPA000000030000.00</v>
          </cell>
          <cell r="K508">
            <v>30000</v>
          </cell>
          <cell r="L508">
            <v>40000</v>
          </cell>
          <cell r="M508">
            <v>95</v>
          </cell>
          <cell r="N508">
            <v>30</v>
          </cell>
          <cell r="O508">
            <v>0</v>
          </cell>
          <cell r="P508">
            <v>4.28</v>
          </cell>
        </row>
        <row r="509">
          <cell r="J509" t="str">
            <v>ACompra de ViviendaLey PreferencialResidencialNuevaApartamentoCOPA000000040000.01</v>
          </cell>
          <cell r="K509">
            <v>40000.01</v>
          </cell>
          <cell r="L509">
            <v>80000</v>
          </cell>
          <cell r="M509">
            <v>95</v>
          </cell>
          <cell r="N509">
            <v>30</v>
          </cell>
          <cell r="O509">
            <v>1.25</v>
          </cell>
          <cell r="P509">
            <v>4.28</v>
          </cell>
        </row>
        <row r="510">
          <cell r="J510" t="str">
            <v>ACompra de ViviendaLey PreferencialResidencialNuevaApartamentoCOPA000000080000.01</v>
          </cell>
          <cell r="K510">
            <v>80000.009999999995</v>
          </cell>
          <cell r="L510">
            <v>120000</v>
          </cell>
          <cell r="M510">
            <v>95</v>
          </cell>
          <cell r="N510">
            <v>30</v>
          </cell>
          <cell r="O510">
            <v>1.25</v>
          </cell>
          <cell r="P510">
            <v>4.28</v>
          </cell>
        </row>
        <row r="511">
          <cell r="J511" t="str">
            <v>ACompra de ViviendaLey PreferencialResidencialNuevaApartamentoFERIA000000030000.00</v>
          </cell>
          <cell r="K511">
            <v>30000</v>
          </cell>
          <cell r="L511">
            <v>40000</v>
          </cell>
          <cell r="M511">
            <v>95</v>
          </cell>
          <cell r="N511">
            <v>30</v>
          </cell>
          <cell r="O511">
            <v>0</v>
          </cell>
          <cell r="P511">
            <v>4.28</v>
          </cell>
        </row>
        <row r="512">
          <cell r="J512" t="str">
            <v>ACompra de ViviendaLey PreferencialResidencialNuevaApartamentoFERIA000000040000.01</v>
          </cell>
          <cell r="K512">
            <v>40000.01</v>
          </cell>
          <cell r="L512">
            <v>80000</v>
          </cell>
          <cell r="M512">
            <v>95</v>
          </cell>
          <cell r="N512">
            <v>30</v>
          </cell>
          <cell r="O512">
            <v>1.25</v>
          </cell>
          <cell r="P512">
            <v>4.28</v>
          </cell>
        </row>
        <row r="513">
          <cell r="J513" t="str">
            <v>ACompra de ViviendaLey PreferencialResidencialNuevaApartamentoFERIA000000080000.01</v>
          </cell>
          <cell r="K513">
            <v>80000.009999999995</v>
          </cell>
          <cell r="L513">
            <v>120000</v>
          </cell>
          <cell r="M513">
            <v>95</v>
          </cell>
          <cell r="N513">
            <v>30</v>
          </cell>
          <cell r="O513">
            <v>1.25</v>
          </cell>
          <cell r="P513">
            <v>4.28</v>
          </cell>
        </row>
        <row r="514">
          <cell r="J514" t="str">
            <v>ACompra de ViviendaLey PreferencialResidencialNuevaCasaBG000000000000.00</v>
          </cell>
          <cell r="O514">
            <v>0</v>
          </cell>
          <cell r="P514">
            <v>8.56</v>
          </cell>
        </row>
        <row r="515">
          <cell r="J515" t="str">
            <v>ACompra de ViviendaLey PreferencialResidencialNuevaCasaBG000000018000.00</v>
          </cell>
          <cell r="K515">
            <v>18000</v>
          </cell>
          <cell r="L515">
            <v>40000</v>
          </cell>
          <cell r="M515">
            <v>98</v>
          </cell>
          <cell r="N515">
            <v>30</v>
          </cell>
          <cell r="O515">
            <v>0</v>
          </cell>
          <cell r="P515">
            <v>8.56</v>
          </cell>
        </row>
        <row r="516">
          <cell r="J516" t="str">
            <v>ACompra de ViviendaLey PreferencialResidencialNuevaCasaBG000000040000.01</v>
          </cell>
          <cell r="K516">
            <v>40000.01</v>
          </cell>
          <cell r="L516">
            <v>80000</v>
          </cell>
          <cell r="M516">
            <v>98</v>
          </cell>
          <cell r="N516">
            <v>30</v>
          </cell>
          <cell r="O516">
            <v>1.25</v>
          </cell>
          <cell r="P516">
            <v>8.56</v>
          </cell>
        </row>
        <row r="517">
          <cell r="J517" t="str">
            <v>ACompra de ViviendaLey PreferencialResidencialNuevaCasaBG000000080000.01</v>
          </cell>
          <cell r="K517">
            <v>80000.009999999995</v>
          </cell>
          <cell r="L517">
            <v>120000</v>
          </cell>
          <cell r="M517">
            <v>98</v>
          </cell>
          <cell r="N517">
            <v>30</v>
          </cell>
          <cell r="O517">
            <v>1.25</v>
          </cell>
          <cell r="P517">
            <v>8.56</v>
          </cell>
        </row>
        <row r="518">
          <cell r="J518" t="str">
            <v>ACompra de ViviendaLey PreferencialResidencialNuevaCasaCOPA000000018000.00</v>
          </cell>
          <cell r="K518">
            <v>18000</v>
          </cell>
          <cell r="L518">
            <v>40000</v>
          </cell>
          <cell r="M518">
            <v>98</v>
          </cell>
          <cell r="N518">
            <v>30</v>
          </cell>
          <cell r="O518">
            <v>0</v>
          </cell>
          <cell r="P518">
            <v>4.28</v>
          </cell>
        </row>
        <row r="519">
          <cell r="J519" t="str">
            <v>ACompra de ViviendaLey PreferencialResidencialNuevaCasaCOPA000000040000.01</v>
          </cell>
          <cell r="K519">
            <v>40000.01</v>
          </cell>
          <cell r="L519">
            <v>80000</v>
          </cell>
          <cell r="M519">
            <v>98</v>
          </cell>
          <cell r="N519">
            <v>30</v>
          </cell>
          <cell r="O519">
            <v>1.25</v>
          </cell>
          <cell r="P519">
            <v>4.28</v>
          </cell>
        </row>
        <row r="520">
          <cell r="J520" t="str">
            <v>ACompra de ViviendaLey PreferencialResidencialNuevaCasaCOPA000000080000.01</v>
          </cell>
          <cell r="K520">
            <v>80000.009999999995</v>
          </cell>
          <cell r="L520">
            <v>120000</v>
          </cell>
          <cell r="M520">
            <v>98</v>
          </cell>
          <cell r="N520">
            <v>30</v>
          </cell>
          <cell r="O520">
            <v>1.25</v>
          </cell>
          <cell r="P520">
            <v>4.28</v>
          </cell>
        </row>
        <row r="521">
          <cell r="J521" t="str">
            <v>ACompra de ViviendaLey PreferencialResidencialNuevaCasaFERIA000000018000.00</v>
          </cell>
          <cell r="K521">
            <v>18000</v>
          </cell>
          <cell r="L521">
            <v>40000</v>
          </cell>
          <cell r="M521">
            <v>98</v>
          </cell>
          <cell r="N521">
            <v>30</v>
          </cell>
          <cell r="O521">
            <v>0</v>
          </cell>
          <cell r="P521">
            <v>4.28</v>
          </cell>
        </row>
        <row r="522">
          <cell r="J522" t="str">
            <v>ACompra de ViviendaLey PreferencialResidencialNuevaCasaFERIA000000040000.01</v>
          </cell>
          <cell r="K522">
            <v>40000.01</v>
          </cell>
          <cell r="L522">
            <v>80000</v>
          </cell>
          <cell r="M522">
            <v>98</v>
          </cell>
          <cell r="N522">
            <v>30</v>
          </cell>
          <cell r="O522">
            <v>1.25</v>
          </cell>
          <cell r="P522">
            <v>4.28</v>
          </cell>
        </row>
        <row r="523">
          <cell r="J523" t="str">
            <v>ACompra de ViviendaLey PreferencialResidencialNuevaCasaFERIA000000080000.01</v>
          </cell>
          <cell r="K523">
            <v>80000.009999999995</v>
          </cell>
          <cell r="L523">
            <v>120000</v>
          </cell>
          <cell r="M523">
            <v>98</v>
          </cell>
          <cell r="N523">
            <v>30</v>
          </cell>
          <cell r="O523">
            <v>1.25</v>
          </cell>
          <cell r="P523">
            <v>4.28</v>
          </cell>
        </row>
        <row r="524">
          <cell r="J524" t="str">
            <v>ACompra Venta de AccionesCasco AntiguoResidencialNuevaApartamentoBG000000030000.00</v>
          </cell>
          <cell r="K524">
            <v>30000</v>
          </cell>
          <cell r="L524">
            <v>99999999</v>
          </cell>
          <cell r="M524">
            <v>80</v>
          </cell>
          <cell r="N524">
            <v>30</v>
          </cell>
          <cell r="O524">
            <v>3.25</v>
          </cell>
          <cell r="P524">
            <v>4.28</v>
          </cell>
        </row>
        <row r="525">
          <cell r="J525" t="str">
            <v>ACompra Venta de AccionesCasco AntiguoResidencialNuevaCasaBG000000030000.00</v>
          </cell>
          <cell r="K525">
            <v>30000</v>
          </cell>
          <cell r="L525">
            <v>99999999</v>
          </cell>
          <cell r="M525">
            <v>80</v>
          </cell>
          <cell r="N525">
            <v>30</v>
          </cell>
          <cell r="O525">
            <v>3.25</v>
          </cell>
          <cell r="P525">
            <v>4.28</v>
          </cell>
        </row>
        <row r="526">
          <cell r="J526" t="str">
            <v>ACompra Venta de AccionesCasco AntiguoResidencialUsadaApartamentoBG000000030000.00</v>
          </cell>
          <cell r="K526">
            <v>30000</v>
          </cell>
          <cell r="L526">
            <v>99999999</v>
          </cell>
          <cell r="M526">
            <v>80</v>
          </cell>
          <cell r="N526">
            <v>30</v>
          </cell>
          <cell r="O526">
            <v>3.25</v>
          </cell>
          <cell r="P526">
            <v>4.28</v>
          </cell>
        </row>
        <row r="527">
          <cell r="J527" t="str">
            <v>ACompra Venta de AccionesCasco AntiguoResidencialUsadaCasaBG000000030000.00</v>
          </cell>
          <cell r="K527">
            <v>30000</v>
          </cell>
          <cell r="L527">
            <v>99999999</v>
          </cell>
          <cell r="M527">
            <v>80</v>
          </cell>
          <cell r="N527">
            <v>30</v>
          </cell>
          <cell r="O527">
            <v>3.25</v>
          </cell>
          <cell r="P527">
            <v>4.28</v>
          </cell>
        </row>
        <row r="528">
          <cell r="J528" t="str">
            <v>ACompra Venta de AccionesIndividualResidencialNuevaApartamentoBG000000030000.00</v>
          </cell>
          <cell r="K528">
            <v>30000</v>
          </cell>
          <cell r="L528">
            <v>100000</v>
          </cell>
          <cell r="M528">
            <v>95</v>
          </cell>
          <cell r="N528">
            <v>30</v>
          </cell>
          <cell r="O528">
            <v>5</v>
          </cell>
          <cell r="P528">
            <v>0</v>
          </cell>
        </row>
        <row r="529">
          <cell r="J529" t="str">
            <v>ACompra Venta de AccionesIndividualResidencialNuevaApartamentoBG000000100000.01</v>
          </cell>
          <cell r="K529">
            <v>100000.01</v>
          </cell>
          <cell r="L529">
            <v>250000</v>
          </cell>
          <cell r="M529">
            <v>90</v>
          </cell>
          <cell r="N529">
            <v>30</v>
          </cell>
          <cell r="O529">
            <v>5</v>
          </cell>
          <cell r="P529">
            <v>0</v>
          </cell>
        </row>
        <row r="530">
          <cell r="J530" t="str">
            <v>ACompra Venta de AccionesIndividualResidencialNuevaApartamentoBG000000250000.01</v>
          </cell>
          <cell r="K530">
            <v>250000.01</v>
          </cell>
          <cell r="L530">
            <v>600000</v>
          </cell>
          <cell r="M530">
            <v>80</v>
          </cell>
          <cell r="N530">
            <v>30</v>
          </cell>
          <cell r="O530">
            <v>5</v>
          </cell>
          <cell r="P530">
            <v>0</v>
          </cell>
        </row>
        <row r="531">
          <cell r="J531" t="str">
            <v>ACompra Venta de AccionesIndividualResidencialNuevaApartamentoBG000000600000.01</v>
          </cell>
          <cell r="K531">
            <v>600000.01</v>
          </cell>
          <cell r="L531">
            <v>99999999</v>
          </cell>
          <cell r="M531">
            <v>70</v>
          </cell>
          <cell r="N531">
            <v>30</v>
          </cell>
          <cell r="O531">
            <v>5</v>
          </cell>
          <cell r="P531">
            <v>0</v>
          </cell>
        </row>
        <row r="532">
          <cell r="J532" t="str">
            <v>ACompra Venta de AccionesIndividualResidencialNuevaCasaBG000000018000.00</v>
          </cell>
          <cell r="K532">
            <v>18000</v>
          </cell>
          <cell r="L532">
            <v>100000</v>
          </cell>
          <cell r="M532">
            <v>95</v>
          </cell>
          <cell r="N532">
            <v>30</v>
          </cell>
          <cell r="O532">
            <v>5</v>
          </cell>
          <cell r="P532">
            <v>0</v>
          </cell>
        </row>
        <row r="533">
          <cell r="J533" t="str">
            <v>ACompra Venta de AccionesIndividualResidencialNuevaCasaBG000000100000.01</v>
          </cell>
          <cell r="K533">
            <v>100000.01</v>
          </cell>
          <cell r="L533">
            <v>250000</v>
          </cell>
          <cell r="M533">
            <v>90</v>
          </cell>
          <cell r="N533">
            <v>30</v>
          </cell>
          <cell r="O533">
            <v>5</v>
          </cell>
          <cell r="P533">
            <v>0</v>
          </cell>
        </row>
        <row r="534">
          <cell r="J534" t="str">
            <v>ACompra Venta de AccionesIndividualResidencialNuevaCasaBG000000250000.01</v>
          </cell>
          <cell r="K534">
            <v>250000.01</v>
          </cell>
          <cell r="L534">
            <v>600000</v>
          </cell>
          <cell r="M534">
            <v>80</v>
          </cell>
          <cell r="N534">
            <v>30</v>
          </cell>
          <cell r="O534">
            <v>5</v>
          </cell>
          <cell r="P534">
            <v>0</v>
          </cell>
        </row>
        <row r="535">
          <cell r="J535" t="str">
            <v>ACompra Venta de AccionesIndividualResidencialNuevaCasaBG000000600000.01</v>
          </cell>
          <cell r="K535">
            <v>600000.01</v>
          </cell>
          <cell r="L535">
            <v>99999999</v>
          </cell>
          <cell r="M535">
            <v>70</v>
          </cell>
          <cell r="N535">
            <v>30</v>
          </cell>
          <cell r="O535">
            <v>5</v>
          </cell>
          <cell r="P535">
            <v>0</v>
          </cell>
        </row>
        <row r="536">
          <cell r="J536" t="str">
            <v>ACompra Venta de AccionesIndividualResidencialUsadaApartamentoBG000000030000.00</v>
          </cell>
          <cell r="K536">
            <v>30000</v>
          </cell>
          <cell r="L536">
            <v>250000</v>
          </cell>
          <cell r="M536">
            <v>90</v>
          </cell>
          <cell r="N536">
            <v>25</v>
          </cell>
          <cell r="O536">
            <v>5.25</v>
          </cell>
          <cell r="P536">
            <v>0</v>
          </cell>
        </row>
        <row r="537">
          <cell r="J537" t="str">
            <v>ACompra Venta de AccionesIndividualResidencialUsadaApartamentoBG000000250000.01</v>
          </cell>
          <cell r="K537">
            <v>250000.01</v>
          </cell>
          <cell r="L537">
            <v>500000</v>
          </cell>
          <cell r="M537">
            <v>80</v>
          </cell>
          <cell r="N537">
            <v>25</v>
          </cell>
          <cell r="O537">
            <v>5</v>
          </cell>
          <cell r="P537">
            <v>0</v>
          </cell>
        </row>
        <row r="538">
          <cell r="J538" t="str">
            <v>ACompra Venta de AccionesIndividualResidencialUsadaApartamentoBG000000500000.01</v>
          </cell>
          <cell r="K538">
            <v>500000.01</v>
          </cell>
          <cell r="L538">
            <v>99999999</v>
          </cell>
          <cell r="M538">
            <v>70</v>
          </cell>
          <cell r="N538">
            <v>25</v>
          </cell>
          <cell r="O538">
            <v>5</v>
          </cell>
          <cell r="P538">
            <v>0</v>
          </cell>
        </row>
        <row r="539">
          <cell r="J539" t="str">
            <v>ACompra Venta de AccionesIndividualResidencialUsadaCasaBG000000030000.00</v>
          </cell>
          <cell r="K539">
            <v>30000</v>
          </cell>
          <cell r="L539">
            <v>250000</v>
          </cell>
          <cell r="M539">
            <v>90</v>
          </cell>
          <cell r="N539">
            <v>30</v>
          </cell>
          <cell r="O539">
            <v>5.25</v>
          </cell>
          <cell r="P539">
            <v>0</v>
          </cell>
        </row>
        <row r="540">
          <cell r="J540" t="str">
            <v>ACompra Venta de AccionesIndividualResidencialUsadaCasaBG000000250000.01</v>
          </cell>
          <cell r="K540">
            <v>250000.01</v>
          </cell>
          <cell r="L540">
            <v>500000</v>
          </cell>
          <cell r="M540">
            <v>80</v>
          </cell>
          <cell r="N540">
            <v>30</v>
          </cell>
          <cell r="O540">
            <v>5</v>
          </cell>
          <cell r="P540">
            <v>0</v>
          </cell>
        </row>
        <row r="541">
          <cell r="J541" t="str">
            <v>ACompra Venta de AccionesIndividualResidencialUsadaCasaBG000000500000.01</v>
          </cell>
          <cell r="K541">
            <v>500000.01</v>
          </cell>
          <cell r="L541">
            <v>99999999</v>
          </cell>
          <cell r="M541">
            <v>70</v>
          </cell>
          <cell r="N541">
            <v>30</v>
          </cell>
          <cell r="O541">
            <v>5</v>
          </cell>
          <cell r="P541">
            <v>0</v>
          </cell>
        </row>
        <row r="542">
          <cell r="J542" t="str">
            <v>ACompra Vivienda VacacionalIndividualResidencialUsadaApartamentoBG000000030000.00</v>
          </cell>
          <cell r="K542">
            <v>30000</v>
          </cell>
          <cell r="L542">
            <v>250000</v>
          </cell>
          <cell r="M542">
            <v>90</v>
          </cell>
          <cell r="N542">
            <v>30</v>
          </cell>
          <cell r="O542">
            <v>6.5</v>
          </cell>
          <cell r="P542">
            <v>0</v>
          </cell>
        </row>
        <row r="543">
          <cell r="J543" t="str">
            <v>ACompra Vivienda VacacionalIndividualResidencialUsadaApartamentoBG000000250000.01</v>
          </cell>
          <cell r="K543">
            <v>250000.01</v>
          </cell>
          <cell r="L543">
            <v>500000</v>
          </cell>
          <cell r="M543">
            <v>80</v>
          </cell>
          <cell r="N543">
            <v>30</v>
          </cell>
          <cell r="O543">
            <v>6.5</v>
          </cell>
          <cell r="P543">
            <v>0</v>
          </cell>
        </row>
        <row r="544">
          <cell r="J544" t="str">
            <v>ACompra Vivienda VacacionalIndividualResidencialUsadaApartamentoBG000000500000.01</v>
          </cell>
          <cell r="K544">
            <v>500000.01</v>
          </cell>
          <cell r="L544">
            <v>99999999</v>
          </cell>
          <cell r="M544">
            <v>70</v>
          </cell>
          <cell r="N544">
            <v>30</v>
          </cell>
          <cell r="O544">
            <v>6.5</v>
          </cell>
          <cell r="P544">
            <v>0</v>
          </cell>
        </row>
        <row r="545">
          <cell r="J545" t="str">
            <v>ACompra Vivienda VacacionalIndividualResidencialUsadaApartamentoCOPA000000030000.00</v>
          </cell>
          <cell r="K545">
            <v>30000</v>
          </cell>
          <cell r="L545">
            <v>250000</v>
          </cell>
          <cell r="M545">
            <v>90</v>
          </cell>
          <cell r="N545">
            <v>30</v>
          </cell>
          <cell r="O545">
            <v>6.5</v>
          </cell>
          <cell r="P545">
            <v>0</v>
          </cell>
        </row>
        <row r="546">
          <cell r="J546" t="str">
            <v>ACompra Vivienda VacacionalIndividualResidencialUsadaApartamentoCOPA000000250000.01</v>
          </cell>
          <cell r="K546">
            <v>250000.01</v>
          </cell>
          <cell r="L546">
            <v>500000</v>
          </cell>
          <cell r="M546">
            <v>80</v>
          </cell>
          <cell r="N546">
            <v>30</v>
          </cell>
          <cell r="O546">
            <v>6.5</v>
          </cell>
          <cell r="P546">
            <v>0</v>
          </cell>
        </row>
        <row r="547">
          <cell r="J547" t="str">
            <v>ACompra Vivienda VacacionalIndividualResidencialUsadaApartamentoCOPA000000500000.01</v>
          </cell>
          <cell r="K547">
            <v>500000.01</v>
          </cell>
          <cell r="L547">
            <v>99999999</v>
          </cell>
          <cell r="M547">
            <v>70</v>
          </cell>
          <cell r="N547">
            <v>30</v>
          </cell>
          <cell r="O547">
            <v>6.5</v>
          </cell>
          <cell r="P547">
            <v>0</v>
          </cell>
        </row>
        <row r="548">
          <cell r="J548" t="str">
            <v>ACompra Vivienda VacacionalIndividualResidencialUsadaApartamentoFERIA000000030000.00</v>
          </cell>
          <cell r="K548">
            <v>30000</v>
          </cell>
          <cell r="L548">
            <v>250000</v>
          </cell>
          <cell r="M548">
            <v>90</v>
          </cell>
          <cell r="N548">
            <v>30</v>
          </cell>
          <cell r="O548">
            <v>6.5</v>
          </cell>
          <cell r="P548">
            <v>0</v>
          </cell>
        </row>
        <row r="549">
          <cell r="J549" t="str">
            <v>ACompra Vivienda VacacionalIndividualResidencialUsadaApartamentoFERIA000000250000.01</v>
          </cell>
          <cell r="K549">
            <v>250000.01</v>
          </cell>
          <cell r="L549">
            <v>500000</v>
          </cell>
          <cell r="M549">
            <v>80</v>
          </cell>
          <cell r="N549">
            <v>30</v>
          </cell>
          <cell r="O549">
            <v>6.5</v>
          </cell>
          <cell r="P549">
            <v>0</v>
          </cell>
        </row>
        <row r="550">
          <cell r="J550" t="str">
            <v>ACompra Vivienda VacacionalIndividualResidencialUsadaApartamentoFERIA000000500000.01</v>
          </cell>
          <cell r="K550">
            <v>500000.01</v>
          </cell>
          <cell r="L550">
            <v>99999999</v>
          </cell>
          <cell r="M550">
            <v>70</v>
          </cell>
          <cell r="N550">
            <v>30</v>
          </cell>
          <cell r="O550">
            <v>6.5</v>
          </cell>
          <cell r="P550">
            <v>0</v>
          </cell>
        </row>
        <row r="551">
          <cell r="J551" t="str">
            <v>ACompra Vivienda VacacionalIndividualVacacionalNuevaApartamentoBG000000050000.00</v>
          </cell>
          <cell r="K551">
            <v>50000</v>
          </cell>
          <cell r="L551">
            <v>99999999</v>
          </cell>
          <cell r="M551">
            <v>70</v>
          </cell>
          <cell r="N551">
            <v>20</v>
          </cell>
          <cell r="O551">
            <v>6.5</v>
          </cell>
          <cell r="P551">
            <v>0</v>
          </cell>
        </row>
        <row r="552">
          <cell r="J552" t="str">
            <v>ACompra Vivienda VacacionalIndividualVacacionalNuevaApartamentoCOPA000000050000.00</v>
          </cell>
          <cell r="K552">
            <v>50000</v>
          </cell>
          <cell r="L552">
            <v>99999999</v>
          </cell>
          <cell r="M552">
            <v>70</v>
          </cell>
          <cell r="N552">
            <v>20</v>
          </cell>
          <cell r="O552">
            <v>6.5</v>
          </cell>
          <cell r="P552">
            <v>0</v>
          </cell>
        </row>
        <row r="553">
          <cell r="J553" t="str">
            <v>ACompra Vivienda VacacionalIndividualVacacionalNuevaApartamentoFERIA000000050000.00</v>
          </cell>
          <cell r="K553">
            <v>50000</v>
          </cell>
          <cell r="L553">
            <v>99999999</v>
          </cell>
          <cell r="M553">
            <v>70</v>
          </cell>
          <cell r="N553">
            <v>20</v>
          </cell>
          <cell r="O553">
            <v>6.5</v>
          </cell>
          <cell r="P553">
            <v>0</v>
          </cell>
        </row>
        <row r="554">
          <cell r="J554" t="str">
            <v>ACompra Vivienda VacacionalIndividualVacacionalNuevaCasaBG000000050000.00</v>
          </cell>
          <cell r="K554">
            <v>50000</v>
          </cell>
          <cell r="L554">
            <v>99999999</v>
          </cell>
          <cell r="M554">
            <v>70</v>
          </cell>
          <cell r="N554">
            <v>20</v>
          </cell>
          <cell r="O554">
            <v>6.5</v>
          </cell>
          <cell r="P554">
            <v>0</v>
          </cell>
        </row>
        <row r="555">
          <cell r="J555" t="str">
            <v>ACompra Vivienda VacacionalIndividualVacacionalNuevaCasaCOPA000000050000.00</v>
          </cell>
          <cell r="K555">
            <v>50000</v>
          </cell>
          <cell r="L555">
            <v>99999999</v>
          </cell>
          <cell r="M555">
            <v>70</v>
          </cell>
          <cell r="N555">
            <v>20</v>
          </cell>
          <cell r="O555">
            <v>6.5</v>
          </cell>
          <cell r="P555">
            <v>0</v>
          </cell>
        </row>
        <row r="556">
          <cell r="J556" t="str">
            <v>ACompra Vivienda VacacionalIndividualVacacionalNuevaCasaFERIA000000050000.00</v>
          </cell>
          <cell r="K556">
            <v>50000</v>
          </cell>
          <cell r="L556">
            <v>99999999</v>
          </cell>
          <cell r="M556">
            <v>70</v>
          </cell>
          <cell r="N556">
            <v>20</v>
          </cell>
          <cell r="O556">
            <v>6.5</v>
          </cell>
          <cell r="P556">
            <v>0</v>
          </cell>
        </row>
        <row r="557">
          <cell r="J557" t="str">
            <v>ACompra Vivienda VacacionalIndividualVacacionalUsadaApartamentoBG000000050000.00</v>
          </cell>
          <cell r="K557">
            <v>50000</v>
          </cell>
          <cell r="L557">
            <v>99999999</v>
          </cell>
          <cell r="M557">
            <v>70</v>
          </cell>
          <cell r="N557">
            <v>20</v>
          </cell>
          <cell r="O557">
            <v>6.5</v>
          </cell>
          <cell r="P557">
            <v>0</v>
          </cell>
        </row>
        <row r="558">
          <cell r="J558" t="str">
            <v>ACompra Vivienda VacacionalIndividualVacacionalUsadaApartamentoCOPA000000050000.00</v>
          </cell>
          <cell r="K558">
            <v>50000</v>
          </cell>
          <cell r="L558">
            <v>99999999</v>
          </cell>
          <cell r="M558">
            <v>70</v>
          </cell>
          <cell r="N558">
            <v>20</v>
          </cell>
          <cell r="O558">
            <v>6.5</v>
          </cell>
          <cell r="P558">
            <v>0</v>
          </cell>
        </row>
        <row r="559">
          <cell r="J559" t="str">
            <v>ACompra Vivienda VacacionalIndividualVacacionalUsadaApartamentoFERIA000000050000.00</v>
          </cell>
          <cell r="K559">
            <v>50000</v>
          </cell>
          <cell r="L559">
            <v>99999999</v>
          </cell>
          <cell r="M559">
            <v>70</v>
          </cell>
          <cell r="N559">
            <v>20</v>
          </cell>
          <cell r="O559">
            <v>6.5</v>
          </cell>
          <cell r="P559">
            <v>0</v>
          </cell>
        </row>
        <row r="560">
          <cell r="J560" t="str">
            <v>ACompra Vivienda VacacionalIndividualVacacionalUsadaCasaBG000000050000.00</v>
          </cell>
          <cell r="K560">
            <v>50000</v>
          </cell>
          <cell r="L560">
            <v>99999999</v>
          </cell>
          <cell r="M560">
            <v>70</v>
          </cell>
          <cell r="N560">
            <v>20</v>
          </cell>
          <cell r="O560">
            <v>6.5</v>
          </cell>
          <cell r="P560">
            <v>0</v>
          </cell>
        </row>
        <row r="561">
          <cell r="J561" t="str">
            <v>ACompra Vivienda VacacionalIndividualVacacionalUsadaCasaCOPA000000050000.00</v>
          </cell>
          <cell r="K561">
            <v>50000</v>
          </cell>
          <cell r="L561">
            <v>99999999</v>
          </cell>
          <cell r="M561">
            <v>70</v>
          </cell>
          <cell r="N561">
            <v>20</v>
          </cell>
          <cell r="O561">
            <v>6.5</v>
          </cell>
          <cell r="P561">
            <v>0</v>
          </cell>
        </row>
        <row r="562">
          <cell r="J562" t="str">
            <v>ACompra Vivienda VacacionalIndividualVacacionalUsadaCasaFERIA000000050000.00</v>
          </cell>
          <cell r="K562">
            <v>50000</v>
          </cell>
          <cell r="L562">
            <v>99999999</v>
          </cell>
          <cell r="M562">
            <v>70</v>
          </cell>
          <cell r="N562">
            <v>20</v>
          </cell>
          <cell r="O562">
            <v>6.5</v>
          </cell>
          <cell r="P562">
            <v>0</v>
          </cell>
        </row>
        <row r="563">
          <cell r="J563" t="str">
            <v>AConstrucciónIndividualInterinoNuevaApartamentoBG000000100000.00</v>
          </cell>
          <cell r="K563">
            <v>100000</v>
          </cell>
          <cell r="L563">
            <v>99999999</v>
          </cell>
          <cell r="M563">
            <v>90</v>
          </cell>
          <cell r="N563">
            <v>30</v>
          </cell>
          <cell r="O563">
            <v>6</v>
          </cell>
          <cell r="P563">
            <v>0</v>
          </cell>
        </row>
        <row r="564">
          <cell r="J564" t="str">
            <v>AConstrucciónIndividualInterinoNuevaApartamentoCOPA000000100000.00</v>
          </cell>
          <cell r="K564">
            <v>100000</v>
          </cell>
          <cell r="L564">
            <v>99999999</v>
          </cell>
          <cell r="M564">
            <v>90</v>
          </cell>
          <cell r="N564">
            <v>30</v>
          </cell>
          <cell r="O564">
            <v>6</v>
          </cell>
          <cell r="P564">
            <v>0</v>
          </cell>
        </row>
        <row r="565">
          <cell r="J565" t="str">
            <v>AConstrucciónIndividualInterinoNuevaApartamentoFERIA000000100000.00</v>
          </cell>
          <cell r="K565">
            <v>100000</v>
          </cell>
          <cell r="L565">
            <v>99999999</v>
          </cell>
          <cell r="M565">
            <v>90</v>
          </cell>
          <cell r="N565">
            <v>30</v>
          </cell>
          <cell r="O565">
            <v>6</v>
          </cell>
          <cell r="P565">
            <v>0</v>
          </cell>
        </row>
        <row r="566">
          <cell r="J566" t="str">
            <v>AConstrucciónIndividualInterinoNuevaCasaBG000000100000.00</v>
          </cell>
          <cell r="K566">
            <v>100000</v>
          </cell>
          <cell r="L566">
            <v>99999999</v>
          </cell>
          <cell r="M566">
            <v>90</v>
          </cell>
          <cell r="N566">
            <v>30</v>
          </cell>
          <cell r="O566">
            <v>6</v>
          </cell>
          <cell r="P566">
            <v>0</v>
          </cell>
        </row>
        <row r="567">
          <cell r="J567" t="str">
            <v>AConstrucciónIndividualInterinoNuevaCasaCOPA000000100000.00</v>
          </cell>
          <cell r="K567">
            <v>100000</v>
          </cell>
          <cell r="L567">
            <v>99999999</v>
          </cell>
          <cell r="M567">
            <v>90</v>
          </cell>
          <cell r="N567">
            <v>30</v>
          </cell>
          <cell r="O567">
            <v>6</v>
          </cell>
          <cell r="P567">
            <v>0</v>
          </cell>
        </row>
        <row r="568">
          <cell r="J568" t="str">
            <v>AConstrucciónIndividualInterinoNuevaCasaFERIA000000100000.00</v>
          </cell>
          <cell r="K568">
            <v>100000</v>
          </cell>
          <cell r="L568">
            <v>99999999</v>
          </cell>
          <cell r="M568">
            <v>90</v>
          </cell>
          <cell r="N568">
            <v>30</v>
          </cell>
          <cell r="O568">
            <v>6</v>
          </cell>
          <cell r="P568">
            <v>0</v>
          </cell>
        </row>
        <row r="569">
          <cell r="J569" t="str">
            <v>AConstrucciónLey PreferencialInterinoNuevaApartamentoBG000000080000.01</v>
          </cell>
          <cell r="K569">
            <v>80000.009999999995</v>
          </cell>
          <cell r="L569">
            <v>120000</v>
          </cell>
          <cell r="M569">
            <v>90</v>
          </cell>
          <cell r="N569">
            <v>30</v>
          </cell>
          <cell r="O569">
            <v>6</v>
          </cell>
          <cell r="P569">
            <v>4.28</v>
          </cell>
        </row>
        <row r="570">
          <cell r="J570" t="str">
            <v>AConstrucciónLey PreferencialInterinoNuevaApartamentoCOPA000000080000.01</v>
          </cell>
          <cell r="K570">
            <v>80000.009999999995</v>
          </cell>
          <cell r="L570">
            <v>120000</v>
          </cell>
          <cell r="M570">
            <v>90</v>
          </cell>
          <cell r="N570">
            <v>30</v>
          </cell>
          <cell r="O570">
            <v>6</v>
          </cell>
          <cell r="P570">
            <v>4.28</v>
          </cell>
        </row>
        <row r="571">
          <cell r="J571" t="str">
            <v>AConstrucciónLey PreferencialInterinoNuevaApartamentoFERIA000000080000.01</v>
          </cell>
          <cell r="K571">
            <v>80000.009999999995</v>
          </cell>
          <cell r="L571">
            <v>120000</v>
          </cell>
          <cell r="M571">
            <v>90</v>
          </cell>
          <cell r="N571">
            <v>30</v>
          </cell>
          <cell r="O571">
            <v>6</v>
          </cell>
          <cell r="P571">
            <v>4.28</v>
          </cell>
        </row>
        <row r="572">
          <cell r="J572" t="str">
            <v>AConstrucciónLey PreferencialInterinoNuevaCasaBG000000080000.01</v>
          </cell>
          <cell r="K572">
            <v>80000.009999999995</v>
          </cell>
          <cell r="L572">
            <v>120000</v>
          </cell>
          <cell r="M572">
            <v>90</v>
          </cell>
          <cell r="N572">
            <v>30</v>
          </cell>
          <cell r="O572">
            <v>6</v>
          </cell>
          <cell r="P572">
            <v>4.28</v>
          </cell>
        </row>
        <row r="573">
          <cell r="J573" t="str">
            <v>AConstrucciónLey PreferencialInterinoNuevaCasaCOPA000000080000.01</v>
          </cell>
          <cell r="K573">
            <v>80000.009999999995</v>
          </cell>
          <cell r="L573">
            <v>120000</v>
          </cell>
          <cell r="M573">
            <v>90</v>
          </cell>
          <cell r="N573">
            <v>30</v>
          </cell>
          <cell r="O573">
            <v>6</v>
          </cell>
          <cell r="P573">
            <v>4.28</v>
          </cell>
        </row>
        <row r="574">
          <cell r="J574" t="str">
            <v>AConstrucciónLey PreferencialInterinoNuevaCasaFERIA000000080000.01</v>
          </cell>
          <cell r="K574">
            <v>80000.009999999995</v>
          </cell>
          <cell r="L574">
            <v>120000</v>
          </cell>
          <cell r="M574">
            <v>90</v>
          </cell>
          <cell r="N574">
            <v>30</v>
          </cell>
          <cell r="O574">
            <v>6</v>
          </cell>
          <cell r="P574">
            <v>4.28</v>
          </cell>
        </row>
        <row r="575">
          <cell r="J575" t="str">
            <v>AExtensión de PlazoIndividualResidencialUsadaApartamentoBG000000005000.00</v>
          </cell>
          <cell r="K575">
            <v>5000</v>
          </cell>
          <cell r="L575">
            <v>50000000</v>
          </cell>
          <cell r="M575">
            <v>100</v>
          </cell>
          <cell r="N575">
            <v>30</v>
          </cell>
          <cell r="O575">
            <v>0</v>
          </cell>
          <cell r="P575">
            <v>0</v>
          </cell>
        </row>
        <row r="576">
          <cell r="J576" t="str">
            <v>AExtensión de PlazoIndividualResidencialUsadaApartamentoCOPA000000005000.00</v>
          </cell>
          <cell r="K576">
            <v>5000</v>
          </cell>
          <cell r="L576">
            <v>50000000</v>
          </cell>
          <cell r="M576">
            <v>100</v>
          </cell>
          <cell r="N576">
            <v>30</v>
          </cell>
          <cell r="O576">
            <v>0</v>
          </cell>
          <cell r="P576">
            <v>0</v>
          </cell>
        </row>
        <row r="577">
          <cell r="J577" t="str">
            <v>AExtensión de PlazoIndividualResidencialUsadaApartamentoFERIA000000005000.00</v>
          </cell>
          <cell r="K577">
            <v>5000</v>
          </cell>
          <cell r="L577">
            <v>50000000</v>
          </cell>
          <cell r="M577">
            <v>100</v>
          </cell>
          <cell r="N577">
            <v>30</v>
          </cell>
          <cell r="O577">
            <v>0</v>
          </cell>
          <cell r="P577">
            <v>0</v>
          </cell>
        </row>
        <row r="578">
          <cell r="J578" t="str">
            <v>AExtensión de PlazoIndividualResidencialUsadaCasaBG000000005000.00</v>
          </cell>
          <cell r="K578">
            <v>5000</v>
          </cell>
          <cell r="L578">
            <v>50000000</v>
          </cell>
          <cell r="M578">
            <v>100</v>
          </cell>
          <cell r="N578">
            <v>30</v>
          </cell>
          <cell r="O578">
            <v>0</v>
          </cell>
          <cell r="P578">
            <v>0</v>
          </cell>
        </row>
        <row r="579">
          <cell r="J579" t="str">
            <v>AExtensión de PlazoIndividualResidencialUsadaCasaCOPA000000005000.00</v>
          </cell>
          <cell r="K579">
            <v>5000</v>
          </cell>
          <cell r="L579">
            <v>50000000</v>
          </cell>
          <cell r="M579">
            <v>100</v>
          </cell>
          <cell r="N579">
            <v>30</v>
          </cell>
          <cell r="O579">
            <v>0</v>
          </cell>
          <cell r="P579">
            <v>0</v>
          </cell>
        </row>
        <row r="580">
          <cell r="J580" t="str">
            <v>AExtensión de PlazoIndividualResidencialUsadaCasaFERIA000000005000.00</v>
          </cell>
          <cell r="K580">
            <v>5000</v>
          </cell>
          <cell r="L580">
            <v>50000000</v>
          </cell>
          <cell r="M580">
            <v>100</v>
          </cell>
          <cell r="N580">
            <v>30</v>
          </cell>
          <cell r="O580">
            <v>0</v>
          </cell>
          <cell r="P580">
            <v>0</v>
          </cell>
        </row>
        <row r="581">
          <cell r="J581" t="str">
            <v>AExtensión de PlazoLey PreferencialResidencialUsadaApartamentoBG000000005000.00</v>
          </cell>
          <cell r="K581">
            <v>5000</v>
          </cell>
          <cell r="L581">
            <v>120000</v>
          </cell>
          <cell r="M581">
            <v>100</v>
          </cell>
          <cell r="N581">
            <v>30</v>
          </cell>
          <cell r="O581">
            <v>0</v>
          </cell>
          <cell r="P581">
            <v>4.28</v>
          </cell>
        </row>
        <row r="582">
          <cell r="J582" t="str">
            <v>AExtensión de PlazoLey PreferencialResidencialUsadaApartamentoCOPA000000005000.00</v>
          </cell>
          <cell r="K582">
            <v>5000</v>
          </cell>
          <cell r="L582">
            <v>120000</v>
          </cell>
          <cell r="M582">
            <v>100</v>
          </cell>
          <cell r="N582">
            <v>30</v>
          </cell>
          <cell r="O582">
            <v>0</v>
          </cell>
          <cell r="P582">
            <v>4.28</v>
          </cell>
        </row>
        <row r="583">
          <cell r="J583" t="str">
            <v>AExtensión de PlazoLey PreferencialResidencialUsadaApartamentoFERIA000000005000.00</v>
          </cell>
          <cell r="K583">
            <v>5000</v>
          </cell>
          <cell r="L583">
            <v>120000</v>
          </cell>
          <cell r="M583">
            <v>100</v>
          </cell>
          <cell r="N583">
            <v>30</v>
          </cell>
          <cell r="O583">
            <v>0</v>
          </cell>
          <cell r="P583">
            <v>4.28</v>
          </cell>
        </row>
        <row r="584">
          <cell r="J584" t="str">
            <v>AExtensión de PlazoLey PreferencialResidencialUsadaCasaBG000000005000.00</v>
          </cell>
          <cell r="K584">
            <v>5000</v>
          </cell>
          <cell r="L584">
            <v>120000</v>
          </cell>
          <cell r="M584">
            <v>100</v>
          </cell>
          <cell r="N584">
            <v>30</v>
          </cell>
          <cell r="O584">
            <v>0</v>
          </cell>
          <cell r="P584">
            <v>4.28</v>
          </cell>
        </row>
        <row r="585">
          <cell r="J585" t="str">
            <v>AExtensión de PlazoLey PreferencialResidencialUsadaCasaCOPA000000005000.00</v>
          </cell>
          <cell r="K585">
            <v>5000</v>
          </cell>
          <cell r="L585">
            <v>120000</v>
          </cell>
          <cell r="M585">
            <v>100</v>
          </cell>
          <cell r="N585">
            <v>30</v>
          </cell>
          <cell r="O585">
            <v>0</v>
          </cell>
          <cell r="P585">
            <v>4.28</v>
          </cell>
        </row>
        <row r="586">
          <cell r="J586" t="str">
            <v>AExtensión de PlazoLey PreferencialResidencialUsadaCasaFERIA000000005000.00</v>
          </cell>
          <cell r="K586">
            <v>5000</v>
          </cell>
          <cell r="L586">
            <v>120000</v>
          </cell>
          <cell r="M586">
            <v>100</v>
          </cell>
          <cell r="N586">
            <v>30</v>
          </cell>
          <cell r="O586">
            <v>0</v>
          </cell>
          <cell r="P586">
            <v>4.28</v>
          </cell>
        </row>
        <row r="587">
          <cell r="J587" t="str">
            <v>ATraspaso de Otro BancoIndividualResidencialUsadaApartamentoBG000000030000.00</v>
          </cell>
          <cell r="K587">
            <v>30000</v>
          </cell>
          <cell r="L587">
            <v>250000</v>
          </cell>
          <cell r="M587">
            <v>90</v>
          </cell>
          <cell r="N587">
            <v>30</v>
          </cell>
          <cell r="O587">
            <v>5.25</v>
          </cell>
          <cell r="P587">
            <v>0</v>
          </cell>
        </row>
        <row r="588">
          <cell r="J588" t="str">
            <v>ATraspaso de Otro BancoIndividualResidencialUsadaApartamentoBG000000250000.01</v>
          </cell>
          <cell r="K588">
            <v>250000.01</v>
          </cell>
          <cell r="L588">
            <v>500000</v>
          </cell>
          <cell r="M588">
            <v>80</v>
          </cell>
          <cell r="N588">
            <v>30</v>
          </cell>
          <cell r="O588">
            <v>5</v>
          </cell>
          <cell r="P588">
            <v>0</v>
          </cell>
        </row>
        <row r="589">
          <cell r="J589" t="str">
            <v>ATraspaso de Otro BancoIndividualResidencialUsadaApartamentoBG000000500000.01</v>
          </cell>
          <cell r="K589">
            <v>500000.01</v>
          </cell>
          <cell r="L589">
            <v>99999999</v>
          </cell>
          <cell r="M589">
            <v>70</v>
          </cell>
          <cell r="N589">
            <v>30</v>
          </cell>
          <cell r="O589">
            <v>5</v>
          </cell>
          <cell r="P589">
            <v>0</v>
          </cell>
        </row>
        <row r="590">
          <cell r="J590" t="str">
            <v>ATraspaso de Otro BancoIndividualResidencialUsadaApartamentoCOPA000000030000.00</v>
          </cell>
          <cell r="K590">
            <v>30000</v>
          </cell>
          <cell r="L590">
            <v>250000</v>
          </cell>
          <cell r="M590">
            <v>90</v>
          </cell>
          <cell r="N590">
            <v>30</v>
          </cell>
          <cell r="O590">
            <v>5.25</v>
          </cell>
          <cell r="P590">
            <v>0</v>
          </cell>
        </row>
        <row r="591">
          <cell r="J591" t="str">
            <v>ATraspaso de Otro BancoIndividualResidencialUsadaApartamentoCOPA000000250000.01</v>
          </cell>
          <cell r="K591">
            <v>250000.01</v>
          </cell>
          <cell r="L591">
            <v>500000</v>
          </cell>
          <cell r="M591">
            <v>80</v>
          </cell>
          <cell r="N591">
            <v>30</v>
          </cell>
          <cell r="O591">
            <v>5</v>
          </cell>
          <cell r="P591">
            <v>0</v>
          </cell>
        </row>
        <row r="592">
          <cell r="J592" t="str">
            <v>ATraspaso de Otro BancoIndividualResidencialUsadaApartamentoCOPA000000500000.01</v>
          </cell>
          <cell r="K592">
            <v>500000.01</v>
          </cell>
          <cell r="L592">
            <v>99999999</v>
          </cell>
          <cell r="M592">
            <v>70</v>
          </cell>
          <cell r="N592">
            <v>30</v>
          </cell>
          <cell r="O592">
            <v>5</v>
          </cell>
          <cell r="P592">
            <v>0</v>
          </cell>
        </row>
        <row r="593">
          <cell r="J593" t="str">
            <v>ATraspaso de Otro BancoIndividualResidencialUsadaApartamentoFERIA000000040000.00</v>
          </cell>
          <cell r="K593">
            <v>40000</v>
          </cell>
          <cell r="L593">
            <v>200000</v>
          </cell>
          <cell r="M593">
            <v>90</v>
          </cell>
          <cell r="N593">
            <v>30</v>
          </cell>
          <cell r="O593">
            <v>5.25</v>
          </cell>
          <cell r="P593">
            <v>0</v>
          </cell>
        </row>
        <row r="594">
          <cell r="J594" t="str">
            <v>ATraspaso de Otro BancoIndividualResidencialUsadaApartamentoFERIA000000200000.01</v>
          </cell>
          <cell r="K594">
            <v>200000.01</v>
          </cell>
          <cell r="L594">
            <v>99999999</v>
          </cell>
          <cell r="M594">
            <v>80</v>
          </cell>
          <cell r="N594">
            <v>30</v>
          </cell>
          <cell r="O594">
            <v>5</v>
          </cell>
          <cell r="P594">
            <v>0</v>
          </cell>
        </row>
        <row r="595">
          <cell r="J595" t="str">
            <v>ATraspaso de Otro BancoIndividualResidencialUsadaApartamentoFERIA000000500000.01</v>
          </cell>
          <cell r="K595">
            <v>500000.01</v>
          </cell>
          <cell r="L595">
            <v>99999999</v>
          </cell>
          <cell r="M595">
            <v>70</v>
          </cell>
          <cell r="N595">
            <v>30</v>
          </cell>
          <cell r="O595">
            <v>5</v>
          </cell>
          <cell r="P595">
            <v>0</v>
          </cell>
        </row>
        <row r="596">
          <cell r="J596" t="str">
            <v>ATraspaso de Otro BancoIndividualResidencialUsadaCasaBG000000030000.00</v>
          </cell>
          <cell r="K596">
            <v>30000</v>
          </cell>
          <cell r="L596">
            <v>250000</v>
          </cell>
          <cell r="M596">
            <v>90</v>
          </cell>
          <cell r="N596">
            <v>30</v>
          </cell>
          <cell r="O596">
            <v>5.25</v>
          </cell>
          <cell r="P596">
            <v>0</v>
          </cell>
        </row>
        <row r="597">
          <cell r="J597" t="str">
            <v>ATraspaso de Otro BancoIndividualResidencialUsadaCasaBG000000250000.01</v>
          </cell>
          <cell r="K597">
            <v>250000.01</v>
          </cell>
          <cell r="L597">
            <v>500000</v>
          </cell>
          <cell r="M597">
            <v>80</v>
          </cell>
          <cell r="N597">
            <v>30</v>
          </cell>
          <cell r="O597">
            <v>5</v>
          </cell>
          <cell r="P597">
            <v>0</v>
          </cell>
        </row>
        <row r="598">
          <cell r="J598" t="str">
            <v>ATraspaso de Otro BancoIndividualResidencialUsadaCasaBG000000500000.01</v>
          </cell>
          <cell r="K598">
            <v>500000.01</v>
          </cell>
          <cell r="L598">
            <v>99999999</v>
          </cell>
          <cell r="M598">
            <v>70</v>
          </cell>
          <cell r="N598">
            <v>30</v>
          </cell>
          <cell r="O598">
            <v>5</v>
          </cell>
          <cell r="P598">
            <v>0</v>
          </cell>
        </row>
        <row r="599">
          <cell r="J599" t="str">
            <v>ATraspaso de Otro BancoIndividualResidencialUsadaCasaCOPA000000030000.00</v>
          </cell>
          <cell r="K599">
            <v>30000</v>
          </cell>
          <cell r="L599">
            <v>250000</v>
          </cell>
          <cell r="M599">
            <v>90</v>
          </cell>
          <cell r="N599">
            <v>30</v>
          </cell>
          <cell r="O599">
            <v>5.25</v>
          </cell>
          <cell r="P599">
            <v>0</v>
          </cell>
        </row>
        <row r="600">
          <cell r="J600" t="str">
            <v>ATraspaso de Otro BancoIndividualResidencialUsadaCasaCOPA000000250000.01</v>
          </cell>
          <cell r="K600">
            <v>250000.01</v>
          </cell>
          <cell r="L600">
            <v>500000</v>
          </cell>
          <cell r="M600">
            <v>80</v>
          </cell>
          <cell r="N600">
            <v>30</v>
          </cell>
          <cell r="O600">
            <v>5</v>
          </cell>
          <cell r="P600">
            <v>0</v>
          </cell>
        </row>
        <row r="601">
          <cell r="J601" t="str">
            <v>ATraspaso de Otro BancoIndividualResidencialUsadaCasaCOPA000000500000.01</v>
          </cell>
          <cell r="K601">
            <v>500000.01</v>
          </cell>
          <cell r="L601">
            <v>99999999</v>
          </cell>
          <cell r="M601">
            <v>70</v>
          </cell>
          <cell r="N601">
            <v>30</v>
          </cell>
          <cell r="O601">
            <v>5</v>
          </cell>
          <cell r="P601">
            <v>0</v>
          </cell>
        </row>
        <row r="602">
          <cell r="J602" t="str">
            <v>ATraspaso de Otro BancoIndividualResidencialUsadaCasaFERIA000000040000.00</v>
          </cell>
          <cell r="K602">
            <v>40000</v>
          </cell>
          <cell r="L602">
            <v>200000</v>
          </cell>
          <cell r="M602">
            <v>90</v>
          </cell>
          <cell r="N602">
            <v>30</v>
          </cell>
          <cell r="O602">
            <v>5.25</v>
          </cell>
          <cell r="P602">
            <v>0</v>
          </cell>
        </row>
        <row r="603">
          <cell r="J603" t="str">
            <v>ATraspaso de Otro BancoIndividualResidencialUsadaCasaFERIA000000200000.01</v>
          </cell>
          <cell r="K603">
            <v>200000.01</v>
          </cell>
          <cell r="L603">
            <v>99999999</v>
          </cell>
          <cell r="M603">
            <v>80</v>
          </cell>
          <cell r="N603">
            <v>30</v>
          </cell>
          <cell r="O603">
            <v>5</v>
          </cell>
          <cell r="P603">
            <v>0</v>
          </cell>
        </row>
        <row r="604">
          <cell r="J604" t="str">
            <v>ATraspaso de Otro BancoIndividualResidencialUsadaCasaFERIA000000500000.01</v>
          </cell>
          <cell r="K604">
            <v>500000.01</v>
          </cell>
          <cell r="L604">
            <v>99999999</v>
          </cell>
          <cell r="M604">
            <v>70</v>
          </cell>
          <cell r="N604">
            <v>30</v>
          </cell>
          <cell r="O604">
            <v>5</v>
          </cell>
          <cell r="P604">
            <v>0</v>
          </cell>
        </row>
        <row r="605">
          <cell r="J605" t="str">
            <v>ATraspaso por compra de vivienda (Ley Preferencial en BG)Ley PreferencialResidencialUsadaApartamentoBG000000030000.00</v>
          </cell>
          <cell r="K605">
            <v>30000</v>
          </cell>
          <cell r="L605">
            <v>40000</v>
          </cell>
          <cell r="M605">
            <v>95</v>
          </cell>
          <cell r="N605">
            <v>30</v>
          </cell>
          <cell r="O605">
            <v>0</v>
          </cell>
          <cell r="P605">
            <v>8.56</v>
          </cell>
        </row>
        <row r="606">
          <cell r="J606" t="str">
            <v>ATraspaso por compra de vivienda (Ley Preferencial en BG)Ley PreferencialResidencialUsadaApartamentoBG000000040000.01</v>
          </cell>
          <cell r="K606">
            <v>40000.01</v>
          </cell>
          <cell r="L606">
            <v>80000</v>
          </cell>
          <cell r="M606">
            <v>95</v>
          </cell>
          <cell r="N606">
            <v>30</v>
          </cell>
          <cell r="O606">
            <v>1.25</v>
          </cell>
          <cell r="P606">
            <v>8.56</v>
          </cell>
        </row>
        <row r="607">
          <cell r="J607" t="str">
            <v>ATraspaso por compra de vivienda (Ley Preferencial en BG)Ley PreferencialResidencialUsadaApartamentoBG000000080000.01</v>
          </cell>
          <cell r="K607">
            <v>80000.009999999995</v>
          </cell>
          <cell r="L607">
            <v>120000</v>
          </cell>
          <cell r="M607">
            <v>95</v>
          </cell>
          <cell r="N607">
            <v>30</v>
          </cell>
          <cell r="O607">
            <v>1.25</v>
          </cell>
          <cell r="P607">
            <v>8.56</v>
          </cell>
        </row>
        <row r="608">
          <cell r="J608" t="str">
            <v>ATraspaso por compra de vivienda (Ley Preferencial en BG)Ley PreferencialResidencialUsadaApartamentoCOPA000000030000.00</v>
          </cell>
          <cell r="K608">
            <v>30000</v>
          </cell>
          <cell r="L608">
            <v>40000</v>
          </cell>
          <cell r="M608">
            <v>95</v>
          </cell>
          <cell r="N608">
            <v>30</v>
          </cell>
          <cell r="O608">
            <v>0</v>
          </cell>
          <cell r="P608">
            <v>4.28</v>
          </cell>
        </row>
        <row r="609">
          <cell r="J609" t="str">
            <v>ATraspaso por compra de vivienda (Ley Preferencial en BG)Ley PreferencialResidencialUsadaApartamentoCOPA000000040000.01</v>
          </cell>
          <cell r="K609">
            <v>40000.01</v>
          </cell>
          <cell r="L609">
            <v>80000</v>
          </cell>
          <cell r="M609">
            <v>95</v>
          </cell>
          <cell r="N609">
            <v>30</v>
          </cell>
          <cell r="O609">
            <v>1.25</v>
          </cell>
          <cell r="P609">
            <v>4.28</v>
          </cell>
        </row>
        <row r="610">
          <cell r="J610" t="str">
            <v>ATraspaso por compra de vivienda (Ley Preferencial en BG)Ley PreferencialResidencialUsadaApartamentoCOPA000000080000.01</v>
          </cell>
          <cell r="K610">
            <v>80000.009999999995</v>
          </cell>
          <cell r="L610">
            <v>120000</v>
          </cell>
          <cell r="M610">
            <v>95</v>
          </cell>
          <cell r="N610">
            <v>30</v>
          </cell>
          <cell r="O610">
            <v>1.25</v>
          </cell>
          <cell r="P610">
            <v>4.28</v>
          </cell>
        </row>
        <row r="611">
          <cell r="J611" t="str">
            <v>ATraspaso por compra de vivienda (Ley Preferencial en BG)Ley PreferencialResidencialUsadaApartamentoFERIA000000030000.00</v>
          </cell>
          <cell r="K611">
            <v>30000</v>
          </cell>
          <cell r="L611">
            <v>40000</v>
          </cell>
          <cell r="M611">
            <v>95</v>
          </cell>
          <cell r="N611">
            <v>30</v>
          </cell>
          <cell r="O611">
            <v>0</v>
          </cell>
          <cell r="P611">
            <v>4.28</v>
          </cell>
        </row>
        <row r="612">
          <cell r="J612" t="str">
            <v>ATraspaso por compra de vivienda (Ley Preferencial en BG)Ley PreferencialResidencialUsadaApartamentoFERIA000000040000.01</v>
          </cell>
          <cell r="K612">
            <v>40000.01</v>
          </cell>
          <cell r="L612">
            <v>80000</v>
          </cell>
          <cell r="M612">
            <v>95</v>
          </cell>
          <cell r="N612">
            <v>30</v>
          </cell>
          <cell r="O612">
            <v>1.25</v>
          </cell>
          <cell r="P612">
            <v>4.28</v>
          </cell>
        </row>
        <row r="613">
          <cell r="J613" t="str">
            <v>ATraspaso por compra de vivienda (Ley Preferencial en BG)Ley PreferencialResidencialUsadaApartamentoFERIA000000080000.01</v>
          </cell>
          <cell r="K613">
            <v>80000.009999999995</v>
          </cell>
          <cell r="L613">
            <v>120000</v>
          </cell>
          <cell r="M613">
            <v>95</v>
          </cell>
          <cell r="N613">
            <v>30</v>
          </cell>
          <cell r="O613">
            <v>1.25</v>
          </cell>
          <cell r="P613">
            <v>4.28</v>
          </cell>
        </row>
        <row r="614">
          <cell r="J614" t="str">
            <v>ATraspaso por compra de vivienda (Ley Preferencial en BG)Ley PreferencialResidencialUsadaCasaBG000000018000.00</v>
          </cell>
          <cell r="K614">
            <v>18000</v>
          </cell>
          <cell r="L614">
            <v>40000</v>
          </cell>
          <cell r="M614">
            <v>98</v>
          </cell>
          <cell r="N614">
            <v>30</v>
          </cell>
          <cell r="O614">
            <v>0</v>
          </cell>
          <cell r="P614">
            <v>8.56</v>
          </cell>
        </row>
        <row r="615">
          <cell r="J615" t="str">
            <v>ATraspaso por compra de vivienda (Ley Preferencial en BG)Ley PreferencialResidencialUsadaCasaBG000000030000.01</v>
          </cell>
          <cell r="K615">
            <v>30000.01</v>
          </cell>
          <cell r="L615">
            <v>80000</v>
          </cell>
          <cell r="M615">
            <v>98</v>
          </cell>
          <cell r="N615">
            <v>30</v>
          </cell>
          <cell r="O615">
            <v>1.25</v>
          </cell>
          <cell r="P615">
            <v>8.56</v>
          </cell>
        </row>
        <row r="616">
          <cell r="J616" t="str">
            <v>ATraspaso por compra de vivienda (Ley Preferencial en BG)Ley PreferencialResidencialUsadaCasaBG000000080000.01</v>
          </cell>
          <cell r="K616">
            <v>80000.009999999995</v>
          </cell>
          <cell r="L616">
            <v>120000</v>
          </cell>
          <cell r="M616">
            <v>98</v>
          </cell>
          <cell r="N616">
            <v>30</v>
          </cell>
          <cell r="O616">
            <v>1.25</v>
          </cell>
          <cell r="P616">
            <v>8.56</v>
          </cell>
        </row>
        <row r="617">
          <cell r="J617" t="str">
            <v>ATraspaso por compra de vivienda (Ley Preferencial en BG)Ley PreferencialResidencialUsadaCasaCOPA000000018000.00</v>
          </cell>
          <cell r="K617">
            <v>18000</v>
          </cell>
          <cell r="L617">
            <v>40000</v>
          </cell>
          <cell r="M617">
            <v>98</v>
          </cell>
          <cell r="N617">
            <v>30</v>
          </cell>
          <cell r="O617">
            <v>0</v>
          </cell>
          <cell r="P617">
            <v>4.28</v>
          </cell>
        </row>
        <row r="618">
          <cell r="J618" t="str">
            <v>ATraspaso por compra de vivienda (Ley Preferencial en BG)Ley PreferencialResidencialUsadaCasaCOPA000000030000.01</v>
          </cell>
          <cell r="K618">
            <v>30000.01</v>
          </cell>
          <cell r="L618">
            <v>80000</v>
          </cell>
          <cell r="M618">
            <v>98</v>
          </cell>
          <cell r="N618">
            <v>30</v>
          </cell>
          <cell r="O618">
            <v>1.25</v>
          </cell>
          <cell r="P618">
            <v>4.28</v>
          </cell>
        </row>
        <row r="619">
          <cell r="J619" t="str">
            <v>ATraspaso por compra de vivienda (Ley Preferencial en BG)Ley PreferencialResidencialUsadaCasaCOPA000000080000.01</v>
          </cell>
          <cell r="K619">
            <v>80000.009999999995</v>
          </cell>
          <cell r="L619">
            <v>120000</v>
          </cell>
          <cell r="M619">
            <v>98</v>
          </cell>
          <cell r="N619">
            <v>30</v>
          </cell>
          <cell r="O619">
            <v>1.25</v>
          </cell>
          <cell r="P619">
            <v>4.28</v>
          </cell>
        </row>
        <row r="620">
          <cell r="J620" t="str">
            <v>ATraspaso por compra de vivienda (Ley Preferencial en BG)Ley PreferencialResidencialUsadaCasaFERIA000000018000.00</v>
          </cell>
          <cell r="K620">
            <v>18000</v>
          </cell>
          <cell r="L620">
            <v>40000</v>
          </cell>
          <cell r="M620">
            <v>98</v>
          </cell>
          <cell r="N620">
            <v>30</v>
          </cell>
          <cell r="O620">
            <v>0</v>
          </cell>
          <cell r="P620">
            <v>4.28</v>
          </cell>
        </row>
        <row r="621">
          <cell r="J621" t="str">
            <v>ATraspaso por compra de vivienda (Ley Preferencial en BG)Ley PreferencialResidencialUsadaCasaFERIA000000030000.01</v>
          </cell>
          <cell r="K621">
            <v>30000.01</v>
          </cell>
          <cell r="L621">
            <v>80000</v>
          </cell>
          <cell r="M621">
            <v>98</v>
          </cell>
          <cell r="N621">
            <v>30</v>
          </cell>
          <cell r="O621">
            <v>1.25</v>
          </cell>
          <cell r="P621">
            <v>4.28</v>
          </cell>
        </row>
        <row r="622">
          <cell r="J622" t="str">
            <v>ATraspaso por compra de vivienda (Ley Preferencial en BG)Ley PreferencialResidencialUsadaCasaFERIA000000080000.01</v>
          </cell>
          <cell r="K622">
            <v>80000.009999999995</v>
          </cell>
          <cell r="L622">
            <v>120000</v>
          </cell>
          <cell r="M622">
            <v>98</v>
          </cell>
          <cell r="N622">
            <v>30</v>
          </cell>
          <cell r="O622">
            <v>1.25</v>
          </cell>
          <cell r="P622">
            <v>4.28</v>
          </cell>
        </row>
        <row r="623">
          <cell r="J623" t="str">
            <v>BCompra de ViviendaCasco AntiguoResidencialNuevaApartamentoBG000000030000.00</v>
          </cell>
          <cell r="K623">
            <v>30000</v>
          </cell>
          <cell r="L623">
            <v>99999999</v>
          </cell>
          <cell r="M623">
            <v>80</v>
          </cell>
          <cell r="N623">
            <v>30</v>
          </cell>
          <cell r="O623">
            <v>3.25</v>
          </cell>
          <cell r="P623">
            <v>8.56</v>
          </cell>
        </row>
        <row r="624">
          <cell r="J624" t="str">
            <v>BCompra de ViviendaCasco AntiguoResidencialNuevaApartamentoCOPA000000030000.00</v>
          </cell>
          <cell r="K624">
            <v>30000</v>
          </cell>
          <cell r="L624">
            <v>99999999</v>
          </cell>
          <cell r="M624">
            <v>80</v>
          </cell>
          <cell r="N624">
            <v>30</v>
          </cell>
          <cell r="O624">
            <v>3.25</v>
          </cell>
          <cell r="P624">
            <v>4.28</v>
          </cell>
        </row>
        <row r="625">
          <cell r="J625" t="str">
            <v>BCompra de ViviendaCasco AntiguoResidencialNuevaApartamentoFERIA000000030000.00</v>
          </cell>
          <cell r="K625">
            <v>30000</v>
          </cell>
          <cell r="L625">
            <v>99999999</v>
          </cell>
          <cell r="M625">
            <v>80</v>
          </cell>
          <cell r="N625">
            <v>30</v>
          </cell>
          <cell r="O625">
            <v>3.25</v>
          </cell>
          <cell r="P625">
            <v>4.28</v>
          </cell>
        </row>
        <row r="626">
          <cell r="J626" t="str">
            <v>BCompra de ViviendaCasco AntiguoResidencialNuevaCasaBG000000030000.00</v>
          </cell>
          <cell r="K626">
            <v>30000</v>
          </cell>
          <cell r="L626">
            <v>99999999</v>
          </cell>
          <cell r="M626">
            <v>80</v>
          </cell>
          <cell r="N626">
            <v>30</v>
          </cell>
          <cell r="O626">
            <v>3.25</v>
          </cell>
          <cell r="P626">
            <v>8.56</v>
          </cell>
        </row>
        <row r="627">
          <cell r="J627" t="str">
            <v>BCompra de ViviendaCasco AntiguoResidencialNuevaCasaCOPA000000030000.00</v>
          </cell>
          <cell r="K627">
            <v>30000</v>
          </cell>
          <cell r="L627">
            <v>99999999</v>
          </cell>
          <cell r="M627">
            <v>80</v>
          </cell>
          <cell r="N627">
            <v>30</v>
          </cell>
          <cell r="O627">
            <v>3.25</v>
          </cell>
          <cell r="P627">
            <v>4.28</v>
          </cell>
        </row>
        <row r="628">
          <cell r="J628" t="str">
            <v>BCompra de ViviendaCasco AntiguoResidencialNuevaCasaFERIA000000030000.00</v>
          </cell>
          <cell r="K628">
            <v>30000</v>
          </cell>
          <cell r="L628">
            <v>99999999</v>
          </cell>
          <cell r="M628">
            <v>80</v>
          </cell>
          <cell r="N628">
            <v>30</v>
          </cell>
          <cell r="O628">
            <v>3.25</v>
          </cell>
          <cell r="P628">
            <v>4.28</v>
          </cell>
        </row>
        <row r="629">
          <cell r="J629" t="str">
            <v>BCompra de ViviendaCasco AntiguoResidencialUsadaApartamentoBG000000030000.00</v>
          </cell>
          <cell r="K629">
            <v>30000</v>
          </cell>
          <cell r="L629">
            <v>99999999</v>
          </cell>
          <cell r="M629">
            <v>80</v>
          </cell>
          <cell r="N629">
            <v>30</v>
          </cell>
          <cell r="O629">
            <v>3.25</v>
          </cell>
          <cell r="P629">
            <v>8.56</v>
          </cell>
        </row>
        <row r="630">
          <cell r="J630" t="str">
            <v>BCompra de ViviendaCasco AntiguoResidencialUsadaApartamentoCOPA000000030000.00</v>
          </cell>
          <cell r="K630">
            <v>30000</v>
          </cell>
          <cell r="L630">
            <v>99999999</v>
          </cell>
          <cell r="M630">
            <v>80</v>
          </cell>
          <cell r="N630">
            <v>30</v>
          </cell>
          <cell r="O630">
            <v>3.25</v>
          </cell>
          <cell r="P630">
            <v>4.28</v>
          </cell>
        </row>
        <row r="631">
          <cell r="J631" t="str">
            <v>BCompra de ViviendaCasco AntiguoResidencialUsadaApartamentoFERIA000000030000.00</v>
          </cell>
          <cell r="K631">
            <v>30000</v>
          </cell>
          <cell r="L631">
            <v>99999999</v>
          </cell>
          <cell r="M631">
            <v>80</v>
          </cell>
          <cell r="N631">
            <v>30</v>
          </cell>
          <cell r="O631">
            <v>3.25</v>
          </cell>
          <cell r="P631">
            <v>4.28</v>
          </cell>
        </row>
        <row r="632">
          <cell r="J632" t="str">
            <v>BCompra de ViviendaCasco AntiguoResidencialUsadaCasaBG000000030000.00</v>
          </cell>
          <cell r="K632">
            <v>30000</v>
          </cell>
          <cell r="L632">
            <v>99999999</v>
          </cell>
          <cell r="M632">
            <v>80</v>
          </cell>
          <cell r="N632">
            <v>30</v>
          </cell>
          <cell r="O632">
            <v>3.25</v>
          </cell>
          <cell r="P632">
            <v>8.56</v>
          </cell>
        </row>
        <row r="633">
          <cell r="J633" t="str">
            <v>BCompra de ViviendaCasco AntiguoResidencialUsadaCasaCOPA000000030000.00</v>
          </cell>
          <cell r="K633">
            <v>30000</v>
          </cell>
          <cell r="L633">
            <v>99999999</v>
          </cell>
          <cell r="M633">
            <v>80</v>
          </cell>
          <cell r="N633">
            <v>30</v>
          </cell>
          <cell r="O633">
            <v>3.25</v>
          </cell>
          <cell r="P633">
            <v>4.28</v>
          </cell>
        </row>
        <row r="634">
          <cell r="J634" t="str">
            <v>BCompra de ViviendaCasco AntiguoResidencialUsadaCasaFERIA000000030000.00</v>
          </cell>
          <cell r="K634">
            <v>30000</v>
          </cell>
          <cell r="L634">
            <v>99999999</v>
          </cell>
          <cell r="M634">
            <v>80</v>
          </cell>
          <cell r="N634">
            <v>30</v>
          </cell>
          <cell r="O634">
            <v>3.25</v>
          </cell>
          <cell r="P634">
            <v>4.28</v>
          </cell>
        </row>
        <row r="635">
          <cell r="J635" t="str">
            <v>BCompra de ViviendaIndividualReposeídoUsadaApartamentoBG000000030000.00</v>
          </cell>
          <cell r="K635">
            <v>30000</v>
          </cell>
          <cell r="L635">
            <v>250000</v>
          </cell>
          <cell r="M635">
            <v>80</v>
          </cell>
          <cell r="N635">
            <v>30</v>
          </cell>
          <cell r="O635">
            <v>6.5</v>
          </cell>
          <cell r="P635">
            <v>0</v>
          </cell>
        </row>
        <row r="636">
          <cell r="J636" t="str">
            <v>BCompra de ViviendaIndividualReposeídoUsadaApartamentoBG000000250000.01</v>
          </cell>
          <cell r="K636">
            <v>250000.01</v>
          </cell>
          <cell r="L636">
            <v>500000</v>
          </cell>
          <cell r="M636">
            <v>80</v>
          </cell>
          <cell r="N636">
            <v>30</v>
          </cell>
          <cell r="O636">
            <v>6.5</v>
          </cell>
          <cell r="P636">
            <v>0</v>
          </cell>
        </row>
        <row r="637">
          <cell r="J637" t="str">
            <v>BCompra de ViviendaIndividualReposeídoUsadaApartamentoBG000000500000.01</v>
          </cell>
          <cell r="K637">
            <v>500000.01</v>
          </cell>
          <cell r="L637">
            <v>99999999</v>
          </cell>
          <cell r="M637">
            <v>80</v>
          </cell>
          <cell r="N637">
            <v>30</v>
          </cell>
          <cell r="O637">
            <v>6.5</v>
          </cell>
          <cell r="P637">
            <v>0</v>
          </cell>
        </row>
        <row r="638">
          <cell r="J638" t="str">
            <v>BCompra de ViviendaIndividualReposeídoUsadaApartamentoCOPA000000030000.00</v>
          </cell>
          <cell r="K638">
            <v>30000</v>
          </cell>
          <cell r="L638">
            <v>250000</v>
          </cell>
          <cell r="M638">
            <v>80</v>
          </cell>
          <cell r="N638">
            <v>30</v>
          </cell>
          <cell r="O638">
            <v>6.5</v>
          </cell>
          <cell r="P638">
            <v>0</v>
          </cell>
        </row>
        <row r="639">
          <cell r="J639" t="str">
            <v>BCompra de ViviendaIndividualReposeídoUsadaApartamentoCOPA000000250000.01</v>
          </cell>
          <cell r="K639">
            <v>250000.01</v>
          </cell>
          <cell r="L639">
            <v>500000</v>
          </cell>
          <cell r="M639">
            <v>80</v>
          </cell>
          <cell r="N639">
            <v>30</v>
          </cell>
          <cell r="O639">
            <v>6.5</v>
          </cell>
          <cell r="P639">
            <v>0</v>
          </cell>
        </row>
        <row r="640">
          <cell r="J640" t="str">
            <v>BCompra de ViviendaIndividualReposeídoUsadaApartamentoCOPA000000500000.01</v>
          </cell>
          <cell r="K640">
            <v>500000.01</v>
          </cell>
          <cell r="L640">
            <v>99999999</v>
          </cell>
          <cell r="M640">
            <v>80</v>
          </cell>
          <cell r="N640">
            <v>30</v>
          </cell>
          <cell r="O640">
            <v>6.5</v>
          </cell>
          <cell r="P640">
            <v>0</v>
          </cell>
        </row>
        <row r="641">
          <cell r="J641" t="str">
            <v>BCompra de ViviendaIndividualReposeídoUsadaApartamentoFERIA000000030000.00</v>
          </cell>
          <cell r="K641">
            <v>30000</v>
          </cell>
          <cell r="L641">
            <v>250000</v>
          </cell>
          <cell r="M641">
            <v>80</v>
          </cell>
          <cell r="N641">
            <v>30</v>
          </cell>
          <cell r="O641">
            <v>6.5</v>
          </cell>
          <cell r="P641">
            <v>0</v>
          </cell>
        </row>
        <row r="642">
          <cell r="J642" t="str">
            <v>BCompra de ViviendaIndividualReposeídoUsadaApartamentoFERIA000000250000.01</v>
          </cell>
          <cell r="K642">
            <v>250000.01</v>
          </cell>
          <cell r="L642">
            <v>500000</v>
          </cell>
          <cell r="M642">
            <v>80</v>
          </cell>
          <cell r="N642">
            <v>30</v>
          </cell>
          <cell r="O642">
            <v>6.5</v>
          </cell>
          <cell r="P642">
            <v>0</v>
          </cell>
        </row>
        <row r="643">
          <cell r="J643" t="str">
            <v>BCompra de ViviendaIndividualReposeídoUsadaApartamentoFERIA000000500000.01</v>
          </cell>
          <cell r="K643">
            <v>500000.01</v>
          </cell>
          <cell r="L643">
            <v>99999999</v>
          </cell>
          <cell r="M643">
            <v>80</v>
          </cell>
          <cell r="N643">
            <v>30</v>
          </cell>
          <cell r="O643">
            <v>6.5</v>
          </cell>
          <cell r="P643">
            <v>0</v>
          </cell>
        </row>
        <row r="644">
          <cell r="J644" t="str">
            <v>BCompra de ViviendaIndividualReposeídoUsadaCasaBG000000030000.00</v>
          </cell>
          <cell r="K644">
            <v>30000</v>
          </cell>
          <cell r="L644">
            <v>250000</v>
          </cell>
          <cell r="M644">
            <v>80</v>
          </cell>
          <cell r="N644">
            <v>30</v>
          </cell>
          <cell r="O644">
            <v>6.5</v>
          </cell>
          <cell r="P644">
            <v>0</v>
          </cell>
        </row>
        <row r="645">
          <cell r="J645" t="str">
            <v>BCompra de ViviendaIndividualReposeídoUsadaCasaBG000000250000.01</v>
          </cell>
          <cell r="K645">
            <v>250000.01</v>
          </cell>
          <cell r="L645">
            <v>500000</v>
          </cell>
          <cell r="M645">
            <v>80</v>
          </cell>
          <cell r="N645">
            <v>30</v>
          </cell>
          <cell r="O645">
            <v>6.5</v>
          </cell>
          <cell r="P645">
            <v>0</v>
          </cell>
        </row>
        <row r="646">
          <cell r="J646" t="str">
            <v>BCompra de ViviendaIndividualReposeídoUsadaCasaBG000000500000.01</v>
          </cell>
          <cell r="K646">
            <v>500000.01</v>
          </cell>
          <cell r="L646">
            <v>99999999</v>
          </cell>
          <cell r="M646">
            <v>80</v>
          </cell>
          <cell r="N646">
            <v>30</v>
          </cell>
          <cell r="O646">
            <v>6.5</v>
          </cell>
          <cell r="P646">
            <v>0</v>
          </cell>
        </row>
        <row r="647">
          <cell r="J647" t="str">
            <v>BCompra de ViviendaIndividualReposeídoUsadaCasaCOPA000000030000.00</v>
          </cell>
          <cell r="K647">
            <v>30000</v>
          </cell>
          <cell r="L647">
            <v>250000</v>
          </cell>
          <cell r="M647">
            <v>80</v>
          </cell>
          <cell r="N647">
            <v>30</v>
          </cell>
          <cell r="O647">
            <v>6.5</v>
          </cell>
          <cell r="P647">
            <v>0</v>
          </cell>
        </row>
        <row r="648">
          <cell r="J648" t="str">
            <v>BCompra de ViviendaIndividualReposeídoUsadaCasaCOPA000000250000.01</v>
          </cell>
          <cell r="K648">
            <v>250000.01</v>
          </cell>
          <cell r="L648">
            <v>500000</v>
          </cell>
          <cell r="M648">
            <v>80</v>
          </cell>
          <cell r="N648">
            <v>30</v>
          </cell>
          <cell r="O648">
            <v>6.5</v>
          </cell>
          <cell r="P648">
            <v>0</v>
          </cell>
        </row>
        <row r="649">
          <cell r="J649" t="str">
            <v>BCompra de ViviendaIndividualReposeídoUsadaCasaCOPA000000500000.01</v>
          </cell>
          <cell r="K649">
            <v>500000.01</v>
          </cell>
          <cell r="L649">
            <v>99999999</v>
          </cell>
          <cell r="M649">
            <v>80</v>
          </cell>
          <cell r="N649">
            <v>30</v>
          </cell>
          <cell r="O649">
            <v>6.5</v>
          </cell>
          <cell r="P649">
            <v>0</v>
          </cell>
        </row>
        <row r="650">
          <cell r="J650" t="str">
            <v>BCompra de ViviendaIndividualReposeídoUsadaCasaFERIA000000030000.00</v>
          </cell>
          <cell r="K650">
            <v>30000</v>
          </cell>
          <cell r="L650">
            <v>250000</v>
          </cell>
          <cell r="M650">
            <v>80</v>
          </cell>
          <cell r="N650">
            <v>30</v>
          </cell>
          <cell r="O650">
            <v>6.5</v>
          </cell>
          <cell r="P650">
            <v>0</v>
          </cell>
        </row>
        <row r="651">
          <cell r="J651" t="str">
            <v>BCompra de ViviendaIndividualReposeídoUsadaCasaFERIA000000250000.01</v>
          </cell>
          <cell r="K651">
            <v>250000.01</v>
          </cell>
          <cell r="L651">
            <v>500000</v>
          </cell>
          <cell r="M651">
            <v>80</v>
          </cell>
          <cell r="N651">
            <v>30</v>
          </cell>
          <cell r="O651">
            <v>6.5</v>
          </cell>
          <cell r="P651">
            <v>0</v>
          </cell>
        </row>
        <row r="652">
          <cell r="J652" t="str">
            <v>BCompra de ViviendaIndividualReposeídoUsadaCasaFERIA000000500000.01</v>
          </cell>
          <cell r="K652">
            <v>500000.01</v>
          </cell>
          <cell r="L652">
            <v>99999999</v>
          </cell>
          <cell r="M652">
            <v>80</v>
          </cell>
          <cell r="N652">
            <v>30</v>
          </cell>
          <cell r="O652">
            <v>6.5</v>
          </cell>
          <cell r="P652">
            <v>0</v>
          </cell>
        </row>
        <row r="653">
          <cell r="J653" t="str">
            <v>BCompra de ViviendaIndividualResidencialNuevaApartamentoBG000000030000.00</v>
          </cell>
          <cell r="K653">
            <v>30000</v>
          </cell>
          <cell r="L653">
            <v>100000</v>
          </cell>
          <cell r="M653">
            <v>80</v>
          </cell>
          <cell r="N653">
            <v>30</v>
          </cell>
          <cell r="O653">
            <v>6.75</v>
          </cell>
          <cell r="P653">
            <v>0</v>
          </cell>
        </row>
        <row r="654">
          <cell r="J654" t="str">
            <v>BCompra de ViviendaIndividualResidencialNuevaApartamentoBG000000100000.01</v>
          </cell>
          <cell r="K654">
            <v>100000.01</v>
          </cell>
          <cell r="L654">
            <v>250000</v>
          </cell>
          <cell r="M654">
            <v>80</v>
          </cell>
          <cell r="N654">
            <v>30</v>
          </cell>
          <cell r="O654">
            <v>6.75</v>
          </cell>
          <cell r="P654">
            <v>0</v>
          </cell>
        </row>
        <row r="655">
          <cell r="J655" t="str">
            <v>BCompra de ViviendaIndividualResidencialNuevaApartamentoBG000000250000.01</v>
          </cell>
          <cell r="K655">
            <v>250000.01</v>
          </cell>
          <cell r="L655">
            <v>500000</v>
          </cell>
          <cell r="M655">
            <v>80</v>
          </cell>
          <cell r="N655">
            <v>30</v>
          </cell>
          <cell r="O655">
            <v>6.75</v>
          </cell>
          <cell r="P655">
            <v>0</v>
          </cell>
        </row>
        <row r="656">
          <cell r="J656" t="str">
            <v>BCompra de ViviendaIndividualResidencialNuevaApartamentoBG000000500000.01</v>
          </cell>
          <cell r="K656">
            <v>500000.01</v>
          </cell>
          <cell r="L656">
            <v>99999999</v>
          </cell>
          <cell r="M656">
            <v>80</v>
          </cell>
          <cell r="N656">
            <v>30</v>
          </cell>
          <cell r="O656">
            <v>6.75</v>
          </cell>
          <cell r="P656">
            <v>0</v>
          </cell>
        </row>
        <row r="657">
          <cell r="J657" t="str">
            <v>BCompra de ViviendaIndividualResidencialNuevaApartamentoCOPA000000030000.00</v>
          </cell>
          <cell r="K657">
            <v>30000</v>
          </cell>
          <cell r="L657">
            <v>100000</v>
          </cell>
          <cell r="M657">
            <v>80</v>
          </cell>
          <cell r="N657">
            <v>30</v>
          </cell>
          <cell r="O657">
            <v>6.75</v>
          </cell>
          <cell r="P657">
            <v>0</v>
          </cell>
        </row>
        <row r="658">
          <cell r="J658" t="str">
            <v>BCompra de ViviendaIndividualResidencialNuevaApartamentoCOPA000000100000.01</v>
          </cell>
          <cell r="K658">
            <v>100000.01</v>
          </cell>
          <cell r="L658">
            <v>250000</v>
          </cell>
          <cell r="M658">
            <v>80</v>
          </cell>
          <cell r="N658">
            <v>30</v>
          </cell>
          <cell r="O658">
            <v>6.75</v>
          </cell>
          <cell r="P658">
            <v>0</v>
          </cell>
        </row>
        <row r="659">
          <cell r="J659" t="str">
            <v>BCompra de ViviendaIndividualResidencialNuevaApartamentoCOPA000000250000.01</v>
          </cell>
          <cell r="K659">
            <v>250000.01</v>
          </cell>
          <cell r="L659">
            <v>500000</v>
          </cell>
          <cell r="M659">
            <v>80</v>
          </cell>
          <cell r="N659">
            <v>30</v>
          </cell>
          <cell r="O659">
            <v>6.75</v>
          </cell>
          <cell r="P659">
            <v>0</v>
          </cell>
        </row>
        <row r="660">
          <cell r="J660" t="str">
            <v>BCompra de ViviendaIndividualResidencialNuevaApartamentoCOPA000000500000.01</v>
          </cell>
          <cell r="K660">
            <v>500000.01</v>
          </cell>
          <cell r="L660">
            <v>99999999</v>
          </cell>
          <cell r="M660">
            <v>80</v>
          </cell>
          <cell r="N660">
            <v>30</v>
          </cell>
          <cell r="O660">
            <v>6.75</v>
          </cell>
          <cell r="P660">
            <v>0</v>
          </cell>
        </row>
        <row r="661">
          <cell r="J661" t="str">
            <v>BCompra de ViviendaIndividualResidencialNuevaApartamentoFERIA000000030000.00</v>
          </cell>
          <cell r="K661">
            <v>30000</v>
          </cell>
          <cell r="L661">
            <v>100000</v>
          </cell>
          <cell r="M661">
            <v>80</v>
          </cell>
          <cell r="N661">
            <v>30</v>
          </cell>
          <cell r="O661">
            <v>6.75</v>
          </cell>
          <cell r="P661">
            <v>0</v>
          </cell>
        </row>
        <row r="662">
          <cell r="J662" t="str">
            <v>BCompra de ViviendaIndividualResidencialNuevaApartamentoFERIA000000100000.01</v>
          </cell>
          <cell r="K662">
            <v>100000.01</v>
          </cell>
          <cell r="L662">
            <v>250000</v>
          </cell>
          <cell r="M662">
            <v>80</v>
          </cell>
          <cell r="N662">
            <v>30</v>
          </cell>
          <cell r="O662">
            <v>6.75</v>
          </cell>
          <cell r="P662">
            <v>0</v>
          </cell>
        </row>
        <row r="663">
          <cell r="J663" t="str">
            <v>BCompra de ViviendaIndividualResidencialNuevaApartamentoFERIA000000250000.01</v>
          </cell>
          <cell r="K663">
            <v>250000.01</v>
          </cell>
          <cell r="L663">
            <v>500000</v>
          </cell>
          <cell r="M663">
            <v>80</v>
          </cell>
          <cell r="N663">
            <v>30</v>
          </cell>
          <cell r="O663">
            <v>6.75</v>
          </cell>
          <cell r="P663">
            <v>0</v>
          </cell>
        </row>
        <row r="664">
          <cell r="J664" t="str">
            <v>BCompra de ViviendaIndividualResidencialNuevaApartamentoFERIA000000500000.01</v>
          </cell>
          <cell r="K664">
            <v>500000.01</v>
          </cell>
          <cell r="L664">
            <v>99999999</v>
          </cell>
          <cell r="M664">
            <v>80</v>
          </cell>
          <cell r="N664">
            <v>30</v>
          </cell>
          <cell r="O664">
            <v>6.75</v>
          </cell>
          <cell r="P664">
            <v>0</v>
          </cell>
        </row>
        <row r="665">
          <cell r="J665" t="str">
            <v>BCompra de ViviendaIndividualResidencialNuevaCasaBG000000018000.00</v>
          </cell>
          <cell r="K665">
            <v>18000</v>
          </cell>
          <cell r="L665">
            <v>100000</v>
          </cell>
          <cell r="M665">
            <v>80</v>
          </cell>
          <cell r="N665">
            <v>30</v>
          </cell>
          <cell r="O665">
            <v>6.75</v>
          </cell>
          <cell r="P665">
            <v>0</v>
          </cell>
        </row>
        <row r="666">
          <cell r="J666" t="str">
            <v>BCompra de ViviendaIndividualResidencialNuevaCasaBG000000100000.01</v>
          </cell>
          <cell r="K666">
            <v>100000.01</v>
          </cell>
          <cell r="L666">
            <v>250000</v>
          </cell>
          <cell r="M666">
            <v>80</v>
          </cell>
          <cell r="N666">
            <v>30</v>
          </cell>
          <cell r="O666">
            <v>6.75</v>
          </cell>
          <cell r="P666">
            <v>0</v>
          </cell>
        </row>
        <row r="667">
          <cell r="J667" t="str">
            <v>BCompra de ViviendaIndividualResidencialNuevaCasaBG000000250000.01</v>
          </cell>
          <cell r="K667">
            <v>250000.01</v>
          </cell>
          <cell r="L667">
            <v>600000</v>
          </cell>
          <cell r="M667">
            <v>80</v>
          </cell>
          <cell r="N667">
            <v>30</v>
          </cell>
          <cell r="O667">
            <v>6.75</v>
          </cell>
          <cell r="P667">
            <v>0</v>
          </cell>
        </row>
        <row r="668">
          <cell r="J668" t="str">
            <v>BCompra de ViviendaIndividualResidencialNuevaCasaBG000000600000.01</v>
          </cell>
          <cell r="K668">
            <v>600000.01</v>
          </cell>
          <cell r="L668">
            <v>99999999</v>
          </cell>
          <cell r="M668">
            <v>80</v>
          </cell>
          <cell r="N668">
            <v>30</v>
          </cell>
          <cell r="O668">
            <v>6.75</v>
          </cell>
          <cell r="P668">
            <v>0</v>
          </cell>
        </row>
        <row r="669">
          <cell r="J669" t="str">
            <v>BCompra de ViviendaIndividualResidencialNuevaCasaCOPA000000018000.00</v>
          </cell>
          <cell r="K669">
            <v>18000</v>
          </cell>
          <cell r="L669">
            <v>100000</v>
          </cell>
          <cell r="M669">
            <v>80</v>
          </cell>
          <cell r="N669">
            <v>30</v>
          </cell>
          <cell r="O669">
            <v>6.75</v>
          </cell>
          <cell r="P669">
            <v>0</v>
          </cell>
        </row>
        <row r="670">
          <cell r="J670" t="str">
            <v>BCompra de ViviendaIndividualResidencialNuevaCasaCOPA000000100000.01</v>
          </cell>
          <cell r="K670">
            <v>100000.01</v>
          </cell>
          <cell r="L670">
            <v>250000</v>
          </cell>
          <cell r="M670">
            <v>80</v>
          </cell>
          <cell r="N670">
            <v>30</v>
          </cell>
          <cell r="O670">
            <v>6.75</v>
          </cell>
          <cell r="P670">
            <v>0</v>
          </cell>
        </row>
        <row r="671">
          <cell r="J671" t="str">
            <v>BCompra de ViviendaIndividualResidencialNuevaCasaCOPA000000250000.01</v>
          </cell>
          <cell r="K671">
            <v>250000.01</v>
          </cell>
          <cell r="L671">
            <v>600000</v>
          </cell>
          <cell r="M671">
            <v>80</v>
          </cell>
          <cell r="N671">
            <v>30</v>
          </cell>
          <cell r="O671">
            <v>6.75</v>
          </cell>
          <cell r="P671">
            <v>0</v>
          </cell>
        </row>
        <row r="672">
          <cell r="J672" t="str">
            <v>BCompra de ViviendaIndividualResidencialNuevaCasaCOPA000000600000.01</v>
          </cell>
          <cell r="K672">
            <v>600000.01</v>
          </cell>
          <cell r="L672">
            <v>99999999</v>
          </cell>
          <cell r="M672">
            <v>80</v>
          </cell>
          <cell r="N672">
            <v>30</v>
          </cell>
          <cell r="O672">
            <v>6.75</v>
          </cell>
          <cell r="P672">
            <v>0</v>
          </cell>
        </row>
        <row r="673">
          <cell r="J673" t="str">
            <v>BCompra de ViviendaIndividualResidencialNuevaCasaFERIA000000018000.00</v>
          </cell>
          <cell r="K673">
            <v>18000</v>
          </cell>
          <cell r="L673">
            <v>100000</v>
          </cell>
          <cell r="M673">
            <v>80</v>
          </cell>
          <cell r="N673">
            <v>30</v>
          </cell>
          <cell r="O673">
            <v>6.75</v>
          </cell>
          <cell r="P673">
            <v>0</v>
          </cell>
        </row>
        <row r="674">
          <cell r="J674" t="str">
            <v>BCompra de ViviendaIndividualResidencialNuevaCasaFERIA000000100000.01</v>
          </cell>
          <cell r="K674">
            <v>100000.01</v>
          </cell>
          <cell r="L674">
            <v>250000</v>
          </cell>
          <cell r="M674">
            <v>80</v>
          </cell>
          <cell r="N674">
            <v>30</v>
          </cell>
          <cell r="O674">
            <v>6.75</v>
          </cell>
          <cell r="P674">
            <v>0</v>
          </cell>
        </row>
        <row r="675">
          <cell r="J675" t="str">
            <v>BCompra de ViviendaIndividualResidencialNuevaCasaFERIA000000250000.01</v>
          </cell>
          <cell r="K675">
            <v>250000.01</v>
          </cell>
          <cell r="L675">
            <v>600000</v>
          </cell>
          <cell r="M675">
            <v>80</v>
          </cell>
          <cell r="N675">
            <v>30</v>
          </cell>
          <cell r="O675">
            <v>6.75</v>
          </cell>
          <cell r="P675">
            <v>0</v>
          </cell>
        </row>
        <row r="676">
          <cell r="J676" t="str">
            <v>BCompra de ViviendaIndividualResidencialNuevaCasaFERIA000000600000.01</v>
          </cell>
          <cell r="K676">
            <v>600000.01</v>
          </cell>
          <cell r="L676">
            <v>99999999</v>
          </cell>
          <cell r="M676">
            <v>80</v>
          </cell>
          <cell r="N676">
            <v>30</v>
          </cell>
          <cell r="O676">
            <v>6.75</v>
          </cell>
          <cell r="P676">
            <v>0</v>
          </cell>
        </row>
        <row r="677">
          <cell r="J677" t="str">
            <v>BCompra de ViviendaIndividualResidencialUsadaApartamentoBG000000030000.00</v>
          </cell>
          <cell r="K677">
            <v>30000</v>
          </cell>
          <cell r="L677">
            <v>250000</v>
          </cell>
          <cell r="M677">
            <v>80</v>
          </cell>
          <cell r="N677">
            <v>30</v>
          </cell>
          <cell r="O677">
            <v>6.5</v>
          </cell>
          <cell r="P677">
            <v>0</v>
          </cell>
        </row>
        <row r="678">
          <cell r="J678" t="str">
            <v>BCompra de ViviendaIndividualResidencialUsadaApartamentoBG000000250000.01</v>
          </cell>
          <cell r="K678">
            <v>250000.01</v>
          </cell>
          <cell r="L678">
            <v>500000</v>
          </cell>
          <cell r="M678">
            <v>80</v>
          </cell>
          <cell r="N678">
            <v>30</v>
          </cell>
          <cell r="O678">
            <v>6.5</v>
          </cell>
          <cell r="P678">
            <v>0</v>
          </cell>
        </row>
        <row r="679">
          <cell r="J679" t="str">
            <v>BCompra de ViviendaIndividualResidencialUsadaApartamentoBG000000500000.01</v>
          </cell>
          <cell r="K679">
            <v>500000.01</v>
          </cell>
          <cell r="L679">
            <v>99999999</v>
          </cell>
          <cell r="M679">
            <v>80</v>
          </cell>
          <cell r="N679">
            <v>30</v>
          </cell>
          <cell r="O679">
            <v>6.5</v>
          </cell>
          <cell r="P679">
            <v>0</v>
          </cell>
        </row>
        <row r="680">
          <cell r="J680" t="str">
            <v>BCompra de ViviendaIndividualResidencialUsadaApartamentoCOPA000000030000.00</v>
          </cell>
          <cell r="K680">
            <v>30000</v>
          </cell>
          <cell r="L680">
            <v>250000</v>
          </cell>
          <cell r="M680">
            <v>80</v>
          </cell>
          <cell r="N680">
            <v>30</v>
          </cell>
          <cell r="O680">
            <v>6.5</v>
          </cell>
          <cell r="P680">
            <v>0</v>
          </cell>
        </row>
        <row r="681">
          <cell r="J681" t="str">
            <v>BCompra de ViviendaIndividualResidencialUsadaApartamentoCOPA000000250000.01</v>
          </cell>
          <cell r="K681">
            <v>250000.01</v>
          </cell>
          <cell r="L681">
            <v>500000</v>
          </cell>
          <cell r="M681">
            <v>80</v>
          </cell>
          <cell r="N681">
            <v>30</v>
          </cell>
          <cell r="O681">
            <v>6.5</v>
          </cell>
          <cell r="P681">
            <v>0</v>
          </cell>
        </row>
        <row r="682">
          <cell r="J682" t="str">
            <v>BCompra de ViviendaIndividualResidencialUsadaApartamentoCOPA000000500000.01</v>
          </cell>
          <cell r="K682">
            <v>500000.01</v>
          </cell>
          <cell r="L682">
            <v>99999999</v>
          </cell>
          <cell r="M682">
            <v>80</v>
          </cell>
          <cell r="N682">
            <v>30</v>
          </cell>
          <cell r="O682">
            <v>6.5</v>
          </cell>
          <cell r="P682">
            <v>0</v>
          </cell>
        </row>
        <row r="683">
          <cell r="J683" t="str">
            <v>BCompra de ViviendaIndividualResidencialUsadaApartamentoFERIA000000030000.00</v>
          </cell>
          <cell r="K683">
            <v>30000</v>
          </cell>
          <cell r="L683">
            <v>250000</v>
          </cell>
          <cell r="M683">
            <v>80</v>
          </cell>
          <cell r="N683">
            <v>30</v>
          </cell>
          <cell r="O683">
            <v>6.5</v>
          </cell>
          <cell r="P683">
            <v>0</v>
          </cell>
        </row>
        <row r="684">
          <cell r="J684" t="str">
            <v>BCompra de ViviendaIndividualResidencialUsadaApartamentoFERIA000000250000.01</v>
          </cell>
          <cell r="K684">
            <v>250000.01</v>
          </cell>
          <cell r="L684">
            <v>500000</v>
          </cell>
          <cell r="M684">
            <v>80</v>
          </cell>
          <cell r="N684">
            <v>30</v>
          </cell>
          <cell r="O684">
            <v>6.5</v>
          </cell>
          <cell r="P684">
            <v>0</v>
          </cell>
        </row>
        <row r="685">
          <cell r="J685" t="str">
            <v>BCompra de ViviendaIndividualResidencialUsadaApartamentoFERIA000000500000.01</v>
          </cell>
          <cell r="K685">
            <v>500000.01</v>
          </cell>
          <cell r="L685">
            <v>99999999</v>
          </cell>
          <cell r="M685">
            <v>80</v>
          </cell>
          <cell r="N685">
            <v>30</v>
          </cell>
          <cell r="O685">
            <v>6.5</v>
          </cell>
          <cell r="P685">
            <v>0</v>
          </cell>
        </row>
        <row r="686">
          <cell r="J686" t="str">
            <v>BCompra de ViviendaIndividualResidencialUsadaCasaBG000000030000.00</v>
          </cell>
          <cell r="K686">
            <v>30000</v>
          </cell>
          <cell r="L686">
            <v>250000</v>
          </cell>
          <cell r="M686">
            <v>80</v>
          </cell>
          <cell r="N686">
            <v>30</v>
          </cell>
          <cell r="O686">
            <v>6.5</v>
          </cell>
          <cell r="P686">
            <v>0</v>
          </cell>
        </row>
        <row r="687">
          <cell r="J687" t="str">
            <v>BCompra de ViviendaIndividualResidencialUsadaCasaBG000000250000.01</v>
          </cell>
          <cell r="K687">
            <v>250000.01</v>
          </cell>
          <cell r="L687">
            <v>500000</v>
          </cell>
          <cell r="M687">
            <v>80</v>
          </cell>
          <cell r="N687">
            <v>30</v>
          </cell>
          <cell r="O687">
            <v>6.5</v>
          </cell>
          <cell r="P687">
            <v>0</v>
          </cell>
        </row>
        <row r="688">
          <cell r="J688" t="str">
            <v>BCompra de ViviendaIndividualResidencialUsadaCasaBG000000500000.01</v>
          </cell>
          <cell r="K688">
            <v>500000.01</v>
          </cell>
          <cell r="L688">
            <v>99999999</v>
          </cell>
          <cell r="M688">
            <v>80</v>
          </cell>
          <cell r="N688">
            <v>30</v>
          </cell>
          <cell r="O688">
            <v>6.5</v>
          </cell>
          <cell r="P688">
            <v>0</v>
          </cell>
        </row>
        <row r="689">
          <cell r="J689" t="str">
            <v>BCompra de ViviendaIndividualResidencialUsadaCasaCOPA000000030000.00</v>
          </cell>
          <cell r="K689">
            <v>30000</v>
          </cell>
          <cell r="L689">
            <v>250000</v>
          </cell>
          <cell r="M689">
            <v>80</v>
          </cell>
          <cell r="N689">
            <v>30</v>
          </cell>
          <cell r="O689">
            <v>6.5</v>
          </cell>
          <cell r="P689">
            <v>0</v>
          </cell>
        </row>
        <row r="690">
          <cell r="J690" t="str">
            <v>BCompra de ViviendaIndividualResidencialUsadaCasaCOPA000000250000.01</v>
          </cell>
          <cell r="K690">
            <v>250000.01</v>
          </cell>
          <cell r="L690">
            <v>500000</v>
          </cell>
          <cell r="M690">
            <v>80</v>
          </cell>
          <cell r="N690">
            <v>30</v>
          </cell>
          <cell r="O690">
            <v>6.5</v>
          </cell>
          <cell r="P690">
            <v>0</v>
          </cell>
        </row>
        <row r="691">
          <cell r="J691" t="str">
            <v>BCompra de ViviendaIndividualResidencialUsadaCasaCOPA000000500000.01</v>
          </cell>
          <cell r="K691">
            <v>500000.01</v>
          </cell>
          <cell r="L691">
            <v>99999999</v>
          </cell>
          <cell r="M691">
            <v>80</v>
          </cell>
          <cell r="N691">
            <v>30</v>
          </cell>
          <cell r="O691">
            <v>6.5</v>
          </cell>
          <cell r="P691">
            <v>0</v>
          </cell>
        </row>
        <row r="692">
          <cell r="J692" t="str">
            <v>BCompra de ViviendaIndividualResidencialUsadaCasaFERIA000000030000.00</v>
          </cell>
          <cell r="K692">
            <v>30000</v>
          </cell>
          <cell r="L692">
            <v>250000</v>
          </cell>
          <cell r="M692">
            <v>80</v>
          </cell>
          <cell r="N692">
            <v>30</v>
          </cell>
          <cell r="O692">
            <v>6.5</v>
          </cell>
          <cell r="P692">
            <v>0</v>
          </cell>
        </row>
        <row r="693">
          <cell r="J693" t="str">
            <v>BCompra de ViviendaIndividualResidencialUsadaCasaFERIA000000250000.01</v>
          </cell>
          <cell r="K693">
            <v>250000.01</v>
          </cell>
          <cell r="L693">
            <v>500000</v>
          </cell>
          <cell r="M693">
            <v>80</v>
          </cell>
          <cell r="N693">
            <v>30</v>
          </cell>
          <cell r="O693">
            <v>6.5</v>
          </cell>
          <cell r="P693">
            <v>0</v>
          </cell>
        </row>
        <row r="694">
          <cell r="J694" t="str">
            <v>BCompra de ViviendaIndividualResidencialUsadaCasaFERIA000000500000.01</v>
          </cell>
          <cell r="K694">
            <v>500000.01</v>
          </cell>
          <cell r="L694">
            <v>99999999</v>
          </cell>
          <cell r="M694">
            <v>80</v>
          </cell>
          <cell r="N694">
            <v>30</v>
          </cell>
          <cell r="O694">
            <v>6.5</v>
          </cell>
          <cell r="P694">
            <v>0</v>
          </cell>
        </row>
        <row r="695">
          <cell r="J695" t="str">
            <v>BCompra Venta de AccionesCasco AntiguoResidencialNuevaApartamentoBG000000030000.00</v>
          </cell>
          <cell r="K695">
            <v>30000</v>
          </cell>
          <cell r="L695">
            <v>99999999</v>
          </cell>
          <cell r="M695">
            <v>80</v>
          </cell>
          <cell r="N695">
            <v>30</v>
          </cell>
          <cell r="O695">
            <v>3.25</v>
          </cell>
          <cell r="P695">
            <v>4.28</v>
          </cell>
        </row>
        <row r="696">
          <cell r="J696" t="str">
            <v>BCompra Venta de AccionesCasco AntiguoResidencialNuevaCasaBG000000030000.00</v>
          </cell>
          <cell r="K696">
            <v>30000</v>
          </cell>
          <cell r="L696">
            <v>99999999</v>
          </cell>
          <cell r="M696">
            <v>80</v>
          </cell>
          <cell r="N696">
            <v>30</v>
          </cell>
          <cell r="O696">
            <v>3.25</v>
          </cell>
          <cell r="P696">
            <v>4.28</v>
          </cell>
        </row>
        <row r="697">
          <cell r="J697" t="str">
            <v>BCompra Venta de AccionesCasco AntiguoResidencialUsadaApartamentoBG000000030000.00</v>
          </cell>
          <cell r="K697">
            <v>30000</v>
          </cell>
          <cell r="L697">
            <v>99999999</v>
          </cell>
          <cell r="M697">
            <v>80</v>
          </cell>
          <cell r="N697">
            <v>30</v>
          </cell>
          <cell r="O697">
            <v>3.25</v>
          </cell>
          <cell r="P697">
            <v>4.28</v>
          </cell>
        </row>
        <row r="698">
          <cell r="J698" t="str">
            <v>BCompra Venta de AccionesCasco AntiguoResidencialUsadaCasaBG000000030000.00</v>
          </cell>
          <cell r="K698">
            <v>30000</v>
          </cell>
          <cell r="L698">
            <v>99999999</v>
          </cell>
          <cell r="M698">
            <v>80</v>
          </cell>
          <cell r="N698">
            <v>30</v>
          </cell>
          <cell r="O698">
            <v>3.25</v>
          </cell>
          <cell r="P698">
            <v>4.28</v>
          </cell>
        </row>
        <row r="699">
          <cell r="J699" t="str">
            <v>BCompra Venta de AccionesIndividualResidencialNuevaApartamentoBG000000030000.00</v>
          </cell>
          <cell r="K699">
            <v>30000</v>
          </cell>
          <cell r="L699">
            <v>100000</v>
          </cell>
          <cell r="M699">
            <v>80</v>
          </cell>
          <cell r="N699">
            <v>30</v>
          </cell>
          <cell r="O699">
            <v>5.5</v>
          </cell>
          <cell r="P699">
            <v>0</v>
          </cell>
        </row>
        <row r="700">
          <cell r="J700" t="str">
            <v>BCompra Venta de AccionesIndividualResidencialNuevaApartamentoBG000000100000.01</v>
          </cell>
          <cell r="K700">
            <v>100000.01</v>
          </cell>
          <cell r="L700">
            <v>250000</v>
          </cell>
          <cell r="M700">
            <v>80</v>
          </cell>
          <cell r="N700">
            <v>30</v>
          </cell>
          <cell r="O700">
            <v>5.5</v>
          </cell>
          <cell r="P700">
            <v>0</v>
          </cell>
        </row>
        <row r="701">
          <cell r="J701" t="str">
            <v>BCompra Venta de AccionesIndividualResidencialNuevaApartamentoBG000000250000.01</v>
          </cell>
          <cell r="K701">
            <v>250000.01</v>
          </cell>
          <cell r="L701">
            <v>400000</v>
          </cell>
          <cell r="M701">
            <v>80</v>
          </cell>
          <cell r="N701">
            <v>30</v>
          </cell>
          <cell r="O701">
            <v>5.5</v>
          </cell>
          <cell r="P701">
            <v>0</v>
          </cell>
        </row>
        <row r="702">
          <cell r="J702" t="str">
            <v>BCompra Venta de AccionesIndividualResidencialNuevaApartamentoBG000000400000.01</v>
          </cell>
          <cell r="K702">
            <v>400000.01</v>
          </cell>
          <cell r="L702">
            <v>99999999</v>
          </cell>
          <cell r="M702">
            <v>80</v>
          </cell>
          <cell r="N702">
            <v>30</v>
          </cell>
          <cell r="O702">
            <v>5.5</v>
          </cell>
          <cell r="P702">
            <v>0</v>
          </cell>
        </row>
        <row r="703">
          <cell r="J703" t="str">
            <v>BCompra Venta de AccionesIndividualResidencialNuevaCasaBG000000018000.00</v>
          </cell>
          <cell r="K703">
            <v>18000</v>
          </cell>
          <cell r="L703">
            <v>100000</v>
          </cell>
          <cell r="M703">
            <v>80</v>
          </cell>
          <cell r="N703">
            <v>30</v>
          </cell>
          <cell r="O703">
            <v>5.5</v>
          </cell>
          <cell r="P703">
            <v>0</v>
          </cell>
        </row>
        <row r="704">
          <cell r="J704" t="str">
            <v>BCompra Venta de AccionesIndividualResidencialNuevaCasaBG000000100000.01</v>
          </cell>
          <cell r="K704">
            <v>100000.01</v>
          </cell>
          <cell r="L704">
            <v>250000</v>
          </cell>
          <cell r="M704">
            <v>80</v>
          </cell>
          <cell r="N704">
            <v>30</v>
          </cell>
          <cell r="O704">
            <v>5.5</v>
          </cell>
          <cell r="P704">
            <v>0</v>
          </cell>
        </row>
        <row r="705">
          <cell r="J705" t="str">
            <v>BCompra Venta de AccionesIndividualResidencialNuevaCasaBG000000250000.01</v>
          </cell>
          <cell r="K705">
            <v>250000.01</v>
          </cell>
          <cell r="L705">
            <v>600000</v>
          </cell>
          <cell r="M705">
            <v>80</v>
          </cell>
          <cell r="N705">
            <v>30</v>
          </cell>
          <cell r="O705">
            <v>5.5</v>
          </cell>
          <cell r="P705">
            <v>0</v>
          </cell>
        </row>
        <row r="706">
          <cell r="J706" t="str">
            <v>BCompra Venta de AccionesIndividualResidencialNuevaCasaBG000000600000.01</v>
          </cell>
          <cell r="K706">
            <v>600000.01</v>
          </cell>
          <cell r="L706">
            <v>99999999</v>
          </cell>
          <cell r="M706">
            <v>80</v>
          </cell>
          <cell r="N706">
            <v>30</v>
          </cell>
          <cell r="O706">
            <v>5.5</v>
          </cell>
          <cell r="P706">
            <v>0</v>
          </cell>
        </row>
        <row r="707">
          <cell r="J707" t="str">
            <v>BCompra Venta de AccionesIndividualResidencialUsadaApartamentoBG000000030000.00</v>
          </cell>
          <cell r="K707">
            <v>30000</v>
          </cell>
          <cell r="L707">
            <v>250000</v>
          </cell>
          <cell r="M707">
            <v>80</v>
          </cell>
          <cell r="N707">
            <v>30</v>
          </cell>
          <cell r="O707">
            <v>6.5</v>
          </cell>
          <cell r="P707">
            <v>0</v>
          </cell>
        </row>
        <row r="708">
          <cell r="J708" t="str">
            <v>BCompra Venta de AccionesIndividualResidencialUsadaApartamentoBG000000250000.01</v>
          </cell>
          <cell r="K708">
            <v>250000.01</v>
          </cell>
          <cell r="L708">
            <v>500000</v>
          </cell>
          <cell r="M708">
            <v>80</v>
          </cell>
          <cell r="N708">
            <v>30</v>
          </cell>
          <cell r="O708">
            <v>6.5</v>
          </cell>
          <cell r="P708">
            <v>0</v>
          </cell>
        </row>
        <row r="709">
          <cell r="J709" t="str">
            <v>BCompra Venta de AccionesIndividualResidencialUsadaApartamentoBG000000500000.01</v>
          </cell>
          <cell r="K709">
            <v>500000.01</v>
          </cell>
          <cell r="L709">
            <v>99999999</v>
          </cell>
          <cell r="M709">
            <v>80</v>
          </cell>
          <cell r="N709">
            <v>30</v>
          </cell>
          <cell r="O709">
            <v>6.5</v>
          </cell>
          <cell r="P709">
            <v>0</v>
          </cell>
        </row>
        <row r="710">
          <cell r="J710" t="str">
            <v>BCompra Venta de AccionesIndividualResidencialUsadaCasaBG000000030000.00</v>
          </cell>
          <cell r="K710">
            <v>30000</v>
          </cell>
          <cell r="L710">
            <v>250000</v>
          </cell>
          <cell r="M710">
            <v>80</v>
          </cell>
          <cell r="N710">
            <v>30</v>
          </cell>
          <cell r="O710">
            <v>6.5</v>
          </cell>
          <cell r="P710">
            <v>0</v>
          </cell>
        </row>
        <row r="711">
          <cell r="J711" t="str">
            <v>BCompra Venta de AccionesIndividualResidencialUsadaCasaBG000000250000.01</v>
          </cell>
          <cell r="K711">
            <v>250000.01</v>
          </cell>
          <cell r="L711">
            <v>500000</v>
          </cell>
          <cell r="M711">
            <v>80</v>
          </cell>
          <cell r="N711">
            <v>30</v>
          </cell>
          <cell r="O711">
            <v>6.5</v>
          </cell>
          <cell r="P711">
            <v>0</v>
          </cell>
        </row>
        <row r="712">
          <cell r="J712" t="str">
            <v>BCompra Venta de AccionesIndividualResidencialUsadaCasaBG000000500000.01</v>
          </cell>
          <cell r="K712">
            <v>500000.01</v>
          </cell>
          <cell r="L712">
            <v>99999999</v>
          </cell>
          <cell r="M712">
            <v>80</v>
          </cell>
          <cell r="N712">
            <v>30</v>
          </cell>
          <cell r="O712">
            <v>6.5</v>
          </cell>
          <cell r="P712">
            <v>0</v>
          </cell>
        </row>
        <row r="713">
          <cell r="J713" t="str">
            <v>BCompra Vivienda VacacionalIndividualVacacionalNuevaApartamentoBG000000050000.00</v>
          </cell>
          <cell r="K713">
            <v>50000</v>
          </cell>
          <cell r="L713">
            <v>99999999</v>
          </cell>
          <cell r="M713">
            <v>70</v>
          </cell>
          <cell r="N713">
            <v>20</v>
          </cell>
          <cell r="O713">
            <v>6.75</v>
          </cell>
          <cell r="P713">
            <v>0</v>
          </cell>
        </row>
        <row r="714">
          <cell r="J714" t="str">
            <v>BCompra Vivienda VacacionalIndividualVacacionalNuevaApartamentoCOPA000000050000.00</v>
          </cell>
          <cell r="K714">
            <v>50000</v>
          </cell>
          <cell r="L714">
            <v>99999999</v>
          </cell>
          <cell r="M714">
            <v>70</v>
          </cell>
          <cell r="N714">
            <v>20</v>
          </cell>
          <cell r="O714">
            <v>6.75</v>
          </cell>
          <cell r="P714">
            <v>0</v>
          </cell>
        </row>
        <row r="715">
          <cell r="J715" t="str">
            <v>BCompra Vivienda VacacionalIndividualVacacionalNuevaApartamentoFERIA000000050000.00</v>
          </cell>
          <cell r="K715">
            <v>50000</v>
          </cell>
          <cell r="L715">
            <v>99999999</v>
          </cell>
          <cell r="M715">
            <v>70</v>
          </cell>
          <cell r="N715">
            <v>20</v>
          </cell>
          <cell r="O715">
            <v>6.75</v>
          </cell>
          <cell r="P715">
            <v>0</v>
          </cell>
        </row>
        <row r="716">
          <cell r="J716" t="str">
            <v>BCompra Vivienda VacacionalIndividualVacacionalNuevaCasaBG000000050000.00</v>
          </cell>
          <cell r="K716">
            <v>50000</v>
          </cell>
          <cell r="L716">
            <v>99999999</v>
          </cell>
          <cell r="M716">
            <v>70</v>
          </cell>
          <cell r="N716">
            <v>20</v>
          </cell>
          <cell r="O716">
            <v>6.75</v>
          </cell>
          <cell r="P716">
            <v>0</v>
          </cell>
        </row>
        <row r="717">
          <cell r="J717" t="str">
            <v>BCompra Vivienda VacacionalIndividualVacacionalNuevaCasaCOPA000000050000.00</v>
          </cell>
          <cell r="K717">
            <v>50000</v>
          </cell>
          <cell r="L717">
            <v>99999999</v>
          </cell>
          <cell r="M717">
            <v>70</v>
          </cell>
          <cell r="N717">
            <v>20</v>
          </cell>
          <cell r="O717">
            <v>6.75</v>
          </cell>
          <cell r="P717">
            <v>0</v>
          </cell>
        </row>
        <row r="718">
          <cell r="J718" t="str">
            <v>BCompra Vivienda VacacionalIndividualVacacionalNuevaCasaFERIA000000050000.00</v>
          </cell>
          <cell r="K718">
            <v>50000</v>
          </cell>
          <cell r="L718">
            <v>99999999</v>
          </cell>
          <cell r="M718">
            <v>70</v>
          </cell>
          <cell r="N718">
            <v>20</v>
          </cell>
          <cell r="O718">
            <v>6.75</v>
          </cell>
          <cell r="P718">
            <v>0</v>
          </cell>
        </row>
        <row r="719">
          <cell r="J719" t="str">
            <v>BCompra Vivienda VacacionalIndividualVacacionalUsadaApartamentoBG000000050000.00</v>
          </cell>
          <cell r="K719">
            <v>50000</v>
          </cell>
          <cell r="L719">
            <v>99999999</v>
          </cell>
          <cell r="M719">
            <v>70</v>
          </cell>
          <cell r="N719">
            <v>20</v>
          </cell>
          <cell r="O719">
            <v>6.75</v>
          </cell>
          <cell r="P719">
            <v>0</v>
          </cell>
        </row>
        <row r="720">
          <cell r="J720" t="str">
            <v>BCompra Vivienda VacacionalIndividualVacacionalUsadaApartamentoCOPA000000050000.00</v>
          </cell>
          <cell r="K720">
            <v>50000</v>
          </cell>
          <cell r="L720">
            <v>99999999</v>
          </cell>
          <cell r="M720">
            <v>70</v>
          </cell>
          <cell r="N720">
            <v>20</v>
          </cell>
          <cell r="O720">
            <v>6.75</v>
          </cell>
          <cell r="P720">
            <v>0</v>
          </cell>
        </row>
        <row r="721">
          <cell r="J721" t="str">
            <v>BCompra Vivienda VacacionalIndividualVacacionalUsadaApartamentoFERIA000000050000.00</v>
          </cell>
          <cell r="K721">
            <v>50000</v>
          </cell>
          <cell r="L721">
            <v>99999999</v>
          </cell>
          <cell r="M721">
            <v>70</v>
          </cell>
          <cell r="N721">
            <v>20</v>
          </cell>
          <cell r="O721">
            <v>6.75</v>
          </cell>
          <cell r="P721">
            <v>0</v>
          </cell>
        </row>
        <row r="722">
          <cell r="J722" t="str">
            <v>BCompra Vivienda VacacionalIndividualVacacionalUsadaCasaBG000000050000.00</v>
          </cell>
          <cell r="K722">
            <v>50000</v>
          </cell>
          <cell r="L722">
            <v>99999999</v>
          </cell>
          <cell r="M722">
            <v>70</v>
          </cell>
          <cell r="N722">
            <v>20</v>
          </cell>
          <cell r="O722">
            <v>6.75</v>
          </cell>
          <cell r="P722">
            <v>0</v>
          </cell>
        </row>
        <row r="723">
          <cell r="J723" t="str">
            <v>BCompra Vivienda VacacionalIndividualVacacionalUsadaCasaCOPA000000050000.00</v>
          </cell>
          <cell r="K723">
            <v>50000</v>
          </cell>
          <cell r="L723">
            <v>99999999</v>
          </cell>
          <cell r="M723">
            <v>70</v>
          </cell>
          <cell r="N723">
            <v>20</v>
          </cell>
          <cell r="O723">
            <v>6.75</v>
          </cell>
          <cell r="P723">
            <v>0</v>
          </cell>
        </row>
        <row r="724">
          <cell r="J724" t="str">
            <v>BCompra Vivienda VacacionalIndividualVacacionalUsadaCasaFERIA000000050000.00</v>
          </cell>
          <cell r="K724">
            <v>50000</v>
          </cell>
          <cell r="L724">
            <v>99999999</v>
          </cell>
          <cell r="M724">
            <v>70</v>
          </cell>
          <cell r="N724">
            <v>20</v>
          </cell>
          <cell r="O724">
            <v>6.75</v>
          </cell>
          <cell r="P724">
            <v>0</v>
          </cell>
        </row>
        <row r="725">
          <cell r="J725" t="str">
            <v>BTraspaso de Otro BancoIndividualResidencialUsadaApartamentoBG000000030000.00</v>
          </cell>
          <cell r="K725">
            <v>30000</v>
          </cell>
          <cell r="L725">
            <v>250000</v>
          </cell>
          <cell r="M725">
            <v>90</v>
          </cell>
          <cell r="N725">
            <v>30</v>
          </cell>
          <cell r="O725">
            <v>6.25</v>
          </cell>
          <cell r="P725">
            <v>0</v>
          </cell>
        </row>
        <row r="726">
          <cell r="J726" t="str">
            <v>BTraspaso de Otro BancoIndividualResidencialUsadaApartamentoBG000000250000.01</v>
          </cell>
          <cell r="K726">
            <v>250000.01</v>
          </cell>
          <cell r="L726">
            <v>500000</v>
          </cell>
          <cell r="M726">
            <v>80</v>
          </cell>
          <cell r="N726">
            <v>30</v>
          </cell>
          <cell r="O726">
            <v>6.25</v>
          </cell>
          <cell r="P726">
            <v>0</v>
          </cell>
        </row>
        <row r="727">
          <cell r="J727" t="str">
            <v>BTraspaso de Otro BancoIndividualResidencialUsadaApartamentoBG000000500000.01</v>
          </cell>
          <cell r="K727">
            <v>500000.01</v>
          </cell>
          <cell r="L727">
            <v>99999999</v>
          </cell>
          <cell r="M727">
            <v>80</v>
          </cell>
          <cell r="N727">
            <v>30</v>
          </cell>
          <cell r="O727">
            <v>6.25</v>
          </cell>
          <cell r="P727">
            <v>0</v>
          </cell>
        </row>
        <row r="728">
          <cell r="J728" t="str">
            <v>BTraspaso de Otro BancoIndividualResidencialUsadaApartamentoCOPA000000030000.00</v>
          </cell>
          <cell r="K728">
            <v>30000</v>
          </cell>
          <cell r="L728">
            <v>250000</v>
          </cell>
          <cell r="M728">
            <v>90</v>
          </cell>
          <cell r="N728">
            <v>30</v>
          </cell>
          <cell r="O728">
            <v>6.25</v>
          </cell>
          <cell r="P728">
            <v>0</v>
          </cell>
        </row>
        <row r="729">
          <cell r="J729" t="str">
            <v>BTraspaso de Otro BancoIndividualResidencialUsadaApartamentoCOPA000000250000.01</v>
          </cell>
          <cell r="K729">
            <v>250000.01</v>
          </cell>
          <cell r="L729">
            <v>500000</v>
          </cell>
          <cell r="M729">
            <v>80</v>
          </cell>
          <cell r="N729">
            <v>30</v>
          </cell>
          <cell r="O729">
            <v>6.25</v>
          </cell>
          <cell r="P729">
            <v>0</v>
          </cell>
        </row>
        <row r="730">
          <cell r="J730" t="str">
            <v>BTraspaso de Otro BancoIndividualResidencialUsadaApartamentoCOPA000000500000.01</v>
          </cell>
          <cell r="K730">
            <v>500000.01</v>
          </cell>
          <cell r="L730">
            <v>99999999</v>
          </cell>
          <cell r="M730">
            <v>80</v>
          </cell>
          <cell r="N730">
            <v>30</v>
          </cell>
          <cell r="O730">
            <v>6.25</v>
          </cell>
          <cell r="P730">
            <v>0</v>
          </cell>
        </row>
        <row r="731">
          <cell r="J731" t="str">
            <v>BTraspaso de Otro BancoIndividualResidencialUsadaApartamentoFERIA000000030000.00</v>
          </cell>
          <cell r="K731">
            <v>30000</v>
          </cell>
          <cell r="L731">
            <v>250000</v>
          </cell>
          <cell r="M731">
            <v>90</v>
          </cell>
          <cell r="N731">
            <v>30</v>
          </cell>
          <cell r="O731">
            <v>6.25</v>
          </cell>
          <cell r="P731">
            <v>0</v>
          </cell>
        </row>
        <row r="732">
          <cell r="J732" t="str">
            <v>BTraspaso de Otro BancoIndividualResidencialUsadaApartamentoFERIA000000250000.01</v>
          </cell>
          <cell r="K732">
            <v>250000.01</v>
          </cell>
          <cell r="L732">
            <v>500000</v>
          </cell>
          <cell r="M732">
            <v>80</v>
          </cell>
          <cell r="N732">
            <v>30</v>
          </cell>
          <cell r="O732">
            <v>6.25</v>
          </cell>
          <cell r="P732">
            <v>0</v>
          </cell>
        </row>
        <row r="733">
          <cell r="J733" t="str">
            <v>BTraspaso de Otro BancoIndividualResidencialUsadaApartamentoFERIA000000500000.01</v>
          </cell>
          <cell r="K733">
            <v>500000.01</v>
          </cell>
          <cell r="L733">
            <v>99999999</v>
          </cell>
          <cell r="M733">
            <v>80</v>
          </cell>
          <cell r="N733">
            <v>30</v>
          </cell>
          <cell r="O733">
            <v>6.25</v>
          </cell>
          <cell r="P733">
            <v>0</v>
          </cell>
        </row>
        <row r="734">
          <cell r="J734" t="str">
            <v>BTraspaso de Otro BancoIndividualResidencialUsadaCasaBG000000030000.00</v>
          </cell>
          <cell r="K734">
            <v>30000</v>
          </cell>
          <cell r="L734">
            <v>250000</v>
          </cell>
          <cell r="M734">
            <v>80</v>
          </cell>
          <cell r="N734">
            <v>30</v>
          </cell>
          <cell r="O734">
            <v>6.25</v>
          </cell>
          <cell r="P734">
            <v>0</v>
          </cell>
        </row>
        <row r="735">
          <cell r="J735" t="str">
            <v>BTraspaso de Otro BancoIndividualResidencialUsadaCasaBG000000250000.01</v>
          </cell>
          <cell r="K735">
            <v>250000.01</v>
          </cell>
          <cell r="L735">
            <v>500000</v>
          </cell>
          <cell r="M735">
            <v>80</v>
          </cell>
          <cell r="N735">
            <v>30</v>
          </cell>
          <cell r="O735">
            <v>6.25</v>
          </cell>
          <cell r="P735">
            <v>0</v>
          </cell>
        </row>
        <row r="736">
          <cell r="J736" t="str">
            <v>BTraspaso de Otro BancoIndividualResidencialUsadaCasaBG000000500000.01</v>
          </cell>
          <cell r="K736">
            <v>500000.01</v>
          </cell>
          <cell r="L736">
            <v>99999999</v>
          </cell>
          <cell r="M736">
            <v>80</v>
          </cell>
          <cell r="N736">
            <v>30</v>
          </cell>
          <cell r="O736">
            <v>6.25</v>
          </cell>
          <cell r="P736">
            <v>0</v>
          </cell>
        </row>
        <row r="737">
          <cell r="J737" t="str">
            <v>BTraspaso de Otro BancoIndividualResidencialUsadaCasaCOPA000000030000.00</v>
          </cell>
          <cell r="K737">
            <v>30000</v>
          </cell>
          <cell r="L737">
            <v>250000</v>
          </cell>
          <cell r="M737">
            <v>80</v>
          </cell>
          <cell r="N737">
            <v>30</v>
          </cell>
          <cell r="O737">
            <v>6.25</v>
          </cell>
          <cell r="P737">
            <v>0</v>
          </cell>
        </row>
        <row r="738">
          <cell r="J738" t="str">
            <v>BTraspaso de Otro BancoIndividualResidencialUsadaCasaCOPA000000250000.01</v>
          </cell>
          <cell r="K738">
            <v>250000.01</v>
          </cell>
          <cell r="L738">
            <v>500000</v>
          </cell>
          <cell r="M738">
            <v>80</v>
          </cell>
          <cell r="N738">
            <v>30</v>
          </cell>
          <cell r="O738">
            <v>6.25</v>
          </cell>
          <cell r="P738">
            <v>0</v>
          </cell>
        </row>
        <row r="739">
          <cell r="J739" t="str">
            <v>BTraspaso de Otro BancoIndividualResidencialUsadaCasaCOPA000000500000.01</v>
          </cell>
          <cell r="K739">
            <v>500000.01</v>
          </cell>
          <cell r="L739">
            <v>99999999</v>
          </cell>
          <cell r="M739">
            <v>80</v>
          </cell>
          <cell r="N739">
            <v>30</v>
          </cell>
          <cell r="O739">
            <v>6.25</v>
          </cell>
          <cell r="P739">
            <v>0</v>
          </cell>
        </row>
        <row r="740">
          <cell r="J740" t="str">
            <v>BTraspaso de Otro BancoIndividualResidencialUsadaCasaFERIA000000030000.00</v>
          </cell>
          <cell r="K740">
            <v>30000</v>
          </cell>
          <cell r="L740">
            <v>250000</v>
          </cell>
          <cell r="M740">
            <v>80</v>
          </cell>
          <cell r="N740">
            <v>30</v>
          </cell>
          <cell r="O740">
            <v>6.25</v>
          </cell>
          <cell r="P740">
            <v>0</v>
          </cell>
        </row>
        <row r="741">
          <cell r="J741" t="str">
            <v>BTraspaso de Otro BancoIndividualResidencialUsadaCasaFERIA000000250000.01</v>
          </cell>
          <cell r="K741">
            <v>250000.01</v>
          </cell>
          <cell r="L741">
            <v>500000</v>
          </cell>
          <cell r="M741">
            <v>80</v>
          </cell>
          <cell r="N741">
            <v>30</v>
          </cell>
          <cell r="O741">
            <v>6.25</v>
          </cell>
          <cell r="P741">
            <v>0</v>
          </cell>
        </row>
        <row r="742">
          <cell r="J742" t="str">
            <v>BTraspaso de Otro BancoIndividualResidencialUsadaCasaFERIA000000500000.01</v>
          </cell>
          <cell r="K742">
            <v>500000.01</v>
          </cell>
          <cell r="L742">
            <v>99999999</v>
          </cell>
          <cell r="M742">
            <v>80</v>
          </cell>
          <cell r="N742">
            <v>30</v>
          </cell>
          <cell r="O742">
            <v>6.25</v>
          </cell>
          <cell r="P742">
            <v>0</v>
          </cell>
        </row>
        <row r="743">
          <cell r="J743" t="str">
            <v>CCompra de ViviendaCasco AntiguoResidencialNuevaApartamentoBG000000030000.00</v>
          </cell>
          <cell r="K743">
            <v>30000</v>
          </cell>
          <cell r="L743">
            <v>99999999</v>
          </cell>
          <cell r="M743">
            <v>70</v>
          </cell>
          <cell r="N743">
            <v>25</v>
          </cell>
          <cell r="O743">
            <v>3.25</v>
          </cell>
          <cell r="P743">
            <v>8.56</v>
          </cell>
        </row>
        <row r="744">
          <cell r="J744" t="str">
            <v>CCompra de ViviendaCasco AntiguoResidencialNuevaApartamentoCOPA000000030000.00</v>
          </cell>
          <cell r="K744">
            <v>30000</v>
          </cell>
          <cell r="L744">
            <v>99999999</v>
          </cell>
          <cell r="M744">
            <v>70</v>
          </cell>
          <cell r="N744">
            <v>25</v>
          </cell>
          <cell r="O744">
            <v>3.25</v>
          </cell>
          <cell r="P744">
            <v>4.28</v>
          </cell>
        </row>
        <row r="745">
          <cell r="J745" t="str">
            <v>CCompra de ViviendaCasco AntiguoResidencialNuevaApartamentoFERIA000000030000.00</v>
          </cell>
          <cell r="K745">
            <v>30000</v>
          </cell>
          <cell r="L745">
            <v>99999999</v>
          </cell>
          <cell r="M745">
            <v>70</v>
          </cell>
          <cell r="N745">
            <v>25</v>
          </cell>
          <cell r="O745">
            <v>3.25</v>
          </cell>
          <cell r="P745">
            <v>4.28</v>
          </cell>
        </row>
        <row r="746">
          <cell r="J746" t="str">
            <v>CCompra de ViviendaCasco AntiguoResidencialNuevaCasaBG000000030000.00</v>
          </cell>
          <cell r="K746">
            <v>30000</v>
          </cell>
          <cell r="L746">
            <v>99999999</v>
          </cell>
          <cell r="M746">
            <v>70</v>
          </cell>
          <cell r="N746">
            <v>25</v>
          </cell>
          <cell r="O746">
            <v>3.25</v>
          </cell>
          <cell r="P746">
            <v>8.56</v>
          </cell>
        </row>
        <row r="747">
          <cell r="J747" t="str">
            <v>CCompra de ViviendaCasco AntiguoResidencialNuevaCasaCOPA000000030000.00</v>
          </cell>
          <cell r="K747">
            <v>30000</v>
          </cell>
          <cell r="L747">
            <v>99999999</v>
          </cell>
          <cell r="M747">
            <v>70</v>
          </cell>
          <cell r="N747">
            <v>25</v>
          </cell>
          <cell r="O747">
            <v>3.25</v>
          </cell>
          <cell r="P747">
            <v>4.28</v>
          </cell>
        </row>
        <row r="748">
          <cell r="J748" t="str">
            <v>CCompra de ViviendaCasco AntiguoResidencialNuevaCasaFERIA000000030000.00</v>
          </cell>
          <cell r="K748">
            <v>30000</v>
          </cell>
          <cell r="L748">
            <v>99999999</v>
          </cell>
          <cell r="M748">
            <v>70</v>
          </cell>
          <cell r="N748">
            <v>25</v>
          </cell>
          <cell r="O748">
            <v>3.25</v>
          </cell>
          <cell r="P748">
            <v>4.28</v>
          </cell>
        </row>
        <row r="749">
          <cell r="J749" t="str">
            <v>CCompra de ViviendaCasco AntiguoResidencialUsadaApartamentoBG000000030000.00</v>
          </cell>
          <cell r="K749">
            <v>30000</v>
          </cell>
          <cell r="L749">
            <v>99999999</v>
          </cell>
          <cell r="M749">
            <v>70</v>
          </cell>
          <cell r="N749">
            <v>25</v>
          </cell>
          <cell r="O749">
            <v>3.25</v>
          </cell>
          <cell r="P749">
            <v>8.56</v>
          </cell>
        </row>
        <row r="750">
          <cell r="J750" t="str">
            <v>CCompra de ViviendaCasco AntiguoResidencialUsadaApartamentoCOPA000000030000.00</v>
          </cell>
          <cell r="K750">
            <v>30000</v>
          </cell>
          <cell r="L750">
            <v>99999999</v>
          </cell>
          <cell r="M750">
            <v>70</v>
          </cell>
          <cell r="N750">
            <v>25</v>
          </cell>
          <cell r="O750">
            <v>3.25</v>
          </cell>
          <cell r="P750">
            <v>4.28</v>
          </cell>
        </row>
        <row r="751">
          <cell r="J751" t="str">
            <v>CCompra de ViviendaCasco AntiguoResidencialUsadaApartamentoFERIA000000030000.00</v>
          </cell>
          <cell r="K751">
            <v>30000</v>
          </cell>
          <cell r="L751">
            <v>99999999</v>
          </cell>
          <cell r="M751">
            <v>70</v>
          </cell>
          <cell r="N751">
            <v>25</v>
          </cell>
          <cell r="O751">
            <v>3.25</v>
          </cell>
          <cell r="P751">
            <v>4.28</v>
          </cell>
        </row>
        <row r="752">
          <cell r="J752" t="str">
            <v>CCompra de ViviendaCasco AntiguoResidencialUsadaCasaBG000000030000.00</v>
          </cell>
          <cell r="K752">
            <v>30000</v>
          </cell>
          <cell r="L752">
            <v>99999999</v>
          </cell>
          <cell r="M752">
            <v>70</v>
          </cell>
          <cell r="N752">
            <v>25</v>
          </cell>
          <cell r="O752">
            <v>3.25</v>
          </cell>
          <cell r="P752">
            <v>8.56</v>
          </cell>
        </row>
        <row r="753">
          <cell r="J753" t="str">
            <v>CCompra de ViviendaCasco AntiguoResidencialUsadaCasaCOPA000000030000.00</v>
          </cell>
          <cell r="K753">
            <v>30000</v>
          </cell>
          <cell r="L753">
            <v>99999999</v>
          </cell>
          <cell r="M753">
            <v>70</v>
          </cell>
          <cell r="N753">
            <v>25</v>
          </cell>
          <cell r="O753">
            <v>3.25</v>
          </cell>
          <cell r="P753">
            <v>4.28</v>
          </cell>
        </row>
        <row r="754">
          <cell r="J754" t="str">
            <v>CCompra de ViviendaCasco AntiguoResidencialUsadaCasaFERIA000000030000.00</v>
          </cell>
          <cell r="K754">
            <v>30000</v>
          </cell>
          <cell r="L754">
            <v>99999999</v>
          </cell>
          <cell r="M754">
            <v>70</v>
          </cell>
          <cell r="N754">
            <v>25</v>
          </cell>
          <cell r="O754">
            <v>3.25</v>
          </cell>
          <cell r="P754">
            <v>4.28</v>
          </cell>
        </row>
        <row r="755">
          <cell r="J755" t="str">
            <v>CCompra de ViviendaIndividualReposeídoUsadaApartamentoBG000000030000.00</v>
          </cell>
          <cell r="K755">
            <v>30000</v>
          </cell>
          <cell r="L755">
            <v>250000</v>
          </cell>
          <cell r="M755">
            <v>70</v>
          </cell>
          <cell r="N755">
            <v>25</v>
          </cell>
          <cell r="O755">
            <v>6.75</v>
          </cell>
          <cell r="P755">
            <v>0</v>
          </cell>
        </row>
        <row r="756">
          <cell r="J756" t="str">
            <v>CCompra de ViviendaIndividualReposeídoUsadaApartamentoBG000000250000.01</v>
          </cell>
          <cell r="K756">
            <v>250000.01</v>
          </cell>
          <cell r="L756">
            <v>500000</v>
          </cell>
          <cell r="M756">
            <v>70</v>
          </cell>
          <cell r="N756">
            <v>25</v>
          </cell>
          <cell r="O756">
            <v>6.75</v>
          </cell>
          <cell r="P756">
            <v>0</v>
          </cell>
        </row>
        <row r="757">
          <cell r="J757" t="str">
            <v>CCompra de ViviendaIndividualReposeídoUsadaApartamentoBG000000500000.01</v>
          </cell>
          <cell r="K757">
            <v>500000.01</v>
          </cell>
          <cell r="L757">
            <v>99999999</v>
          </cell>
          <cell r="M757">
            <v>70</v>
          </cell>
          <cell r="N757">
            <v>25</v>
          </cell>
          <cell r="O757">
            <v>6.75</v>
          </cell>
          <cell r="P757">
            <v>0</v>
          </cell>
        </row>
        <row r="758">
          <cell r="J758" t="str">
            <v>CCompra de ViviendaIndividualReposeídoUsadaApartamentoCOPA000000030000.00</v>
          </cell>
          <cell r="K758">
            <v>30000</v>
          </cell>
          <cell r="L758">
            <v>250000</v>
          </cell>
          <cell r="M758">
            <v>70</v>
          </cell>
          <cell r="N758">
            <v>25</v>
          </cell>
          <cell r="O758">
            <v>6.75</v>
          </cell>
          <cell r="P758">
            <v>0</v>
          </cell>
        </row>
        <row r="759">
          <cell r="J759" t="str">
            <v>CCompra de ViviendaIndividualReposeídoUsadaApartamentoCOPA000000250000.01</v>
          </cell>
          <cell r="K759">
            <v>250000.01</v>
          </cell>
          <cell r="L759">
            <v>500000</v>
          </cell>
          <cell r="M759">
            <v>70</v>
          </cell>
          <cell r="N759">
            <v>25</v>
          </cell>
          <cell r="O759">
            <v>6.75</v>
          </cell>
          <cell r="P759">
            <v>0</v>
          </cell>
        </row>
        <row r="760">
          <cell r="J760" t="str">
            <v>CCompra de ViviendaIndividualReposeídoUsadaApartamentoCOPA000000500000.01</v>
          </cell>
          <cell r="K760">
            <v>500000.01</v>
          </cell>
          <cell r="L760">
            <v>99999999</v>
          </cell>
          <cell r="M760">
            <v>70</v>
          </cell>
          <cell r="N760">
            <v>25</v>
          </cell>
          <cell r="O760">
            <v>6.75</v>
          </cell>
          <cell r="P760">
            <v>0</v>
          </cell>
        </row>
        <row r="761">
          <cell r="J761" t="str">
            <v>CCompra de ViviendaIndividualReposeídoUsadaApartamentoFERIA000000030000.00</v>
          </cell>
          <cell r="K761">
            <v>30000</v>
          </cell>
          <cell r="L761">
            <v>250000</v>
          </cell>
          <cell r="M761">
            <v>70</v>
          </cell>
          <cell r="N761">
            <v>25</v>
          </cell>
          <cell r="O761">
            <v>6.75</v>
          </cell>
          <cell r="P761">
            <v>0</v>
          </cell>
        </row>
        <row r="762">
          <cell r="J762" t="str">
            <v>CCompra de ViviendaIndividualReposeídoUsadaApartamentoFERIA000000250000.01</v>
          </cell>
          <cell r="K762">
            <v>250000.01</v>
          </cell>
          <cell r="L762">
            <v>500000</v>
          </cell>
          <cell r="M762">
            <v>70</v>
          </cell>
          <cell r="N762">
            <v>25</v>
          </cell>
          <cell r="O762">
            <v>6.75</v>
          </cell>
          <cell r="P762">
            <v>0</v>
          </cell>
        </row>
        <row r="763">
          <cell r="J763" t="str">
            <v>CCompra de ViviendaIndividualReposeídoUsadaApartamentoFERIA000000500000.01</v>
          </cell>
          <cell r="K763">
            <v>500000.01</v>
          </cell>
          <cell r="L763">
            <v>99999999</v>
          </cell>
          <cell r="M763">
            <v>70</v>
          </cell>
          <cell r="N763">
            <v>25</v>
          </cell>
          <cell r="O763">
            <v>6.75</v>
          </cell>
          <cell r="P763">
            <v>0</v>
          </cell>
        </row>
        <row r="764">
          <cell r="J764" t="str">
            <v>CCompra de ViviendaIndividualReposeídoUsadaCasaBG000000030000.00</v>
          </cell>
          <cell r="K764">
            <v>30000</v>
          </cell>
          <cell r="L764">
            <v>250000</v>
          </cell>
          <cell r="M764">
            <v>70</v>
          </cell>
          <cell r="N764">
            <v>25</v>
          </cell>
          <cell r="O764">
            <v>6.75</v>
          </cell>
          <cell r="P764">
            <v>0</v>
          </cell>
        </row>
        <row r="765">
          <cell r="J765" t="str">
            <v>CCompra de ViviendaIndividualReposeídoUsadaCasaBG000000250000.01</v>
          </cell>
          <cell r="K765">
            <v>250000.01</v>
          </cell>
          <cell r="L765">
            <v>500000</v>
          </cell>
          <cell r="M765">
            <v>70</v>
          </cell>
          <cell r="N765">
            <v>25</v>
          </cell>
          <cell r="O765">
            <v>6.75</v>
          </cell>
          <cell r="P765">
            <v>0</v>
          </cell>
        </row>
        <row r="766">
          <cell r="J766" t="str">
            <v>CCompra de ViviendaIndividualReposeídoUsadaCasaBG000000500000.01</v>
          </cell>
          <cell r="K766">
            <v>500000.01</v>
          </cell>
          <cell r="L766">
            <v>99999999</v>
          </cell>
          <cell r="M766">
            <v>70</v>
          </cell>
          <cell r="N766">
            <v>25</v>
          </cell>
          <cell r="O766">
            <v>6.75</v>
          </cell>
          <cell r="P766">
            <v>0</v>
          </cell>
        </row>
        <row r="767">
          <cell r="J767" t="str">
            <v>CCompra de ViviendaIndividualReposeídoUsadaCasaCOPA000000030000.00</v>
          </cell>
          <cell r="K767">
            <v>30000</v>
          </cell>
          <cell r="L767">
            <v>250000</v>
          </cell>
          <cell r="M767">
            <v>70</v>
          </cell>
          <cell r="N767">
            <v>25</v>
          </cell>
          <cell r="O767">
            <v>6.75</v>
          </cell>
          <cell r="P767">
            <v>0</v>
          </cell>
        </row>
        <row r="768">
          <cell r="J768" t="str">
            <v>CCompra de ViviendaIndividualReposeídoUsadaCasaCOPA000000250000.01</v>
          </cell>
          <cell r="K768">
            <v>250000.01</v>
          </cell>
          <cell r="L768">
            <v>500000</v>
          </cell>
          <cell r="M768">
            <v>70</v>
          </cell>
          <cell r="N768">
            <v>25</v>
          </cell>
          <cell r="O768">
            <v>6.75</v>
          </cell>
          <cell r="P768">
            <v>0</v>
          </cell>
        </row>
        <row r="769">
          <cell r="J769" t="str">
            <v>CCompra de ViviendaIndividualReposeídoUsadaCasaCOPA000000500000.01</v>
          </cell>
          <cell r="K769">
            <v>500000.01</v>
          </cell>
          <cell r="L769">
            <v>99999999</v>
          </cell>
          <cell r="M769">
            <v>70</v>
          </cell>
          <cell r="N769">
            <v>25</v>
          </cell>
          <cell r="O769">
            <v>6.75</v>
          </cell>
          <cell r="P769">
            <v>0</v>
          </cell>
        </row>
        <row r="770">
          <cell r="J770" t="str">
            <v>CCompra de ViviendaIndividualReposeídoUsadaCasaFERIA000000030000.00</v>
          </cell>
          <cell r="K770">
            <v>30000</v>
          </cell>
          <cell r="L770">
            <v>250000</v>
          </cell>
          <cell r="M770">
            <v>70</v>
          </cell>
          <cell r="N770">
            <v>25</v>
          </cell>
          <cell r="O770">
            <v>6.75</v>
          </cell>
          <cell r="P770">
            <v>0</v>
          </cell>
        </row>
        <row r="771">
          <cell r="J771" t="str">
            <v>CCompra de ViviendaIndividualReposeídoUsadaCasaFERIA000000250000.01</v>
          </cell>
          <cell r="K771">
            <v>250000.01</v>
          </cell>
          <cell r="L771">
            <v>500000</v>
          </cell>
          <cell r="M771">
            <v>70</v>
          </cell>
          <cell r="N771">
            <v>25</v>
          </cell>
          <cell r="O771">
            <v>6.75</v>
          </cell>
          <cell r="P771">
            <v>0</v>
          </cell>
        </row>
        <row r="772">
          <cell r="J772" t="str">
            <v>CCompra de ViviendaIndividualReposeídoUsadaCasaFERIA000000500000.01</v>
          </cell>
          <cell r="K772">
            <v>500000.01</v>
          </cell>
          <cell r="L772">
            <v>99999999</v>
          </cell>
          <cell r="M772">
            <v>70</v>
          </cell>
          <cell r="N772">
            <v>25</v>
          </cell>
          <cell r="O772">
            <v>6.75</v>
          </cell>
          <cell r="P772">
            <v>0</v>
          </cell>
        </row>
        <row r="773">
          <cell r="J773" t="str">
            <v>CCompra de ViviendaIndividualResidencialNuevaApartamentoBG000000030000.00</v>
          </cell>
          <cell r="K773">
            <v>30000</v>
          </cell>
          <cell r="L773">
            <v>100000</v>
          </cell>
          <cell r="M773">
            <v>70</v>
          </cell>
          <cell r="N773">
            <v>25</v>
          </cell>
          <cell r="O773">
            <v>6.75</v>
          </cell>
          <cell r="P773">
            <v>0</v>
          </cell>
        </row>
        <row r="774">
          <cell r="J774" t="str">
            <v>CCompra de ViviendaIndividualResidencialNuevaApartamentoBG000000100000.01</v>
          </cell>
          <cell r="K774">
            <v>100000.01</v>
          </cell>
          <cell r="L774">
            <v>250000</v>
          </cell>
          <cell r="M774">
            <v>70</v>
          </cell>
          <cell r="N774">
            <v>25</v>
          </cell>
          <cell r="O774">
            <v>6.75</v>
          </cell>
          <cell r="P774">
            <v>0</v>
          </cell>
        </row>
        <row r="775">
          <cell r="J775" t="str">
            <v>CCompra de ViviendaIndividualResidencialNuevaApartamentoBG000000250000.01</v>
          </cell>
          <cell r="K775">
            <v>250000.01</v>
          </cell>
          <cell r="L775">
            <v>500000</v>
          </cell>
          <cell r="M775">
            <v>70</v>
          </cell>
          <cell r="N775">
            <v>25</v>
          </cell>
          <cell r="O775">
            <v>6.75</v>
          </cell>
          <cell r="P775">
            <v>0</v>
          </cell>
        </row>
        <row r="776">
          <cell r="J776" t="str">
            <v>CCompra de ViviendaIndividualResidencialNuevaApartamentoBG000000500000.01</v>
          </cell>
          <cell r="K776">
            <v>500000.01</v>
          </cell>
          <cell r="L776">
            <v>99999999</v>
          </cell>
          <cell r="M776">
            <v>70</v>
          </cell>
          <cell r="N776">
            <v>25</v>
          </cell>
          <cell r="O776">
            <v>6.75</v>
          </cell>
          <cell r="P776">
            <v>0</v>
          </cell>
        </row>
        <row r="777">
          <cell r="J777" t="str">
            <v>CCompra de ViviendaIndividualResidencialNuevaApartamentoCOPA000000030000.00</v>
          </cell>
          <cell r="K777">
            <v>30000</v>
          </cell>
          <cell r="L777">
            <v>100000</v>
          </cell>
          <cell r="M777">
            <v>70</v>
          </cell>
          <cell r="N777">
            <v>25</v>
          </cell>
          <cell r="O777">
            <v>6.75</v>
          </cell>
          <cell r="P777">
            <v>0</v>
          </cell>
        </row>
        <row r="778">
          <cell r="J778" t="str">
            <v>CCompra de ViviendaIndividualResidencialNuevaApartamentoCOPA000000100000.01</v>
          </cell>
          <cell r="K778">
            <v>100000.01</v>
          </cell>
          <cell r="L778">
            <v>250000</v>
          </cell>
          <cell r="M778">
            <v>70</v>
          </cell>
          <cell r="N778">
            <v>25</v>
          </cell>
          <cell r="O778">
            <v>6.75</v>
          </cell>
          <cell r="P778">
            <v>0</v>
          </cell>
        </row>
        <row r="779">
          <cell r="J779" t="str">
            <v>CCompra de ViviendaIndividualResidencialNuevaApartamentoCOPA000000250000.01</v>
          </cell>
          <cell r="K779">
            <v>250000.01</v>
          </cell>
          <cell r="L779">
            <v>500000</v>
          </cell>
          <cell r="M779">
            <v>70</v>
          </cell>
          <cell r="N779">
            <v>25</v>
          </cell>
          <cell r="O779">
            <v>6.75</v>
          </cell>
          <cell r="P779">
            <v>0</v>
          </cell>
        </row>
        <row r="780">
          <cell r="J780" t="str">
            <v>CCompra de ViviendaIndividualResidencialNuevaApartamentoCOPA000000500000.01</v>
          </cell>
          <cell r="K780">
            <v>500000.01</v>
          </cell>
          <cell r="L780">
            <v>99999999</v>
          </cell>
          <cell r="M780">
            <v>70</v>
          </cell>
          <cell r="N780">
            <v>25</v>
          </cell>
          <cell r="O780">
            <v>6.75</v>
          </cell>
          <cell r="P780">
            <v>0</v>
          </cell>
        </row>
        <row r="781">
          <cell r="J781" t="str">
            <v>CCompra de ViviendaIndividualResidencialNuevaApartamentoFERIA000000030000.00</v>
          </cell>
          <cell r="K781">
            <v>30000</v>
          </cell>
          <cell r="L781">
            <v>100000</v>
          </cell>
          <cell r="M781">
            <v>70</v>
          </cell>
          <cell r="N781">
            <v>25</v>
          </cell>
          <cell r="O781">
            <v>6.75</v>
          </cell>
          <cell r="P781">
            <v>0</v>
          </cell>
        </row>
        <row r="782">
          <cell r="J782" t="str">
            <v>CCompra de ViviendaIndividualResidencialNuevaApartamentoFERIA000000100000.01</v>
          </cell>
          <cell r="K782">
            <v>100000.01</v>
          </cell>
          <cell r="L782">
            <v>250000</v>
          </cell>
          <cell r="M782">
            <v>70</v>
          </cell>
          <cell r="N782">
            <v>25</v>
          </cell>
          <cell r="O782">
            <v>6.75</v>
          </cell>
          <cell r="P782">
            <v>0</v>
          </cell>
        </row>
        <row r="783">
          <cell r="J783" t="str">
            <v>CCompra de ViviendaIndividualResidencialNuevaApartamentoFERIA000000250000.01</v>
          </cell>
          <cell r="K783">
            <v>250000.01</v>
          </cell>
          <cell r="L783">
            <v>500000</v>
          </cell>
          <cell r="M783">
            <v>70</v>
          </cell>
          <cell r="N783">
            <v>25</v>
          </cell>
          <cell r="O783">
            <v>6.75</v>
          </cell>
          <cell r="P783">
            <v>0</v>
          </cell>
        </row>
        <row r="784">
          <cell r="J784" t="str">
            <v>CCompra de ViviendaIndividualResidencialNuevaApartamentoFERIA000000500000.01</v>
          </cell>
          <cell r="K784">
            <v>500000.01</v>
          </cell>
          <cell r="L784">
            <v>99999999</v>
          </cell>
          <cell r="M784">
            <v>70</v>
          </cell>
          <cell r="N784">
            <v>25</v>
          </cell>
          <cell r="O784">
            <v>6.75</v>
          </cell>
          <cell r="P784">
            <v>0</v>
          </cell>
        </row>
        <row r="785">
          <cell r="J785" t="str">
            <v>CCompra de ViviendaIndividualResidencialNuevaCasaBG000000018000.00</v>
          </cell>
          <cell r="K785">
            <v>18000</v>
          </cell>
          <cell r="L785">
            <v>100000</v>
          </cell>
          <cell r="M785">
            <v>70</v>
          </cell>
          <cell r="N785">
            <v>25</v>
          </cell>
          <cell r="O785">
            <v>6.75</v>
          </cell>
          <cell r="P785">
            <v>0</v>
          </cell>
        </row>
        <row r="786">
          <cell r="J786" t="str">
            <v>CCompra de ViviendaIndividualResidencialNuevaCasaBG000000100000.01</v>
          </cell>
          <cell r="K786">
            <v>100000.01</v>
          </cell>
          <cell r="L786">
            <v>250000</v>
          </cell>
          <cell r="M786">
            <v>70</v>
          </cell>
          <cell r="N786">
            <v>25</v>
          </cell>
          <cell r="O786">
            <v>6.75</v>
          </cell>
          <cell r="P786">
            <v>0</v>
          </cell>
        </row>
        <row r="787">
          <cell r="J787" t="str">
            <v>CCompra de ViviendaIndividualResidencialNuevaCasaBG000000250000.01</v>
          </cell>
          <cell r="K787">
            <v>250000.01</v>
          </cell>
          <cell r="L787">
            <v>600000</v>
          </cell>
          <cell r="M787">
            <v>70</v>
          </cell>
          <cell r="N787">
            <v>25</v>
          </cell>
          <cell r="O787">
            <v>6.75</v>
          </cell>
          <cell r="P787">
            <v>0</v>
          </cell>
        </row>
        <row r="788">
          <cell r="J788" t="str">
            <v>CCompra de ViviendaIndividualResidencialNuevaCasaBG000000600000.01</v>
          </cell>
          <cell r="K788">
            <v>600000.01</v>
          </cell>
          <cell r="L788">
            <v>99999999</v>
          </cell>
          <cell r="M788">
            <v>70</v>
          </cell>
          <cell r="N788">
            <v>25</v>
          </cell>
          <cell r="O788">
            <v>6.75</v>
          </cell>
          <cell r="P788">
            <v>0</v>
          </cell>
        </row>
        <row r="789">
          <cell r="J789" t="str">
            <v>CCompra de ViviendaIndividualResidencialNuevaCasaCOPA000000018000.00</v>
          </cell>
          <cell r="K789">
            <v>18000</v>
          </cell>
          <cell r="L789">
            <v>100000</v>
          </cell>
          <cell r="M789">
            <v>70</v>
          </cell>
          <cell r="N789">
            <v>25</v>
          </cell>
          <cell r="O789">
            <v>6.75</v>
          </cell>
          <cell r="P789">
            <v>0</v>
          </cell>
        </row>
        <row r="790">
          <cell r="J790" t="str">
            <v>CCompra de ViviendaIndividualResidencialNuevaCasaCOPA000000100000.01</v>
          </cell>
          <cell r="K790">
            <v>100000.01</v>
          </cell>
          <cell r="L790">
            <v>250000</v>
          </cell>
          <cell r="M790">
            <v>70</v>
          </cell>
          <cell r="N790">
            <v>25</v>
          </cell>
          <cell r="O790">
            <v>6.75</v>
          </cell>
          <cell r="P790">
            <v>0</v>
          </cell>
        </row>
        <row r="791">
          <cell r="J791" t="str">
            <v>CCompra de ViviendaIndividualResidencialNuevaCasaCOPA000000250000.01</v>
          </cell>
          <cell r="K791">
            <v>250000.01</v>
          </cell>
          <cell r="L791">
            <v>600000</v>
          </cell>
          <cell r="M791">
            <v>70</v>
          </cell>
          <cell r="N791">
            <v>25</v>
          </cell>
          <cell r="O791">
            <v>6.75</v>
          </cell>
          <cell r="P791">
            <v>0</v>
          </cell>
        </row>
        <row r="792">
          <cell r="J792" t="str">
            <v>CCompra de ViviendaIndividualResidencialNuevaCasaCOPA000000600000.01</v>
          </cell>
          <cell r="K792">
            <v>600000.01</v>
          </cell>
          <cell r="L792">
            <v>99999999</v>
          </cell>
          <cell r="M792">
            <v>70</v>
          </cell>
          <cell r="N792">
            <v>25</v>
          </cell>
          <cell r="O792">
            <v>6.75</v>
          </cell>
          <cell r="P792">
            <v>0</v>
          </cell>
        </row>
        <row r="793">
          <cell r="J793" t="str">
            <v>CCompra de ViviendaIndividualResidencialNuevaCasaFERIA000000018000.00</v>
          </cell>
          <cell r="K793">
            <v>18000</v>
          </cell>
          <cell r="L793">
            <v>100000</v>
          </cell>
          <cell r="M793">
            <v>70</v>
          </cell>
          <cell r="N793">
            <v>25</v>
          </cell>
          <cell r="O793">
            <v>6.75</v>
          </cell>
          <cell r="P793">
            <v>0</v>
          </cell>
        </row>
        <row r="794">
          <cell r="J794" t="str">
            <v>CCompra de ViviendaIndividualResidencialNuevaCasaFERIA000000100000.01</v>
          </cell>
          <cell r="K794">
            <v>100000.01</v>
          </cell>
          <cell r="L794">
            <v>250000</v>
          </cell>
          <cell r="M794">
            <v>70</v>
          </cell>
          <cell r="N794">
            <v>25</v>
          </cell>
          <cell r="O794">
            <v>6.75</v>
          </cell>
          <cell r="P794">
            <v>0</v>
          </cell>
        </row>
        <row r="795">
          <cell r="J795" t="str">
            <v>CCompra de ViviendaIndividualResidencialNuevaCasaFERIA000000250000.01</v>
          </cell>
          <cell r="K795">
            <v>250000.01</v>
          </cell>
          <cell r="L795">
            <v>600000</v>
          </cell>
          <cell r="M795">
            <v>70</v>
          </cell>
          <cell r="N795">
            <v>25</v>
          </cell>
          <cell r="O795">
            <v>6.75</v>
          </cell>
          <cell r="P795">
            <v>0</v>
          </cell>
        </row>
        <row r="796">
          <cell r="J796" t="str">
            <v>CCompra de ViviendaIndividualResidencialNuevaCasaFERIA000000600000.01</v>
          </cell>
          <cell r="K796">
            <v>600000.01</v>
          </cell>
          <cell r="L796">
            <v>99999999</v>
          </cell>
          <cell r="M796">
            <v>70</v>
          </cell>
          <cell r="N796">
            <v>25</v>
          </cell>
          <cell r="O796">
            <v>6.75</v>
          </cell>
          <cell r="P796">
            <v>0</v>
          </cell>
        </row>
        <row r="797">
          <cell r="J797" t="str">
            <v>CCompra de ViviendaIndividualResidencialUsadaApartamentoBG000000030000.00</v>
          </cell>
          <cell r="K797">
            <v>30000</v>
          </cell>
          <cell r="L797">
            <v>250000</v>
          </cell>
          <cell r="M797">
            <v>70</v>
          </cell>
          <cell r="N797">
            <v>25</v>
          </cell>
          <cell r="O797">
            <v>6.75</v>
          </cell>
          <cell r="P797">
            <v>0</v>
          </cell>
        </row>
        <row r="798">
          <cell r="J798" t="str">
            <v>CCompra de ViviendaIndividualResidencialUsadaApartamentoBG000000250000.01</v>
          </cell>
          <cell r="K798">
            <v>250000.01</v>
          </cell>
          <cell r="L798">
            <v>500000</v>
          </cell>
          <cell r="M798">
            <v>70</v>
          </cell>
          <cell r="N798">
            <v>25</v>
          </cell>
          <cell r="O798">
            <v>6.75</v>
          </cell>
          <cell r="P798">
            <v>0</v>
          </cell>
        </row>
        <row r="799">
          <cell r="J799" t="str">
            <v>CCompra de ViviendaIndividualResidencialUsadaApartamentoBG000000500000.01</v>
          </cell>
          <cell r="K799">
            <v>500000.01</v>
          </cell>
          <cell r="L799">
            <v>99999999</v>
          </cell>
          <cell r="M799">
            <v>70</v>
          </cell>
          <cell r="N799">
            <v>25</v>
          </cell>
          <cell r="O799">
            <v>6.75</v>
          </cell>
          <cell r="P799">
            <v>0</v>
          </cell>
        </row>
        <row r="800">
          <cell r="J800" t="str">
            <v>CCompra de ViviendaIndividualResidencialUsadaApartamentoCOPA000000030000.00</v>
          </cell>
          <cell r="K800">
            <v>30000</v>
          </cell>
          <cell r="L800">
            <v>250000</v>
          </cell>
          <cell r="M800">
            <v>70</v>
          </cell>
          <cell r="N800">
            <v>25</v>
          </cell>
          <cell r="O800">
            <v>6.75</v>
          </cell>
          <cell r="P800">
            <v>0</v>
          </cell>
        </row>
        <row r="801">
          <cell r="J801" t="str">
            <v>CCompra de ViviendaIndividualResidencialUsadaApartamentoCOPA000000250000.01</v>
          </cell>
          <cell r="K801">
            <v>250000.01</v>
          </cell>
          <cell r="L801">
            <v>500000</v>
          </cell>
          <cell r="M801">
            <v>70</v>
          </cell>
          <cell r="N801">
            <v>25</v>
          </cell>
          <cell r="O801">
            <v>6.75</v>
          </cell>
          <cell r="P801">
            <v>0</v>
          </cell>
        </row>
        <row r="802">
          <cell r="J802" t="str">
            <v>CCompra de ViviendaIndividualResidencialUsadaApartamentoCOPA000000500000.01</v>
          </cell>
          <cell r="K802">
            <v>500000.01</v>
          </cell>
          <cell r="L802">
            <v>99999999</v>
          </cell>
          <cell r="M802">
            <v>70</v>
          </cell>
          <cell r="N802">
            <v>25</v>
          </cell>
          <cell r="O802">
            <v>6.75</v>
          </cell>
          <cell r="P802">
            <v>0</v>
          </cell>
        </row>
        <row r="803">
          <cell r="J803" t="str">
            <v>CCompra de ViviendaIndividualResidencialUsadaApartamentoFERIA000000030000.00</v>
          </cell>
          <cell r="K803">
            <v>30000</v>
          </cell>
          <cell r="L803">
            <v>250000</v>
          </cell>
          <cell r="M803">
            <v>70</v>
          </cell>
          <cell r="N803">
            <v>25</v>
          </cell>
          <cell r="O803">
            <v>6.75</v>
          </cell>
          <cell r="P803">
            <v>0</v>
          </cell>
        </row>
        <row r="804">
          <cell r="J804" t="str">
            <v>CCompra de ViviendaIndividualResidencialUsadaApartamentoFERIA000000250000.01</v>
          </cell>
          <cell r="K804">
            <v>250000.01</v>
          </cell>
          <cell r="L804">
            <v>500000</v>
          </cell>
          <cell r="M804">
            <v>70</v>
          </cell>
          <cell r="N804">
            <v>25</v>
          </cell>
          <cell r="O804">
            <v>6.75</v>
          </cell>
          <cell r="P804">
            <v>0</v>
          </cell>
        </row>
        <row r="805">
          <cell r="J805" t="str">
            <v>CCompra de ViviendaIndividualResidencialUsadaApartamentoFERIA000000500000.01</v>
          </cell>
          <cell r="K805">
            <v>500000.01</v>
          </cell>
          <cell r="L805">
            <v>99999999</v>
          </cell>
          <cell r="M805">
            <v>70</v>
          </cell>
          <cell r="N805">
            <v>25</v>
          </cell>
          <cell r="O805">
            <v>6.75</v>
          </cell>
          <cell r="P805">
            <v>0</v>
          </cell>
        </row>
        <row r="806">
          <cell r="J806" t="str">
            <v>CCompra de ViviendaIndividualResidencialUsadaCasaBG000000030000.00</v>
          </cell>
          <cell r="K806">
            <v>30000</v>
          </cell>
          <cell r="L806">
            <v>250000</v>
          </cell>
          <cell r="M806">
            <v>70</v>
          </cell>
          <cell r="N806">
            <v>25</v>
          </cell>
          <cell r="O806">
            <v>6.75</v>
          </cell>
          <cell r="P806">
            <v>0</v>
          </cell>
        </row>
        <row r="807">
          <cell r="J807" t="str">
            <v>CCompra de ViviendaIndividualResidencialUsadaCasaBG000000500000.01</v>
          </cell>
          <cell r="K807">
            <v>500000.01</v>
          </cell>
          <cell r="L807">
            <v>99999999</v>
          </cell>
          <cell r="M807">
            <v>70</v>
          </cell>
          <cell r="N807">
            <v>25</v>
          </cell>
          <cell r="O807">
            <v>6.75</v>
          </cell>
          <cell r="P807">
            <v>0</v>
          </cell>
        </row>
        <row r="808">
          <cell r="J808" t="str">
            <v>CCompra de ViviendaIndividualResidencialUsadaCasaBG000002500000.01</v>
          </cell>
          <cell r="K808">
            <v>2500000.0099999998</v>
          </cell>
          <cell r="L808">
            <v>500000</v>
          </cell>
          <cell r="M808">
            <v>70</v>
          </cell>
          <cell r="N808">
            <v>25</v>
          </cell>
          <cell r="O808">
            <v>6.75</v>
          </cell>
          <cell r="P808">
            <v>0</v>
          </cell>
        </row>
        <row r="809">
          <cell r="J809" t="str">
            <v>CCompra de ViviendaIndividualResidencialUsadaCasaCOPA000000030000.00</v>
          </cell>
          <cell r="K809">
            <v>30000</v>
          </cell>
          <cell r="L809">
            <v>250000</v>
          </cell>
          <cell r="M809">
            <v>70</v>
          </cell>
          <cell r="N809">
            <v>25</v>
          </cell>
          <cell r="O809">
            <v>6.75</v>
          </cell>
          <cell r="P809">
            <v>0</v>
          </cell>
        </row>
        <row r="810">
          <cell r="J810" t="str">
            <v>CCompra de ViviendaIndividualResidencialUsadaCasaCOPA000000500000.01</v>
          </cell>
          <cell r="K810">
            <v>500000.01</v>
          </cell>
          <cell r="L810">
            <v>99999999</v>
          </cell>
          <cell r="M810">
            <v>70</v>
          </cell>
          <cell r="N810">
            <v>25</v>
          </cell>
          <cell r="O810">
            <v>6.75</v>
          </cell>
          <cell r="P810">
            <v>0</v>
          </cell>
        </row>
        <row r="811">
          <cell r="J811" t="str">
            <v>CCompra de ViviendaIndividualResidencialUsadaCasaCOPA000002500000.01</v>
          </cell>
          <cell r="K811">
            <v>2500000.0099999998</v>
          </cell>
          <cell r="L811">
            <v>500000</v>
          </cell>
          <cell r="M811">
            <v>70</v>
          </cell>
          <cell r="N811">
            <v>25</v>
          </cell>
          <cell r="O811">
            <v>6.75</v>
          </cell>
          <cell r="P811">
            <v>0</v>
          </cell>
        </row>
        <row r="812">
          <cell r="J812" t="str">
            <v>CCompra de ViviendaIndividualResidencialUsadaCasaFERIA000000030000.00</v>
          </cell>
          <cell r="K812">
            <v>30000</v>
          </cell>
          <cell r="L812">
            <v>250000</v>
          </cell>
          <cell r="M812">
            <v>70</v>
          </cell>
          <cell r="N812">
            <v>25</v>
          </cell>
          <cell r="O812">
            <v>6.75</v>
          </cell>
          <cell r="P812">
            <v>0</v>
          </cell>
        </row>
        <row r="813">
          <cell r="J813" t="str">
            <v>CCompra de ViviendaIndividualResidencialUsadaCasaFERIA000000500000.01</v>
          </cell>
          <cell r="K813">
            <v>500000.01</v>
          </cell>
          <cell r="L813">
            <v>99999999</v>
          </cell>
          <cell r="M813">
            <v>70</v>
          </cell>
          <cell r="N813">
            <v>25</v>
          </cell>
          <cell r="O813">
            <v>6.75</v>
          </cell>
          <cell r="P813">
            <v>0</v>
          </cell>
        </row>
        <row r="814">
          <cell r="J814" t="str">
            <v>CCompra de ViviendaIndividualResidencialUsadaCasaFERIA000002500000.01</v>
          </cell>
          <cell r="K814">
            <v>2500000.0099999998</v>
          </cell>
          <cell r="L814">
            <v>500000</v>
          </cell>
          <cell r="M814">
            <v>70</v>
          </cell>
          <cell r="N814">
            <v>25</v>
          </cell>
          <cell r="O814">
            <v>6.75</v>
          </cell>
          <cell r="P814">
            <v>0</v>
          </cell>
        </row>
        <row r="815">
          <cell r="J815" t="str">
            <v>CCompra Venta de AccionesCasco AntiguoResidencialNuevaApartamentoBG000000030000.00</v>
          </cell>
          <cell r="K815">
            <v>30000</v>
          </cell>
          <cell r="L815">
            <v>99999999</v>
          </cell>
          <cell r="M815">
            <v>70</v>
          </cell>
          <cell r="N815">
            <v>25</v>
          </cell>
          <cell r="O815">
            <v>3.25</v>
          </cell>
          <cell r="P815">
            <v>4.28</v>
          </cell>
        </row>
        <row r="816">
          <cell r="J816" t="str">
            <v>CCompra Venta de AccionesCasco AntiguoResidencialNuevaCasaBG000000030000.00</v>
          </cell>
          <cell r="K816">
            <v>30000</v>
          </cell>
          <cell r="L816">
            <v>99999999</v>
          </cell>
          <cell r="M816">
            <v>70</v>
          </cell>
          <cell r="N816">
            <v>25</v>
          </cell>
          <cell r="O816">
            <v>3.25</v>
          </cell>
          <cell r="P816">
            <v>4.28</v>
          </cell>
        </row>
        <row r="817">
          <cell r="J817" t="str">
            <v>CCompra Venta de AccionesCasco AntiguoResidencialUsadaApartamentoBG000000030000.00</v>
          </cell>
          <cell r="K817">
            <v>30000</v>
          </cell>
          <cell r="L817">
            <v>99999999</v>
          </cell>
          <cell r="M817">
            <v>70</v>
          </cell>
          <cell r="N817">
            <v>25</v>
          </cell>
          <cell r="O817">
            <v>3.25</v>
          </cell>
          <cell r="P817">
            <v>4.28</v>
          </cell>
        </row>
        <row r="818">
          <cell r="J818" t="str">
            <v>CCompra Venta de AccionesCasco AntiguoResidencialUsadaCasaBG000000030000.00</v>
          </cell>
          <cell r="K818">
            <v>30000</v>
          </cell>
          <cell r="L818">
            <v>99999999</v>
          </cell>
          <cell r="M818">
            <v>70</v>
          </cell>
          <cell r="N818">
            <v>25</v>
          </cell>
          <cell r="O818">
            <v>3.25</v>
          </cell>
          <cell r="P818">
            <v>4.28</v>
          </cell>
        </row>
        <row r="819">
          <cell r="J819" t="str">
            <v>CCompra Venta de AccionesIndividualResidencialNuevaApartamentoBG000000030000.00</v>
          </cell>
          <cell r="K819">
            <v>30000</v>
          </cell>
          <cell r="L819">
            <v>100000</v>
          </cell>
          <cell r="M819">
            <v>70</v>
          </cell>
          <cell r="N819">
            <v>25</v>
          </cell>
          <cell r="O819">
            <v>6.5</v>
          </cell>
          <cell r="P819">
            <v>0</v>
          </cell>
        </row>
        <row r="820">
          <cell r="J820" t="str">
            <v>CCompra Venta de AccionesIndividualResidencialNuevaApartamentoBG000000100000.01</v>
          </cell>
          <cell r="K820">
            <v>100000.01</v>
          </cell>
          <cell r="L820">
            <v>250000</v>
          </cell>
          <cell r="M820">
            <v>70</v>
          </cell>
          <cell r="N820">
            <v>25</v>
          </cell>
          <cell r="O820">
            <v>6.5</v>
          </cell>
          <cell r="P820">
            <v>0</v>
          </cell>
        </row>
        <row r="821">
          <cell r="J821" t="str">
            <v>CCompra Venta de AccionesIndividualResidencialNuevaApartamentoBG000000250000.01</v>
          </cell>
          <cell r="K821">
            <v>250000.01</v>
          </cell>
          <cell r="L821">
            <v>400000</v>
          </cell>
          <cell r="M821">
            <v>70</v>
          </cell>
          <cell r="N821">
            <v>25</v>
          </cell>
          <cell r="O821">
            <v>6.5</v>
          </cell>
          <cell r="P821">
            <v>0</v>
          </cell>
        </row>
        <row r="822">
          <cell r="J822" t="str">
            <v>CCompra Venta de AccionesIndividualResidencialNuevaApartamentoBG000000400000.01</v>
          </cell>
          <cell r="K822">
            <v>400000.01</v>
          </cell>
          <cell r="L822">
            <v>99999999</v>
          </cell>
          <cell r="M822">
            <v>70</v>
          </cell>
          <cell r="N822">
            <v>25</v>
          </cell>
          <cell r="O822">
            <v>6.5</v>
          </cell>
          <cell r="P822">
            <v>0</v>
          </cell>
        </row>
        <row r="823">
          <cell r="J823" t="str">
            <v>CCompra Venta de AccionesIndividualResidencialNuevaCasaBG000000018000.00</v>
          </cell>
          <cell r="K823">
            <v>18000</v>
          </cell>
          <cell r="L823">
            <v>100000</v>
          </cell>
          <cell r="M823">
            <v>70</v>
          </cell>
          <cell r="N823">
            <v>25</v>
          </cell>
          <cell r="O823">
            <v>6.5</v>
          </cell>
          <cell r="P823">
            <v>0</v>
          </cell>
        </row>
        <row r="824">
          <cell r="J824" t="str">
            <v>CCompra Venta de AccionesIndividualResidencialNuevaCasaBG000000100000.01</v>
          </cell>
          <cell r="K824">
            <v>100000.01</v>
          </cell>
          <cell r="L824">
            <v>250000</v>
          </cell>
          <cell r="M824">
            <v>70</v>
          </cell>
          <cell r="N824">
            <v>25</v>
          </cell>
          <cell r="O824">
            <v>6.5</v>
          </cell>
          <cell r="P824">
            <v>0</v>
          </cell>
        </row>
        <row r="825">
          <cell r="J825" t="str">
            <v>CCompra Venta de AccionesIndividualResidencialNuevaCasaBG000000250000.01</v>
          </cell>
          <cell r="K825">
            <v>250000.01</v>
          </cell>
          <cell r="L825">
            <v>600000</v>
          </cell>
          <cell r="M825">
            <v>70</v>
          </cell>
          <cell r="N825">
            <v>25</v>
          </cell>
          <cell r="O825">
            <v>6.5</v>
          </cell>
          <cell r="P825">
            <v>0</v>
          </cell>
        </row>
        <row r="826">
          <cell r="J826" t="str">
            <v>CCompra Venta de AccionesIndividualResidencialNuevaCasaBG000000600000.01</v>
          </cell>
          <cell r="K826">
            <v>600000.01</v>
          </cell>
          <cell r="L826">
            <v>99999999</v>
          </cell>
          <cell r="M826">
            <v>70</v>
          </cell>
          <cell r="N826">
            <v>25</v>
          </cell>
          <cell r="O826">
            <v>6.5</v>
          </cell>
          <cell r="P826">
            <v>0</v>
          </cell>
        </row>
        <row r="827">
          <cell r="J827" t="str">
            <v>CCompra Venta de AccionesIndividualResidencialUsadaApartamentoBG000000030000.00</v>
          </cell>
          <cell r="K827">
            <v>30000</v>
          </cell>
          <cell r="L827">
            <v>250000</v>
          </cell>
          <cell r="M827">
            <v>70</v>
          </cell>
          <cell r="N827">
            <v>25</v>
          </cell>
          <cell r="O827">
            <v>6.75</v>
          </cell>
          <cell r="P827">
            <v>0</v>
          </cell>
        </row>
        <row r="828">
          <cell r="J828" t="str">
            <v>CCompra Venta de AccionesIndividualResidencialUsadaApartamentoBG000000250000.01</v>
          </cell>
          <cell r="K828">
            <v>250000.01</v>
          </cell>
          <cell r="L828">
            <v>500000</v>
          </cell>
          <cell r="M828">
            <v>70</v>
          </cell>
          <cell r="N828">
            <v>25</v>
          </cell>
          <cell r="O828">
            <v>6.75</v>
          </cell>
          <cell r="P828">
            <v>0</v>
          </cell>
        </row>
        <row r="829">
          <cell r="J829" t="str">
            <v>CCompra Venta de AccionesIndividualResidencialUsadaApartamentoBG000000500000.01</v>
          </cell>
          <cell r="K829">
            <v>500000.01</v>
          </cell>
          <cell r="L829">
            <v>99999999</v>
          </cell>
          <cell r="M829">
            <v>70</v>
          </cell>
          <cell r="N829">
            <v>25</v>
          </cell>
          <cell r="O829">
            <v>6.75</v>
          </cell>
          <cell r="P829">
            <v>0</v>
          </cell>
        </row>
        <row r="830">
          <cell r="J830" t="str">
            <v>CCompra Venta de AccionesIndividualResidencialUsadaCasaBG000000030000.00</v>
          </cell>
          <cell r="K830">
            <v>30000</v>
          </cell>
          <cell r="L830">
            <v>250000</v>
          </cell>
          <cell r="M830">
            <v>70</v>
          </cell>
          <cell r="N830">
            <v>25</v>
          </cell>
          <cell r="O830">
            <v>6.75</v>
          </cell>
          <cell r="P830">
            <v>0</v>
          </cell>
        </row>
        <row r="831">
          <cell r="J831" t="str">
            <v>CCompra Venta de AccionesIndividualResidencialUsadaCasaBG000000250000.01</v>
          </cell>
          <cell r="K831">
            <v>250000.01</v>
          </cell>
          <cell r="L831">
            <v>500000</v>
          </cell>
          <cell r="M831">
            <v>70</v>
          </cell>
          <cell r="N831">
            <v>25</v>
          </cell>
          <cell r="O831">
            <v>6.75</v>
          </cell>
          <cell r="P831">
            <v>0</v>
          </cell>
        </row>
        <row r="832">
          <cell r="J832" t="str">
            <v>CCompra Venta de AccionesIndividualResidencialUsadaCasaBG000000500000.01</v>
          </cell>
          <cell r="K832">
            <v>500000.01</v>
          </cell>
          <cell r="L832">
            <v>99999999</v>
          </cell>
          <cell r="M832">
            <v>70</v>
          </cell>
          <cell r="N832">
            <v>25</v>
          </cell>
          <cell r="O832">
            <v>6.75</v>
          </cell>
          <cell r="P832">
            <v>0</v>
          </cell>
        </row>
        <row r="833">
          <cell r="J833" t="str">
            <v>CCompra Vivienda VacacionalIndividualVacacionalNuevaApartamentoBG000000050000.00</v>
          </cell>
          <cell r="K833">
            <v>50000</v>
          </cell>
          <cell r="L833">
            <v>99999999</v>
          </cell>
          <cell r="M833">
            <v>60</v>
          </cell>
          <cell r="N833">
            <v>20</v>
          </cell>
          <cell r="O833">
            <v>7.5</v>
          </cell>
          <cell r="P833">
            <v>0</v>
          </cell>
        </row>
        <row r="834">
          <cell r="J834" t="str">
            <v>CCompra Vivienda VacacionalIndividualVacacionalNuevaApartamentoCOPA000000050000.00</v>
          </cell>
          <cell r="K834">
            <v>50000</v>
          </cell>
          <cell r="L834">
            <v>99999999</v>
          </cell>
          <cell r="M834">
            <v>60</v>
          </cell>
          <cell r="N834">
            <v>20</v>
          </cell>
          <cell r="O834">
            <v>7.5</v>
          </cell>
          <cell r="P834">
            <v>0</v>
          </cell>
        </row>
        <row r="835">
          <cell r="J835" t="str">
            <v>CCompra Vivienda VacacionalIndividualVacacionalNuevaApartamentoFERIA000000050000.00</v>
          </cell>
          <cell r="K835">
            <v>50000</v>
          </cell>
          <cell r="L835">
            <v>99999999</v>
          </cell>
          <cell r="M835">
            <v>60</v>
          </cell>
          <cell r="N835">
            <v>20</v>
          </cell>
          <cell r="O835">
            <v>7.5</v>
          </cell>
          <cell r="P835">
            <v>0</v>
          </cell>
        </row>
        <row r="836">
          <cell r="J836" t="str">
            <v>CCompra Vivienda VacacionalIndividualVacacionalNuevaCasaBG000000050000.00</v>
          </cell>
          <cell r="K836">
            <v>50000</v>
          </cell>
          <cell r="L836">
            <v>99999999</v>
          </cell>
          <cell r="M836">
            <v>60</v>
          </cell>
          <cell r="N836">
            <v>20</v>
          </cell>
          <cell r="O836">
            <v>7.5</v>
          </cell>
          <cell r="P836">
            <v>0</v>
          </cell>
        </row>
        <row r="837">
          <cell r="J837" t="str">
            <v>CCompra Vivienda VacacionalIndividualVacacionalNuevaCasaCOPA000000050000.00</v>
          </cell>
          <cell r="K837">
            <v>50000</v>
          </cell>
          <cell r="L837">
            <v>99999999</v>
          </cell>
          <cell r="M837">
            <v>60</v>
          </cell>
          <cell r="N837">
            <v>20</v>
          </cell>
          <cell r="O837">
            <v>7.5</v>
          </cell>
          <cell r="P837">
            <v>0</v>
          </cell>
        </row>
        <row r="838">
          <cell r="J838" t="str">
            <v>CCompra Vivienda VacacionalIndividualVacacionalNuevaCasaFERIA000000050000.00</v>
          </cell>
          <cell r="K838">
            <v>50000</v>
          </cell>
          <cell r="L838">
            <v>99999999</v>
          </cell>
          <cell r="M838">
            <v>60</v>
          </cell>
          <cell r="N838">
            <v>20</v>
          </cell>
          <cell r="O838">
            <v>7.5</v>
          </cell>
          <cell r="P838">
            <v>0</v>
          </cell>
        </row>
        <row r="839">
          <cell r="J839" t="str">
            <v>CCompra Vivienda VacacionalIndividualVacacionalUsadaApartamentoBG000000050000.00</v>
          </cell>
          <cell r="K839">
            <v>50000</v>
          </cell>
          <cell r="L839">
            <v>99999999</v>
          </cell>
          <cell r="M839">
            <v>60</v>
          </cell>
          <cell r="N839">
            <v>20</v>
          </cell>
          <cell r="O839">
            <v>7.5</v>
          </cell>
          <cell r="P839">
            <v>0</v>
          </cell>
        </row>
        <row r="840">
          <cell r="J840" t="str">
            <v>CCompra Vivienda VacacionalIndividualVacacionalUsadaApartamentoCOPA000000050000.00</v>
          </cell>
          <cell r="K840">
            <v>50000</v>
          </cell>
          <cell r="L840">
            <v>99999999</v>
          </cell>
          <cell r="M840">
            <v>60</v>
          </cell>
          <cell r="N840">
            <v>20</v>
          </cell>
          <cell r="O840">
            <v>7.5</v>
          </cell>
          <cell r="P840">
            <v>0</v>
          </cell>
        </row>
        <row r="841">
          <cell r="J841" t="str">
            <v>CCompra Vivienda VacacionalIndividualVacacionalUsadaApartamentoFERIA000000050000.00</v>
          </cell>
          <cell r="K841">
            <v>50000</v>
          </cell>
          <cell r="L841">
            <v>99999999</v>
          </cell>
          <cell r="M841">
            <v>60</v>
          </cell>
          <cell r="N841">
            <v>20</v>
          </cell>
          <cell r="O841">
            <v>7.5</v>
          </cell>
          <cell r="P841">
            <v>0</v>
          </cell>
        </row>
        <row r="842">
          <cell r="J842" t="str">
            <v>CCompra Vivienda VacacionalIndividualVacacionalUsadaCasaBG000000050000.00</v>
          </cell>
          <cell r="K842">
            <v>50000</v>
          </cell>
          <cell r="L842">
            <v>99999999</v>
          </cell>
          <cell r="M842">
            <v>60</v>
          </cell>
          <cell r="N842">
            <v>20</v>
          </cell>
          <cell r="O842">
            <v>7.5</v>
          </cell>
          <cell r="P842">
            <v>0</v>
          </cell>
        </row>
        <row r="843">
          <cell r="J843" t="str">
            <v>CCompra Vivienda VacacionalIndividualVacacionalUsadaCasaCOPA000000050000.00</v>
          </cell>
          <cell r="K843">
            <v>50000</v>
          </cell>
          <cell r="L843">
            <v>99999999</v>
          </cell>
          <cell r="M843">
            <v>60</v>
          </cell>
          <cell r="N843">
            <v>20</v>
          </cell>
          <cell r="O843">
            <v>7.5</v>
          </cell>
          <cell r="P843">
            <v>0</v>
          </cell>
        </row>
        <row r="844">
          <cell r="J844" t="str">
            <v>CCompra Vivienda VacacionalIndividualVacacionalUsadaCasaFERIA000000050000.00</v>
          </cell>
          <cell r="K844">
            <v>50000</v>
          </cell>
          <cell r="L844">
            <v>99999999</v>
          </cell>
          <cell r="M844">
            <v>60</v>
          </cell>
          <cell r="N844">
            <v>20</v>
          </cell>
          <cell r="O844">
            <v>7.5</v>
          </cell>
          <cell r="P844">
            <v>0</v>
          </cell>
        </row>
        <row r="845">
          <cell r="J845" t="str">
            <v>CTraspaso de Otro BancoIndividualResidencialUsadaApartamentoBG000000030000.00</v>
          </cell>
          <cell r="K845">
            <v>30000</v>
          </cell>
          <cell r="L845">
            <v>250000</v>
          </cell>
          <cell r="M845">
            <v>70</v>
          </cell>
          <cell r="N845">
            <v>25</v>
          </cell>
          <cell r="O845">
            <v>6.5</v>
          </cell>
          <cell r="P845">
            <v>0</v>
          </cell>
        </row>
        <row r="846">
          <cell r="J846" t="str">
            <v>CTraspaso de Otro BancoIndividualResidencialUsadaApartamentoBG000000250000.01</v>
          </cell>
          <cell r="K846">
            <v>250000.01</v>
          </cell>
          <cell r="L846">
            <v>500000</v>
          </cell>
          <cell r="M846">
            <v>70</v>
          </cell>
          <cell r="N846">
            <v>25</v>
          </cell>
          <cell r="O846">
            <v>6.5</v>
          </cell>
          <cell r="P846">
            <v>0</v>
          </cell>
        </row>
        <row r="847">
          <cell r="J847" t="str">
            <v>CTraspaso de Otro BancoIndividualResidencialUsadaApartamentoBG000000500000.01</v>
          </cell>
          <cell r="K847">
            <v>500000.01</v>
          </cell>
          <cell r="L847">
            <v>99999999</v>
          </cell>
          <cell r="M847">
            <v>70</v>
          </cell>
          <cell r="N847">
            <v>25</v>
          </cell>
          <cell r="O847">
            <v>6.5</v>
          </cell>
          <cell r="P847">
            <v>0</v>
          </cell>
        </row>
        <row r="848">
          <cell r="J848" t="str">
            <v>CTraspaso de Otro BancoIndividualResidencialUsadaApartamentoCOPA000000030000.00</v>
          </cell>
          <cell r="K848">
            <v>30000</v>
          </cell>
          <cell r="L848">
            <v>250000</v>
          </cell>
          <cell r="M848">
            <v>70</v>
          </cell>
          <cell r="N848">
            <v>25</v>
          </cell>
          <cell r="O848">
            <v>6.5</v>
          </cell>
          <cell r="P848">
            <v>0</v>
          </cell>
        </row>
        <row r="849">
          <cell r="J849" t="str">
            <v>CTraspaso de Otro BancoIndividualResidencialUsadaApartamentoCOPA000000250000.01</v>
          </cell>
          <cell r="K849">
            <v>250000.01</v>
          </cell>
          <cell r="L849">
            <v>500000</v>
          </cell>
          <cell r="M849">
            <v>70</v>
          </cell>
          <cell r="N849">
            <v>25</v>
          </cell>
          <cell r="O849">
            <v>6.5</v>
          </cell>
          <cell r="P849">
            <v>0</v>
          </cell>
        </row>
        <row r="850">
          <cell r="J850" t="str">
            <v>CTraspaso de Otro BancoIndividualResidencialUsadaApartamentoCOPA000000500000.01</v>
          </cell>
          <cell r="K850">
            <v>500000.01</v>
          </cell>
          <cell r="L850">
            <v>99999999</v>
          </cell>
          <cell r="M850">
            <v>70</v>
          </cell>
          <cell r="N850">
            <v>25</v>
          </cell>
          <cell r="O850">
            <v>6.5</v>
          </cell>
          <cell r="P850">
            <v>0</v>
          </cell>
        </row>
        <row r="851">
          <cell r="J851" t="str">
            <v>CTraspaso de Otro BancoIndividualResidencialUsadaApartamentoFERIA000000030000.00</v>
          </cell>
          <cell r="K851">
            <v>30000</v>
          </cell>
          <cell r="L851">
            <v>250000</v>
          </cell>
          <cell r="M851">
            <v>70</v>
          </cell>
          <cell r="N851">
            <v>25</v>
          </cell>
          <cell r="O851">
            <v>6.5</v>
          </cell>
          <cell r="P851">
            <v>0</v>
          </cell>
        </row>
        <row r="852">
          <cell r="J852" t="str">
            <v>CTraspaso de Otro BancoIndividualResidencialUsadaApartamentoFERIA000000250000.01</v>
          </cell>
          <cell r="K852">
            <v>250000.01</v>
          </cell>
          <cell r="L852">
            <v>500000</v>
          </cell>
          <cell r="M852">
            <v>70</v>
          </cell>
          <cell r="N852">
            <v>25</v>
          </cell>
          <cell r="O852">
            <v>6.5</v>
          </cell>
          <cell r="P852">
            <v>0</v>
          </cell>
        </row>
        <row r="853">
          <cell r="J853" t="str">
            <v>CTraspaso de Otro BancoIndividualResidencialUsadaApartamentoFERIA000000500000.01</v>
          </cell>
          <cell r="K853">
            <v>500000.01</v>
          </cell>
          <cell r="L853">
            <v>99999999</v>
          </cell>
          <cell r="M853">
            <v>70</v>
          </cell>
          <cell r="N853">
            <v>25</v>
          </cell>
          <cell r="O853">
            <v>6.5</v>
          </cell>
          <cell r="P853">
            <v>0</v>
          </cell>
        </row>
        <row r="854">
          <cell r="J854" t="str">
            <v>CTraspaso de Otro BancoIndividualResidencialUsadaCasaBG000000030000.00</v>
          </cell>
          <cell r="K854">
            <v>30000</v>
          </cell>
          <cell r="L854">
            <v>250000</v>
          </cell>
          <cell r="M854">
            <v>70</v>
          </cell>
          <cell r="N854">
            <v>25</v>
          </cell>
          <cell r="O854">
            <v>6.5</v>
          </cell>
          <cell r="P854">
            <v>0</v>
          </cell>
        </row>
        <row r="855">
          <cell r="J855" t="str">
            <v>CTraspaso de Otro BancoIndividualResidencialUsadaCasaBG000000250000.01</v>
          </cell>
          <cell r="K855">
            <v>250000.01</v>
          </cell>
          <cell r="L855">
            <v>500000</v>
          </cell>
          <cell r="M855">
            <v>70</v>
          </cell>
          <cell r="N855">
            <v>25</v>
          </cell>
          <cell r="O855">
            <v>6.5</v>
          </cell>
          <cell r="P855">
            <v>0</v>
          </cell>
        </row>
        <row r="856">
          <cell r="J856" t="str">
            <v>CTraspaso de Otro BancoIndividualResidencialUsadaCasaBG000000500000.01</v>
          </cell>
          <cell r="K856">
            <v>500000.01</v>
          </cell>
          <cell r="L856">
            <v>99999999</v>
          </cell>
          <cell r="M856">
            <v>70</v>
          </cell>
          <cell r="N856">
            <v>25</v>
          </cell>
          <cell r="O856">
            <v>6.5</v>
          </cell>
          <cell r="P856">
            <v>0</v>
          </cell>
        </row>
        <row r="857">
          <cell r="J857" t="str">
            <v>CTraspaso de Otro BancoIndividualResidencialUsadaCasaCOPA000000030000.00</v>
          </cell>
          <cell r="K857">
            <v>30000</v>
          </cell>
          <cell r="L857">
            <v>250000</v>
          </cell>
          <cell r="M857">
            <v>70</v>
          </cell>
          <cell r="N857">
            <v>25</v>
          </cell>
          <cell r="O857">
            <v>6.5</v>
          </cell>
          <cell r="P857">
            <v>0</v>
          </cell>
        </row>
        <row r="858">
          <cell r="J858" t="str">
            <v>CTraspaso de Otro BancoIndividualResidencialUsadaCasaCOPA000000250000.01</v>
          </cell>
          <cell r="K858">
            <v>250000.01</v>
          </cell>
          <cell r="L858">
            <v>500000</v>
          </cell>
          <cell r="M858">
            <v>70</v>
          </cell>
          <cell r="N858">
            <v>25</v>
          </cell>
          <cell r="O858">
            <v>6.5</v>
          </cell>
          <cell r="P858">
            <v>0</v>
          </cell>
        </row>
        <row r="859">
          <cell r="J859" t="str">
            <v>CTraspaso de Otro BancoIndividualResidencialUsadaCasaCOPA000000500000.01</v>
          </cell>
          <cell r="K859">
            <v>500000.01</v>
          </cell>
          <cell r="L859">
            <v>99999999</v>
          </cell>
          <cell r="M859">
            <v>70</v>
          </cell>
          <cell r="N859">
            <v>25</v>
          </cell>
          <cell r="O859">
            <v>6.5</v>
          </cell>
          <cell r="P859">
            <v>0</v>
          </cell>
        </row>
        <row r="860">
          <cell r="J860" t="str">
            <v>CTraspaso de Otro BancoIndividualResidencialUsadaCasaFERIA000000030000.00</v>
          </cell>
          <cell r="K860">
            <v>30000</v>
          </cell>
          <cell r="L860">
            <v>250000</v>
          </cell>
          <cell r="M860">
            <v>70</v>
          </cell>
          <cell r="N860">
            <v>25</v>
          </cell>
          <cell r="O860">
            <v>6.5</v>
          </cell>
          <cell r="P860">
            <v>0</v>
          </cell>
        </row>
        <row r="861">
          <cell r="J861" t="str">
            <v>CTraspaso de Otro BancoIndividualResidencialUsadaCasaFERIA000000250000.01</v>
          </cell>
          <cell r="K861">
            <v>250000.01</v>
          </cell>
          <cell r="L861">
            <v>500000</v>
          </cell>
          <cell r="M861">
            <v>70</v>
          </cell>
          <cell r="N861">
            <v>25</v>
          </cell>
          <cell r="O861">
            <v>6.5</v>
          </cell>
          <cell r="P861">
            <v>0</v>
          </cell>
        </row>
        <row r="862">
          <cell r="J862" t="str">
            <v>CTraspaso de Otro BancoIndividualResidencialUsadaCasaFERIA000000500000.01</v>
          </cell>
          <cell r="K862">
            <v>500000.01</v>
          </cell>
          <cell r="L862">
            <v>99999999</v>
          </cell>
          <cell r="M862">
            <v>70</v>
          </cell>
          <cell r="N862">
            <v>25</v>
          </cell>
          <cell r="O862">
            <v>6.5</v>
          </cell>
          <cell r="P862">
            <v>0</v>
          </cell>
        </row>
        <row r="863">
          <cell r="J863" t="str">
            <v>DCompra de ViviendaIndividualReposeído (BG)UsadaApartamentoBG000000030000.00</v>
          </cell>
          <cell r="K863">
            <v>30000</v>
          </cell>
          <cell r="L863">
            <v>250000</v>
          </cell>
          <cell r="M863">
            <v>85</v>
          </cell>
          <cell r="N863">
            <v>30</v>
          </cell>
          <cell r="O863">
            <v>5.5</v>
          </cell>
          <cell r="P863">
            <v>0</v>
          </cell>
        </row>
        <row r="864">
          <cell r="J864" t="str">
            <v>DCompra de ViviendaIndividualReposeído (BG)UsadaApartamentoBG000000250000.01</v>
          </cell>
          <cell r="K864">
            <v>250000.01</v>
          </cell>
          <cell r="L864">
            <v>500000</v>
          </cell>
          <cell r="M864">
            <v>80</v>
          </cell>
          <cell r="N864">
            <v>30</v>
          </cell>
          <cell r="O864">
            <v>5.25</v>
          </cell>
          <cell r="P864">
            <v>0</v>
          </cell>
        </row>
        <row r="865">
          <cell r="J865" t="str">
            <v>DCompra de ViviendaIndividualReposeído (BG)UsadaApartamentoBG000000500000.01</v>
          </cell>
          <cell r="K865">
            <v>500000.01</v>
          </cell>
          <cell r="L865">
            <v>99999999</v>
          </cell>
          <cell r="M865">
            <v>80</v>
          </cell>
          <cell r="N865">
            <v>30</v>
          </cell>
          <cell r="O865">
            <v>5.25</v>
          </cell>
          <cell r="P865">
            <v>0</v>
          </cell>
        </row>
        <row r="866">
          <cell r="J866" t="str">
            <v>DCompra de ViviendaIndividualReposeído (BG)UsadaApartamentoCOPA000000030000.00</v>
          </cell>
          <cell r="K866">
            <v>30000</v>
          </cell>
          <cell r="L866">
            <v>250000</v>
          </cell>
          <cell r="M866">
            <v>85</v>
          </cell>
          <cell r="N866">
            <v>30</v>
          </cell>
          <cell r="O866">
            <v>5.5</v>
          </cell>
          <cell r="P866">
            <v>0</v>
          </cell>
        </row>
        <row r="867">
          <cell r="J867" t="str">
            <v>DCompra de ViviendaIndividualReposeído (BG)UsadaApartamentoCOPA000000250000.01</v>
          </cell>
          <cell r="K867">
            <v>250000.01</v>
          </cell>
          <cell r="L867">
            <v>500000</v>
          </cell>
          <cell r="M867">
            <v>80</v>
          </cell>
          <cell r="N867">
            <v>30</v>
          </cell>
          <cell r="O867">
            <v>5.25</v>
          </cell>
          <cell r="P867">
            <v>0</v>
          </cell>
        </row>
        <row r="868">
          <cell r="J868" t="str">
            <v>DCompra de ViviendaIndividualReposeído (BG)UsadaApartamentoCOPA000000500000.01</v>
          </cell>
          <cell r="K868">
            <v>500000.01</v>
          </cell>
          <cell r="L868">
            <v>99999999</v>
          </cell>
          <cell r="M868">
            <v>80</v>
          </cell>
          <cell r="N868">
            <v>30</v>
          </cell>
          <cell r="O868">
            <v>5.25</v>
          </cell>
          <cell r="P868">
            <v>0</v>
          </cell>
        </row>
        <row r="869">
          <cell r="J869" t="str">
            <v>DCompra de ViviendaIndividualReposeído (BG)UsadaApartamentoFERIA000000030000.00</v>
          </cell>
          <cell r="K869">
            <v>30000</v>
          </cell>
          <cell r="L869">
            <v>250000</v>
          </cell>
          <cell r="M869">
            <v>85</v>
          </cell>
          <cell r="N869">
            <v>30</v>
          </cell>
          <cell r="O869">
            <v>5.5</v>
          </cell>
          <cell r="P869">
            <v>0</v>
          </cell>
        </row>
        <row r="870">
          <cell r="J870" t="str">
            <v>DCompra de ViviendaIndividualReposeído (BG)UsadaApartamentoFERIA000000250000.01</v>
          </cell>
          <cell r="K870">
            <v>250000.01</v>
          </cell>
          <cell r="L870">
            <v>500000</v>
          </cell>
          <cell r="M870">
            <v>80</v>
          </cell>
          <cell r="N870">
            <v>30</v>
          </cell>
          <cell r="O870">
            <v>5.25</v>
          </cell>
          <cell r="P870">
            <v>0</v>
          </cell>
        </row>
        <row r="871">
          <cell r="J871" t="str">
            <v>DCompra de ViviendaIndividualReposeído (BG)UsadaApartamentoFERIA000000500000.01</v>
          </cell>
          <cell r="K871">
            <v>500000.01</v>
          </cell>
          <cell r="L871">
            <v>99999999</v>
          </cell>
          <cell r="M871">
            <v>80</v>
          </cell>
          <cell r="N871">
            <v>30</v>
          </cell>
          <cell r="O871">
            <v>5.25</v>
          </cell>
          <cell r="P871">
            <v>0</v>
          </cell>
        </row>
        <row r="872">
          <cell r="J872" t="str">
            <v>DCompra de ViviendaIndividualReposeído (BG)UsadaCasaBG000000030000.00</v>
          </cell>
          <cell r="K872">
            <v>30000</v>
          </cell>
          <cell r="L872">
            <v>250000</v>
          </cell>
          <cell r="M872">
            <v>85</v>
          </cell>
          <cell r="N872">
            <v>30</v>
          </cell>
          <cell r="O872">
            <v>5.5</v>
          </cell>
          <cell r="P872">
            <v>0</v>
          </cell>
        </row>
        <row r="873">
          <cell r="J873" t="str">
            <v>DCompra de ViviendaIndividualReposeído (BG)UsadaCasaBG000000250000.01</v>
          </cell>
          <cell r="K873">
            <v>250000.01</v>
          </cell>
          <cell r="L873">
            <v>500000</v>
          </cell>
          <cell r="M873">
            <v>80</v>
          </cell>
          <cell r="N873">
            <v>30</v>
          </cell>
          <cell r="O873">
            <v>5.25</v>
          </cell>
          <cell r="P873">
            <v>0</v>
          </cell>
        </row>
        <row r="874">
          <cell r="J874" t="str">
            <v>DCompra de ViviendaIndividualReposeído (BG)UsadaCasaBG000000500000.01</v>
          </cell>
          <cell r="K874">
            <v>500000.01</v>
          </cell>
          <cell r="L874">
            <v>99999999</v>
          </cell>
          <cell r="M874">
            <v>80</v>
          </cell>
          <cell r="N874">
            <v>30</v>
          </cell>
          <cell r="O874">
            <v>5.25</v>
          </cell>
          <cell r="P874">
            <v>0</v>
          </cell>
        </row>
        <row r="875">
          <cell r="J875" t="str">
            <v>DCompra de ViviendaIndividualReposeído (BG)UsadaCasaCOPA000000030000.00</v>
          </cell>
          <cell r="K875">
            <v>30000</v>
          </cell>
          <cell r="L875">
            <v>250000</v>
          </cell>
          <cell r="M875">
            <v>85</v>
          </cell>
          <cell r="N875">
            <v>30</v>
          </cell>
          <cell r="O875">
            <v>5.5</v>
          </cell>
          <cell r="P875">
            <v>0</v>
          </cell>
        </row>
        <row r="876">
          <cell r="J876" t="str">
            <v>DCompra de ViviendaIndividualReposeído (BG)UsadaCasaCOPA000000250000.01</v>
          </cell>
          <cell r="K876">
            <v>250000.01</v>
          </cell>
          <cell r="L876">
            <v>500000</v>
          </cell>
          <cell r="M876">
            <v>80</v>
          </cell>
          <cell r="N876">
            <v>30</v>
          </cell>
          <cell r="O876">
            <v>5.25</v>
          </cell>
          <cell r="P876">
            <v>0</v>
          </cell>
        </row>
        <row r="877">
          <cell r="J877" t="str">
            <v>DCompra de ViviendaIndividualReposeído (BG)UsadaCasaCOPA000000500000.01</v>
          </cell>
          <cell r="K877">
            <v>500000.01</v>
          </cell>
          <cell r="L877">
            <v>99999999</v>
          </cell>
          <cell r="M877">
            <v>80</v>
          </cell>
          <cell r="N877">
            <v>30</v>
          </cell>
          <cell r="O877">
            <v>5.25</v>
          </cell>
          <cell r="P877">
            <v>0</v>
          </cell>
        </row>
        <row r="878">
          <cell r="J878" t="str">
            <v>DCompra de ViviendaIndividualReposeído (BG)UsadaCasaFERIA000000030000.00</v>
          </cell>
          <cell r="K878">
            <v>30000</v>
          </cell>
          <cell r="L878">
            <v>250000</v>
          </cell>
          <cell r="M878">
            <v>85</v>
          </cell>
          <cell r="N878">
            <v>30</v>
          </cell>
          <cell r="O878">
            <v>5.5</v>
          </cell>
          <cell r="P878">
            <v>0</v>
          </cell>
        </row>
        <row r="879">
          <cell r="J879" t="str">
            <v>DCompra de ViviendaIndividualReposeído (BG)UsadaCasaFERIA000000250000.01</v>
          </cell>
          <cell r="K879">
            <v>250000.01</v>
          </cell>
          <cell r="L879">
            <v>500000</v>
          </cell>
          <cell r="M879">
            <v>80</v>
          </cell>
          <cell r="N879">
            <v>30</v>
          </cell>
          <cell r="O879">
            <v>5.25</v>
          </cell>
          <cell r="P879">
            <v>0</v>
          </cell>
        </row>
        <row r="880">
          <cell r="J880" t="str">
            <v>DCompra de ViviendaIndividualReposeído (BG)UsadaCasaFERIA000000500000.01</v>
          </cell>
          <cell r="K880">
            <v>500000.01</v>
          </cell>
          <cell r="L880">
            <v>99999999</v>
          </cell>
          <cell r="M880">
            <v>80</v>
          </cell>
          <cell r="N880">
            <v>30</v>
          </cell>
          <cell r="O880">
            <v>5.25</v>
          </cell>
          <cell r="P880">
            <v>0</v>
          </cell>
        </row>
        <row r="881">
          <cell r="J881" t="str">
            <v>DCompra de ViviendaIndividualResidencialNuevaApartamentoBG000000120000.01</v>
          </cell>
          <cell r="K881">
            <v>120000.01</v>
          </cell>
          <cell r="L881">
            <v>250000</v>
          </cell>
          <cell r="M881">
            <v>85</v>
          </cell>
          <cell r="N881">
            <v>25</v>
          </cell>
          <cell r="O881">
            <v>5.25</v>
          </cell>
          <cell r="P881">
            <v>0</v>
          </cell>
        </row>
        <row r="882">
          <cell r="J882" t="str">
            <v>DCompra de ViviendaIndividualResidencialNuevaApartamentoBG000000250000.01</v>
          </cell>
          <cell r="K882">
            <v>250000.01</v>
          </cell>
          <cell r="L882">
            <v>500000</v>
          </cell>
          <cell r="M882">
            <v>80</v>
          </cell>
          <cell r="N882">
            <v>25</v>
          </cell>
          <cell r="O882">
            <v>5</v>
          </cell>
          <cell r="P882">
            <v>0</v>
          </cell>
        </row>
        <row r="883">
          <cell r="J883" t="str">
            <v>DCompra de ViviendaIndividualResidencialNuevaApartamentoBG000000500000.01</v>
          </cell>
          <cell r="K883">
            <v>500000.01</v>
          </cell>
          <cell r="L883">
            <v>99999999</v>
          </cell>
          <cell r="M883">
            <v>80</v>
          </cell>
          <cell r="N883">
            <v>25</v>
          </cell>
          <cell r="O883">
            <v>5</v>
          </cell>
          <cell r="P883">
            <v>0</v>
          </cell>
        </row>
        <row r="884">
          <cell r="J884" t="str">
            <v>DCompra de ViviendaIndividualResidencialNuevaApartamentoCOPA000000100000.01</v>
          </cell>
          <cell r="K884">
            <v>100000.01</v>
          </cell>
          <cell r="L884">
            <v>250000</v>
          </cell>
          <cell r="M884">
            <v>85</v>
          </cell>
          <cell r="N884">
            <v>25</v>
          </cell>
          <cell r="O884">
            <v>5.25</v>
          </cell>
          <cell r="P884">
            <v>0</v>
          </cell>
        </row>
        <row r="885">
          <cell r="J885" t="str">
            <v>DCompra de ViviendaIndividualResidencialNuevaApartamentoCOPA000000250000.01</v>
          </cell>
          <cell r="K885">
            <v>250000.01</v>
          </cell>
          <cell r="L885">
            <v>500000</v>
          </cell>
          <cell r="M885">
            <v>80</v>
          </cell>
          <cell r="N885">
            <v>25</v>
          </cell>
          <cell r="O885">
            <v>5</v>
          </cell>
          <cell r="P885">
            <v>0</v>
          </cell>
        </row>
        <row r="886">
          <cell r="J886" t="str">
            <v>DCompra de ViviendaIndividualResidencialNuevaApartamentoCOPA000000500000.01</v>
          </cell>
          <cell r="K886">
            <v>500000.01</v>
          </cell>
          <cell r="L886">
            <v>99999999</v>
          </cell>
          <cell r="M886">
            <v>80</v>
          </cell>
          <cell r="N886">
            <v>25</v>
          </cell>
          <cell r="O886">
            <v>5</v>
          </cell>
          <cell r="P886">
            <v>0</v>
          </cell>
        </row>
        <row r="887">
          <cell r="J887" t="str">
            <v>DCompra de ViviendaIndividualResidencialNuevaApartamentoFERIA000000100000.01</v>
          </cell>
          <cell r="K887">
            <v>100000.01</v>
          </cell>
          <cell r="L887">
            <v>250000</v>
          </cell>
          <cell r="M887">
            <v>85</v>
          </cell>
          <cell r="N887">
            <v>25</v>
          </cell>
          <cell r="O887">
            <v>5.25</v>
          </cell>
          <cell r="P887">
            <v>0</v>
          </cell>
        </row>
        <row r="888">
          <cell r="J888" t="str">
            <v>DCompra de ViviendaIndividualResidencialNuevaApartamentoFERIA000000250000.01</v>
          </cell>
          <cell r="K888">
            <v>250000.01</v>
          </cell>
          <cell r="L888">
            <v>500000</v>
          </cell>
          <cell r="M888">
            <v>80</v>
          </cell>
          <cell r="N888">
            <v>25</v>
          </cell>
          <cell r="O888">
            <v>5</v>
          </cell>
          <cell r="P888">
            <v>0</v>
          </cell>
        </row>
        <row r="889">
          <cell r="J889" t="str">
            <v>DCompra de ViviendaIndividualResidencialNuevaApartamentoFERIA000000500000.01</v>
          </cell>
          <cell r="K889">
            <v>500000.01</v>
          </cell>
          <cell r="L889">
            <v>99999999</v>
          </cell>
          <cell r="M889">
            <v>80</v>
          </cell>
          <cell r="N889">
            <v>25</v>
          </cell>
          <cell r="O889">
            <v>5</v>
          </cell>
          <cell r="P889">
            <v>0</v>
          </cell>
        </row>
        <row r="890">
          <cell r="J890" t="str">
            <v>DCompra de ViviendaIndividualResidencialNuevaCasaBG000000120000.01</v>
          </cell>
          <cell r="K890">
            <v>120000.01</v>
          </cell>
          <cell r="L890">
            <v>250000</v>
          </cell>
          <cell r="M890">
            <v>85</v>
          </cell>
          <cell r="N890">
            <v>30</v>
          </cell>
          <cell r="O890">
            <v>5.25</v>
          </cell>
          <cell r="P890">
            <v>0</v>
          </cell>
        </row>
        <row r="891">
          <cell r="J891" t="str">
            <v>DCompra de ViviendaIndividualResidencialNuevaCasaBG000000250000.01</v>
          </cell>
          <cell r="K891">
            <v>250000.01</v>
          </cell>
          <cell r="L891">
            <v>500000</v>
          </cell>
          <cell r="M891">
            <v>80</v>
          </cell>
          <cell r="N891">
            <v>30</v>
          </cell>
          <cell r="O891">
            <v>5</v>
          </cell>
          <cell r="P891">
            <v>0</v>
          </cell>
        </row>
        <row r="892">
          <cell r="J892" t="str">
            <v>DCompra de ViviendaIndividualResidencialNuevaCasaBG000000500000.01</v>
          </cell>
          <cell r="K892">
            <v>500000.01</v>
          </cell>
          <cell r="L892">
            <v>99999999</v>
          </cell>
          <cell r="M892">
            <v>80</v>
          </cell>
          <cell r="N892">
            <v>30</v>
          </cell>
          <cell r="O892">
            <v>5</v>
          </cell>
          <cell r="P892">
            <v>0</v>
          </cell>
        </row>
        <row r="893">
          <cell r="J893" t="str">
            <v>DCompra de ViviendaIndividualResidencialNuevaCasaCOPA000000100000.01</v>
          </cell>
          <cell r="K893">
            <v>100000.01</v>
          </cell>
          <cell r="L893">
            <v>250000</v>
          </cell>
          <cell r="M893">
            <v>85</v>
          </cell>
          <cell r="N893">
            <v>30</v>
          </cell>
          <cell r="O893">
            <v>5.25</v>
          </cell>
          <cell r="P893">
            <v>0</v>
          </cell>
        </row>
        <row r="894">
          <cell r="J894" t="str">
            <v>DCompra de ViviendaIndividualResidencialNuevaCasaCOPA000000250000.01</v>
          </cell>
          <cell r="K894">
            <v>250000.01</v>
          </cell>
          <cell r="L894">
            <v>500000</v>
          </cell>
          <cell r="M894">
            <v>80</v>
          </cell>
          <cell r="N894">
            <v>30</v>
          </cell>
          <cell r="O894">
            <v>5</v>
          </cell>
          <cell r="P894">
            <v>0</v>
          </cell>
        </row>
        <row r="895">
          <cell r="J895" t="str">
            <v>DCompra de ViviendaIndividualResidencialNuevaCasaCOPA000000500000.01</v>
          </cell>
          <cell r="K895">
            <v>500000.01</v>
          </cell>
          <cell r="L895">
            <v>99999999</v>
          </cell>
          <cell r="M895">
            <v>80</v>
          </cell>
          <cell r="N895">
            <v>30</v>
          </cell>
          <cell r="O895">
            <v>5</v>
          </cell>
          <cell r="P895">
            <v>0</v>
          </cell>
        </row>
        <row r="896">
          <cell r="J896" t="str">
            <v>DCompra de ViviendaIndividualResidencialNuevaCasaFERIA000000100000.01</v>
          </cell>
          <cell r="K896">
            <v>100000.01</v>
          </cell>
          <cell r="L896">
            <v>250000</v>
          </cell>
          <cell r="M896">
            <v>85</v>
          </cell>
          <cell r="N896">
            <v>30</v>
          </cell>
          <cell r="O896">
            <v>5.25</v>
          </cell>
          <cell r="P896">
            <v>0</v>
          </cell>
        </row>
        <row r="897">
          <cell r="J897" t="str">
            <v>DCompra de ViviendaIndividualResidencialNuevaCasaFERIA000000250000.01</v>
          </cell>
          <cell r="K897">
            <v>250000.01</v>
          </cell>
          <cell r="L897">
            <v>500000</v>
          </cell>
          <cell r="M897">
            <v>80</v>
          </cell>
          <cell r="N897">
            <v>30</v>
          </cell>
          <cell r="O897">
            <v>5</v>
          </cell>
          <cell r="P897">
            <v>0</v>
          </cell>
        </row>
        <row r="898">
          <cell r="J898" t="str">
            <v>DCompra de ViviendaIndividualResidencialNuevaCasaFERIA000000500000.01</v>
          </cell>
          <cell r="K898">
            <v>500000.01</v>
          </cell>
          <cell r="L898">
            <v>99999999</v>
          </cell>
          <cell r="M898">
            <v>80</v>
          </cell>
          <cell r="N898">
            <v>30</v>
          </cell>
          <cell r="O898">
            <v>5</v>
          </cell>
          <cell r="P898">
            <v>0</v>
          </cell>
        </row>
        <row r="899">
          <cell r="J899" t="str">
            <v>DCompra de ViviendaIndividualResidencialUsadaApartamentoBG000000030000.00</v>
          </cell>
          <cell r="K899">
            <v>30000</v>
          </cell>
          <cell r="L899">
            <v>250000</v>
          </cell>
          <cell r="M899">
            <v>85</v>
          </cell>
          <cell r="N899">
            <v>30</v>
          </cell>
          <cell r="O899">
            <v>5.5</v>
          </cell>
          <cell r="P899">
            <v>0</v>
          </cell>
        </row>
        <row r="900">
          <cell r="J900" t="str">
            <v>DCompra de ViviendaIndividualResidencialUsadaApartamentoBG000000250000.01</v>
          </cell>
          <cell r="K900">
            <v>250000.01</v>
          </cell>
          <cell r="L900">
            <v>500000</v>
          </cell>
          <cell r="M900">
            <v>80</v>
          </cell>
          <cell r="N900">
            <v>25</v>
          </cell>
          <cell r="O900">
            <v>5.25</v>
          </cell>
          <cell r="P900">
            <v>0</v>
          </cell>
        </row>
        <row r="901">
          <cell r="J901" t="str">
            <v>DCompra de ViviendaIndividualResidencialUsadaApartamentoBG000000500000.01</v>
          </cell>
          <cell r="K901">
            <v>500000.01</v>
          </cell>
          <cell r="L901">
            <v>99999999</v>
          </cell>
          <cell r="M901">
            <v>80</v>
          </cell>
          <cell r="N901">
            <v>25</v>
          </cell>
          <cell r="O901">
            <v>5.25</v>
          </cell>
          <cell r="P901">
            <v>0</v>
          </cell>
        </row>
        <row r="902">
          <cell r="J902" t="str">
            <v>DCompra de ViviendaIndividualResidencialUsadaApartamentoCOPA000000030000.00</v>
          </cell>
          <cell r="K902">
            <v>30000</v>
          </cell>
          <cell r="L902">
            <v>250000</v>
          </cell>
          <cell r="M902">
            <v>85</v>
          </cell>
          <cell r="N902">
            <v>30</v>
          </cell>
          <cell r="O902">
            <v>5.5</v>
          </cell>
          <cell r="P902">
            <v>0</v>
          </cell>
        </row>
        <row r="903">
          <cell r="J903" t="str">
            <v>DCompra de ViviendaIndividualResidencialUsadaApartamentoCOPA000000250000.01</v>
          </cell>
          <cell r="K903">
            <v>250000.01</v>
          </cell>
          <cell r="L903">
            <v>500000</v>
          </cell>
          <cell r="M903">
            <v>80</v>
          </cell>
          <cell r="N903">
            <v>25</v>
          </cell>
          <cell r="O903">
            <v>5.25</v>
          </cell>
          <cell r="P903">
            <v>0</v>
          </cell>
        </row>
        <row r="904">
          <cell r="J904" t="str">
            <v>DCompra de ViviendaIndividualResidencialUsadaApartamentoCOPA000000500000.01</v>
          </cell>
          <cell r="K904">
            <v>500000.01</v>
          </cell>
          <cell r="L904">
            <v>99999999</v>
          </cell>
          <cell r="M904">
            <v>80</v>
          </cell>
          <cell r="N904">
            <v>25</v>
          </cell>
          <cell r="O904">
            <v>5.25</v>
          </cell>
          <cell r="P904">
            <v>0</v>
          </cell>
        </row>
        <row r="905">
          <cell r="J905" t="str">
            <v>DCompra de ViviendaIndividualResidencialUsadaApartamentoFERIA000000030000.00</v>
          </cell>
          <cell r="K905">
            <v>30000</v>
          </cell>
          <cell r="L905">
            <v>250000</v>
          </cell>
          <cell r="M905">
            <v>85</v>
          </cell>
          <cell r="N905">
            <v>30</v>
          </cell>
          <cell r="O905">
            <v>5.5</v>
          </cell>
          <cell r="P905">
            <v>0</v>
          </cell>
        </row>
        <row r="906">
          <cell r="J906" t="str">
            <v>DCompra de ViviendaIndividualResidencialUsadaApartamentoFERIA000000250000.01</v>
          </cell>
          <cell r="K906">
            <v>250000.01</v>
          </cell>
          <cell r="L906">
            <v>500000</v>
          </cell>
          <cell r="M906">
            <v>80</v>
          </cell>
          <cell r="N906">
            <v>25</v>
          </cell>
          <cell r="O906">
            <v>5.25</v>
          </cell>
          <cell r="P906">
            <v>0</v>
          </cell>
        </row>
        <row r="907">
          <cell r="J907" t="str">
            <v>DCompra de ViviendaIndividualResidencialUsadaApartamentoFERIA000000500000.01</v>
          </cell>
          <cell r="K907">
            <v>500000.01</v>
          </cell>
          <cell r="L907">
            <v>99999999</v>
          </cell>
          <cell r="M907">
            <v>80</v>
          </cell>
          <cell r="N907">
            <v>25</v>
          </cell>
          <cell r="O907">
            <v>5.25</v>
          </cell>
          <cell r="P907">
            <v>0</v>
          </cell>
        </row>
        <row r="908">
          <cell r="J908" t="str">
            <v>DCompra de ViviendaIndividualResidencialUsadaCasaBG000000030000.00</v>
          </cell>
          <cell r="K908">
            <v>30000</v>
          </cell>
          <cell r="L908">
            <v>250000</v>
          </cell>
          <cell r="M908">
            <v>85</v>
          </cell>
          <cell r="N908">
            <v>30</v>
          </cell>
          <cell r="O908">
            <v>5.5</v>
          </cell>
          <cell r="P908">
            <v>0</v>
          </cell>
        </row>
        <row r="909">
          <cell r="J909" t="str">
            <v>DCompra de ViviendaIndividualResidencialUsadaCasaBG000000250000.01</v>
          </cell>
          <cell r="K909">
            <v>250000.01</v>
          </cell>
          <cell r="L909">
            <v>500000</v>
          </cell>
          <cell r="M909">
            <v>80</v>
          </cell>
          <cell r="N909">
            <v>30</v>
          </cell>
          <cell r="O909">
            <v>5.25</v>
          </cell>
          <cell r="P909">
            <v>0</v>
          </cell>
        </row>
        <row r="910">
          <cell r="J910" t="str">
            <v>DCompra de ViviendaIndividualResidencialUsadaCasaBG000000500000.01</v>
          </cell>
          <cell r="K910">
            <v>500000.01</v>
          </cell>
          <cell r="L910">
            <v>99999999</v>
          </cell>
          <cell r="M910">
            <v>80</v>
          </cell>
          <cell r="N910">
            <v>30</v>
          </cell>
          <cell r="O910">
            <v>5.25</v>
          </cell>
          <cell r="P910">
            <v>0</v>
          </cell>
        </row>
        <row r="911">
          <cell r="J911" t="str">
            <v>DCompra de ViviendaIndividualResidencialUsadaCasaCOPA000000030000.00</v>
          </cell>
          <cell r="K911">
            <v>30000</v>
          </cell>
          <cell r="L911">
            <v>250000</v>
          </cell>
          <cell r="M911">
            <v>85</v>
          </cell>
          <cell r="N911">
            <v>30</v>
          </cell>
          <cell r="O911">
            <v>5.5</v>
          </cell>
          <cell r="P911">
            <v>0</v>
          </cell>
        </row>
        <row r="912">
          <cell r="J912" t="str">
            <v>DCompra de ViviendaIndividualResidencialUsadaCasaCOPA000000250000.01</v>
          </cell>
          <cell r="K912">
            <v>250000.01</v>
          </cell>
          <cell r="L912">
            <v>500000</v>
          </cell>
          <cell r="M912">
            <v>80</v>
          </cell>
          <cell r="N912">
            <v>30</v>
          </cell>
          <cell r="O912">
            <v>5.25</v>
          </cell>
          <cell r="P912">
            <v>0</v>
          </cell>
        </row>
        <row r="913">
          <cell r="J913" t="str">
            <v>DCompra de ViviendaIndividualResidencialUsadaCasaCOPA000000500000.01</v>
          </cell>
          <cell r="K913">
            <v>500000.01</v>
          </cell>
          <cell r="L913">
            <v>99999999</v>
          </cell>
          <cell r="M913">
            <v>80</v>
          </cell>
          <cell r="N913">
            <v>30</v>
          </cell>
          <cell r="O913">
            <v>5.25</v>
          </cell>
          <cell r="P913">
            <v>0</v>
          </cell>
        </row>
        <row r="914">
          <cell r="J914" t="str">
            <v>DCompra de ViviendaIndividualResidencialUsadaCasaFERIA000000030000.00</v>
          </cell>
          <cell r="K914">
            <v>30000</v>
          </cell>
          <cell r="L914">
            <v>250000</v>
          </cell>
          <cell r="M914">
            <v>85</v>
          </cell>
          <cell r="N914">
            <v>30</v>
          </cell>
          <cell r="O914">
            <v>5.5</v>
          </cell>
          <cell r="P914">
            <v>0</v>
          </cell>
        </row>
        <row r="915">
          <cell r="J915" t="str">
            <v>DCompra de ViviendaIndividualResidencialUsadaCasaFERIA000000250000.01</v>
          </cell>
          <cell r="K915">
            <v>250000.01</v>
          </cell>
          <cell r="L915">
            <v>500000</v>
          </cell>
          <cell r="M915">
            <v>80</v>
          </cell>
          <cell r="N915">
            <v>30</v>
          </cell>
          <cell r="O915">
            <v>5.25</v>
          </cell>
          <cell r="P915">
            <v>0</v>
          </cell>
        </row>
        <row r="916">
          <cell r="J916" t="str">
            <v>DCompra de ViviendaIndividualResidencialUsadaCasaFERIA000000500000.01</v>
          </cell>
          <cell r="K916">
            <v>500000.01</v>
          </cell>
          <cell r="L916">
            <v>99999999</v>
          </cell>
          <cell r="M916">
            <v>80</v>
          </cell>
          <cell r="N916">
            <v>30</v>
          </cell>
          <cell r="O916">
            <v>5.25</v>
          </cell>
          <cell r="P916">
            <v>0</v>
          </cell>
        </row>
        <row r="917">
          <cell r="J917" t="str">
            <v>DCompra de ViviendaLey PreferencialReposeído (BG)UsadaApartamentoBG000000015000.00</v>
          </cell>
          <cell r="K917">
            <v>15000</v>
          </cell>
          <cell r="L917">
            <v>40000</v>
          </cell>
          <cell r="M917">
            <v>98</v>
          </cell>
          <cell r="N917">
            <v>30</v>
          </cell>
          <cell r="O917">
            <v>0</v>
          </cell>
          <cell r="P917">
            <v>8.56</v>
          </cell>
        </row>
        <row r="918">
          <cell r="J918" t="str">
            <v>DCompra de ViviendaLey PreferencialReposeído (BG)UsadaApartamentoBG000000040000.01</v>
          </cell>
          <cell r="K918">
            <v>40000.01</v>
          </cell>
          <cell r="L918">
            <v>80000</v>
          </cell>
          <cell r="M918">
            <v>98</v>
          </cell>
          <cell r="N918">
            <v>30</v>
          </cell>
          <cell r="O918">
            <v>1.25</v>
          </cell>
          <cell r="P918">
            <v>8.56</v>
          </cell>
        </row>
        <row r="919">
          <cell r="J919" t="str">
            <v>DCompra de ViviendaLey PreferencialReposeído (BG)UsadaApartamentoBG000000080000.01</v>
          </cell>
          <cell r="K919">
            <v>80000.009999999995</v>
          </cell>
          <cell r="L919">
            <v>120000</v>
          </cell>
          <cell r="M919">
            <v>85</v>
          </cell>
          <cell r="N919">
            <v>30</v>
          </cell>
          <cell r="O919">
            <v>1.25</v>
          </cell>
          <cell r="P919">
            <v>8.56</v>
          </cell>
        </row>
        <row r="920">
          <cell r="J920" t="str">
            <v>DCompra de ViviendaLey PreferencialReposeído (BG)UsadaApartamentoCOPA000000015000.00</v>
          </cell>
          <cell r="K920">
            <v>15000</v>
          </cell>
          <cell r="L920">
            <v>40000</v>
          </cell>
          <cell r="M920">
            <v>98</v>
          </cell>
          <cell r="N920">
            <v>30</v>
          </cell>
          <cell r="O920">
            <v>0</v>
          </cell>
          <cell r="P920">
            <v>4.28</v>
          </cell>
        </row>
        <row r="921">
          <cell r="J921" t="str">
            <v>DCompra de ViviendaLey PreferencialReposeído (BG)UsadaApartamentoCOPA000000040000.01</v>
          </cell>
          <cell r="K921">
            <v>40000.01</v>
          </cell>
          <cell r="L921">
            <v>80000</v>
          </cell>
          <cell r="M921">
            <v>98</v>
          </cell>
          <cell r="N921">
            <v>30</v>
          </cell>
          <cell r="O921">
            <v>1.25</v>
          </cell>
          <cell r="P921">
            <v>4.28</v>
          </cell>
        </row>
        <row r="922">
          <cell r="J922" t="str">
            <v>DCompra de ViviendaLey PreferencialReposeído (BG)UsadaApartamentoCOPA000000080000.01</v>
          </cell>
          <cell r="K922">
            <v>80000.009999999995</v>
          </cell>
          <cell r="L922">
            <v>120000</v>
          </cell>
          <cell r="M922">
            <v>85</v>
          </cell>
          <cell r="N922">
            <v>30</v>
          </cell>
          <cell r="O922">
            <v>1.25</v>
          </cell>
          <cell r="P922">
            <v>4.28</v>
          </cell>
        </row>
        <row r="923">
          <cell r="J923" t="str">
            <v>DCompra de ViviendaLey PreferencialReposeído (BG)UsadaApartamentoFERIA000000015000.00</v>
          </cell>
          <cell r="K923">
            <v>15000</v>
          </cell>
          <cell r="L923">
            <v>40000</v>
          </cell>
          <cell r="M923">
            <v>95</v>
          </cell>
          <cell r="N923">
            <v>30</v>
          </cell>
          <cell r="O923">
            <v>0</v>
          </cell>
          <cell r="P923">
            <v>4.28</v>
          </cell>
        </row>
        <row r="924">
          <cell r="J924" t="str">
            <v>DCompra de ViviendaLey PreferencialReposeído (BG)UsadaApartamentoFERIA000000040000.01</v>
          </cell>
          <cell r="K924">
            <v>40000.01</v>
          </cell>
          <cell r="L924">
            <v>80000</v>
          </cell>
          <cell r="M924">
            <v>95</v>
          </cell>
          <cell r="N924">
            <v>30</v>
          </cell>
          <cell r="O924">
            <v>1.25</v>
          </cell>
          <cell r="P924">
            <v>4.28</v>
          </cell>
        </row>
        <row r="925">
          <cell r="J925" t="str">
            <v>DCompra de ViviendaLey PreferencialReposeído (BG)UsadaApartamentoFERIA000000080000.01</v>
          </cell>
          <cell r="K925">
            <v>80000.009999999995</v>
          </cell>
          <cell r="L925">
            <v>120000</v>
          </cell>
          <cell r="M925">
            <v>85</v>
          </cell>
          <cell r="N925">
            <v>30</v>
          </cell>
          <cell r="O925">
            <v>1.25</v>
          </cell>
          <cell r="P925">
            <v>8.56</v>
          </cell>
        </row>
        <row r="926">
          <cell r="J926" t="str">
            <v>DCompra de ViviendaLey PreferencialReposeído (BG)UsadaCasaBG000000015000.00</v>
          </cell>
          <cell r="K926">
            <v>15000</v>
          </cell>
          <cell r="L926">
            <v>40000</v>
          </cell>
          <cell r="M926">
            <v>98</v>
          </cell>
          <cell r="N926">
            <v>30</v>
          </cell>
          <cell r="O926">
            <v>0</v>
          </cell>
          <cell r="P926">
            <v>8.56</v>
          </cell>
        </row>
        <row r="927">
          <cell r="J927" t="str">
            <v>DCompra de ViviendaLey PreferencialReposeído (BG)UsadaCasaBG000000040000.01</v>
          </cell>
          <cell r="K927">
            <v>40000.01</v>
          </cell>
          <cell r="L927">
            <v>80000</v>
          </cell>
          <cell r="M927">
            <v>98</v>
          </cell>
          <cell r="N927">
            <v>30</v>
          </cell>
          <cell r="O927">
            <v>1.25</v>
          </cell>
          <cell r="P927">
            <v>8.56</v>
          </cell>
        </row>
        <row r="928">
          <cell r="J928" t="str">
            <v>DCompra de ViviendaLey PreferencialReposeído (BG)UsadaCasaBG000000080000.01</v>
          </cell>
          <cell r="K928">
            <v>80000.009999999995</v>
          </cell>
          <cell r="L928">
            <v>120000</v>
          </cell>
          <cell r="M928">
            <v>85</v>
          </cell>
          <cell r="N928">
            <v>30</v>
          </cell>
          <cell r="O928">
            <v>1.25</v>
          </cell>
          <cell r="P928">
            <v>8.56</v>
          </cell>
        </row>
        <row r="929">
          <cell r="J929" t="str">
            <v>DCompra de ViviendaLey PreferencialReposeído (BG)UsadaCasaCOPA000000015000.00</v>
          </cell>
          <cell r="K929">
            <v>15000</v>
          </cell>
          <cell r="L929">
            <v>40000</v>
          </cell>
          <cell r="M929">
            <v>98</v>
          </cell>
          <cell r="N929">
            <v>30</v>
          </cell>
          <cell r="O929">
            <v>0</v>
          </cell>
          <cell r="P929">
            <v>4.28</v>
          </cell>
        </row>
        <row r="930">
          <cell r="J930" t="str">
            <v>DCompra de ViviendaLey PreferencialReposeído (BG)UsadaCasaCOPA000000040000.01</v>
          </cell>
          <cell r="K930">
            <v>40000.01</v>
          </cell>
          <cell r="L930">
            <v>80000</v>
          </cell>
          <cell r="M930">
            <v>98</v>
          </cell>
          <cell r="N930">
            <v>30</v>
          </cell>
          <cell r="O930">
            <v>1.25</v>
          </cell>
          <cell r="P930">
            <v>4.28</v>
          </cell>
        </row>
        <row r="931">
          <cell r="J931" t="str">
            <v>DCompra de ViviendaLey PreferencialReposeído (BG)UsadaCasaCOPA000000080000.01</v>
          </cell>
          <cell r="K931">
            <v>80000.009999999995</v>
          </cell>
          <cell r="L931">
            <v>120000</v>
          </cell>
          <cell r="M931">
            <v>85</v>
          </cell>
          <cell r="N931">
            <v>30</v>
          </cell>
          <cell r="O931">
            <v>1.25</v>
          </cell>
          <cell r="P931">
            <v>4.28</v>
          </cell>
        </row>
        <row r="932">
          <cell r="J932" t="str">
            <v>DCompra de ViviendaLey PreferencialReposeído (BG)UsadaCasaFERIA000000015000.00</v>
          </cell>
          <cell r="K932">
            <v>15000</v>
          </cell>
          <cell r="L932">
            <v>40000</v>
          </cell>
          <cell r="M932">
            <v>95</v>
          </cell>
          <cell r="N932">
            <v>30</v>
          </cell>
          <cell r="O932">
            <v>0</v>
          </cell>
          <cell r="P932">
            <v>4.28</v>
          </cell>
        </row>
        <row r="933">
          <cell r="J933" t="str">
            <v>DCompra de ViviendaLey PreferencialReposeído (BG)UsadaCasaFERIA000000040000.01</v>
          </cell>
          <cell r="K933">
            <v>40000.01</v>
          </cell>
          <cell r="L933">
            <v>80000</v>
          </cell>
          <cell r="M933">
            <v>95</v>
          </cell>
          <cell r="N933">
            <v>30</v>
          </cell>
          <cell r="O933">
            <v>1.25</v>
          </cell>
          <cell r="P933">
            <v>4.28</v>
          </cell>
        </row>
        <row r="934">
          <cell r="J934" t="str">
            <v>DCompra de ViviendaLey PreferencialReposeído (BG)UsadaCasaFERIA000000080000.01</v>
          </cell>
          <cell r="K934">
            <v>80000.009999999995</v>
          </cell>
          <cell r="L934">
            <v>120000</v>
          </cell>
          <cell r="M934">
            <v>85</v>
          </cell>
          <cell r="N934">
            <v>30</v>
          </cell>
          <cell r="O934">
            <v>1.25</v>
          </cell>
          <cell r="P934">
            <v>8.56</v>
          </cell>
        </row>
        <row r="935">
          <cell r="J935" t="str">
            <v>DCompra de ViviendaLey PreferencialResidencialNuevaApartamentoBG000000030000.00</v>
          </cell>
          <cell r="K935">
            <v>30000</v>
          </cell>
          <cell r="L935">
            <v>40000</v>
          </cell>
          <cell r="M935">
            <v>95</v>
          </cell>
          <cell r="N935">
            <v>30</v>
          </cell>
          <cell r="O935">
            <v>0</v>
          </cell>
          <cell r="P935">
            <v>8.56</v>
          </cell>
        </row>
        <row r="936">
          <cell r="J936" t="str">
            <v>DCompra de ViviendaLey PreferencialResidencialNuevaApartamentoBG000000040000.01</v>
          </cell>
          <cell r="K936">
            <v>40000.01</v>
          </cell>
          <cell r="L936">
            <v>80000</v>
          </cell>
          <cell r="M936">
            <v>95</v>
          </cell>
          <cell r="N936">
            <v>30</v>
          </cell>
          <cell r="O936">
            <v>1.25</v>
          </cell>
          <cell r="P936">
            <v>8.56</v>
          </cell>
        </row>
        <row r="937">
          <cell r="J937" t="str">
            <v>DCompra de ViviendaLey PreferencialResidencialNuevaApartamentoBG000000080000.01</v>
          </cell>
          <cell r="K937">
            <v>80000.009999999995</v>
          </cell>
          <cell r="L937">
            <v>120000</v>
          </cell>
          <cell r="M937">
            <v>85</v>
          </cell>
          <cell r="N937">
            <v>30</v>
          </cell>
          <cell r="O937">
            <v>1.25</v>
          </cell>
          <cell r="P937">
            <v>8.56</v>
          </cell>
        </row>
        <row r="938">
          <cell r="J938" t="str">
            <v>DCompra de ViviendaLey PreferencialResidencialNuevaApartamentoCOPA000000030000.00</v>
          </cell>
          <cell r="K938">
            <v>30000</v>
          </cell>
          <cell r="L938">
            <v>40000</v>
          </cell>
          <cell r="M938">
            <v>95</v>
          </cell>
          <cell r="N938">
            <v>30</v>
          </cell>
          <cell r="O938">
            <v>0</v>
          </cell>
          <cell r="P938">
            <v>4.28</v>
          </cell>
        </row>
        <row r="939">
          <cell r="J939" t="str">
            <v>DCompra de ViviendaLey PreferencialResidencialNuevaApartamentoCOPA000000040000.01</v>
          </cell>
          <cell r="K939">
            <v>40000.01</v>
          </cell>
          <cell r="L939">
            <v>80000</v>
          </cell>
          <cell r="M939">
            <v>95</v>
          </cell>
          <cell r="N939">
            <v>30</v>
          </cell>
          <cell r="O939">
            <v>1.25</v>
          </cell>
          <cell r="P939">
            <v>4.28</v>
          </cell>
        </row>
        <row r="940">
          <cell r="J940" t="str">
            <v>DCompra de ViviendaLey PreferencialResidencialNuevaApartamentoCOPA000000080000.01</v>
          </cell>
          <cell r="K940">
            <v>80000.009999999995</v>
          </cell>
          <cell r="L940">
            <v>120000</v>
          </cell>
          <cell r="M940">
            <v>85</v>
          </cell>
          <cell r="N940">
            <v>30</v>
          </cell>
          <cell r="O940">
            <v>1.25</v>
          </cell>
          <cell r="P940">
            <v>4.28</v>
          </cell>
        </row>
        <row r="941">
          <cell r="J941" t="str">
            <v>DCompra de ViviendaLey PreferencialResidencialNuevaApartamentoFERIA000000030000.00</v>
          </cell>
          <cell r="K941">
            <v>30000</v>
          </cell>
          <cell r="L941">
            <v>40000</v>
          </cell>
          <cell r="M941">
            <v>95</v>
          </cell>
          <cell r="N941">
            <v>30</v>
          </cell>
          <cell r="O941">
            <v>0</v>
          </cell>
          <cell r="P941">
            <v>4.28</v>
          </cell>
        </row>
        <row r="942">
          <cell r="J942" t="str">
            <v>DCompra de ViviendaLey PreferencialResidencialNuevaApartamentoFERIA000000040000.01</v>
          </cell>
          <cell r="K942">
            <v>40000.01</v>
          </cell>
          <cell r="L942">
            <v>80000</v>
          </cell>
          <cell r="M942">
            <v>95</v>
          </cell>
          <cell r="N942">
            <v>30</v>
          </cell>
          <cell r="O942">
            <v>1.25</v>
          </cell>
          <cell r="P942">
            <v>4.28</v>
          </cell>
        </row>
        <row r="943">
          <cell r="J943" t="str">
            <v>DCompra de ViviendaLey PreferencialResidencialNuevaApartamentoFERIA000000080000.01</v>
          </cell>
          <cell r="K943">
            <v>80000.009999999995</v>
          </cell>
          <cell r="L943">
            <v>120000</v>
          </cell>
          <cell r="M943">
            <v>85</v>
          </cell>
          <cell r="N943">
            <v>30</v>
          </cell>
          <cell r="O943">
            <v>1.25</v>
          </cell>
          <cell r="P943">
            <v>8.56</v>
          </cell>
        </row>
        <row r="944">
          <cell r="J944" t="str">
            <v>DCompra de ViviendaLey PreferencialResidencialNuevaCasaBG000000018000.00</v>
          </cell>
          <cell r="K944">
            <v>18000</v>
          </cell>
          <cell r="L944">
            <v>40000</v>
          </cell>
          <cell r="M944">
            <v>98</v>
          </cell>
          <cell r="N944">
            <v>30</v>
          </cell>
          <cell r="O944">
            <v>0</v>
          </cell>
          <cell r="P944">
            <v>8.56</v>
          </cell>
        </row>
        <row r="945">
          <cell r="J945" t="str">
            <v>DCompra de ViviendaLey PreferencialResidencialNuevaCasaBG000000040000.01</v>
          </cell>
          <cell r="K945">
            <v>40000.01</v>
          </cell>
          <cell r="L945">
            <v>80000</v>
          </cell>
          <cell r="M945">
            <v>98</v>
          </cell>
          <cell r="N945">
            <v>30</v>
          </cell>
          <cell r="O945">
            <v>1.25</v>
          </cell>
          <cell r="P945">
            <v>8.56</v>
          </cell>
        </row>
        <row r="946">
          <cell r="J946" t="str">
            <v>DCompra de ViviendaLey PreferencialResidencialNuevaCasaBG000000080000.01</v>
          </cell>
          <cell r="K946">
            <v>80000.009999999995</v>
          </cell>
          <cell r="L946">
            <v>120000</v>
          </cell>
          <cell r="M946">
            <v>85</v>
          </cell>
          <cell r="N946">
            <v>30</v>
          </cell>
          <cell r="O946">
            <v>1.25</v>
          </cell>
          <cell r="P946">
            <v>8.56</v>
          </cell>
        </row>
        <row r="947">
          <cell r="J947" t="str">
            <v>DCompra de ViviendaLey PreferencialResidencialNuevaCasaCOPA000000018000.00</v>
          </cell>
          <cell r="K947">
            <v>18000</v>
          </cell>
          <cell r="L947">
            <v>40000</v>
          </cell>
          <cell r="M947">
            <v>98</v>
          </cell>
          <cell r="N947">
            <v>30</v>
          </cell>
          <cell r="O947">
            <v>0</v>
          </cell>
          <cell r="P947">
            <v>4.28</v>
          </cell>
        </row>
        <row r="948">
          <cell r="J948" t="str">
            <v>DCompra de ViviendaLey PreferencialResidencialNuevaCasaCOPA000000040000.01</v>
          </cell>
          <cell r="K948">
            <v>40000.01</v>
          </cell>
          <cell r="L948">
            <v>80000</v>
          </cell>
          <cell r="M948">
            <v>98</v>
          </cell>
          <cell r="N948">
            <v>30</v>
          </cell>
          <cell r="O948">
            <v>1.25</v>
          </cell>
          <cell r="P948">
            <v>4.28</v>
          </cell>
        </row>
        <row r="949">
          <cell r="J949" t="str">
            <v>DCompra de ViviendaLey PreferencialResidencialNuevaCasaCOPA000000080000.01</v>
          </cell>
          <cell r="K949">
            <v>80000.009999999995</v>
          </cell>
          <cell r="L949">
            <v>120000</v>
          </cell>
          <cell r="M949">
            <v>85</v>
          </cell>
          <cell r="N949">
            <v>30</v>
          </cell>
          <cell r="O949">
            <v>1.25</v>
          </cell>
          <cell r="P949">
            <v>4.28</v>
          </cell>
        </row>
        <row r="950">
          <cell r="J950" t="str">
            <v>DCompra de ViviendaLey PreferencialResidencialNuevaCasaFERIA000000018000.00</v>
          </cell>
          <cell r="K950">
            <v>18000</v>
          </cell>
          <cell r="L950">
            <v>40000</v>
          </cell>
          <cell r="M950">
            <v>98</v>
          </cell>
          <cell r="N950">
            <v>30</v>
          </cell>
          <cell r="O950">
            <v>0</v>
          </cell>
          <cell r="P950">
            <v>4.28</v>
          </cell>
        </row>
        <row r="951">
          <cell r="J951" t="str">
            <v>DCompra de ViviendaLey PreferencialResidencialNuevaCasaFERIA000000040000.01</v>
          </cell>
          <cell r="K951">
            <v>40000.01</v>
          </cell>
          <cell r="L951">
            <v>80000</v>
          </cell>
          <cell r="M951">
            <v>98</v>
          </cell>
          <cell r="N951">
            <v>30</v>
          </cell>
          <cell r="O951">
            <v>1.25</v>
          </cell>
          <cell r="P951">
            <v>4.28</v>
          </cell>
        </row>
        <row r="952">
          <cell r="J952" t="str">
            <v>DCompra de ViviendaLey PreferencialResidencialNuevaCasaFERIA000000080000.01</v>
          </cell>
          <cell r="K952">
            <v>80000.009999999995</v>
          </cell>
          <cell r="L952">
            <v>120000</v>
          </cell>
          <cell r="M952">
            <v>85</v>
          </cell>
          <cell r="N952">
            <v>30</v>
          </cell>
          <cell r="O952">
            <v>1.25</v>
          </cell>
          <cell r="P952">
            <v>8.56</v>
          </cell>
        </row>
        <row r="953">
          <cell r="J953" t="str">
            <v>DCompra de ViviendaLey PreferencialResidencialUsadaCasaBG000000080000.01</v>
          </cell>
          <cell r="K953">
            <v>80000.009999999995</v>
          </cell>
          <cell r="L953">
            <v>120000</v>
          </cell>
          <cell r="M953">
            <v>85</v>
          </cell>
          <cell r="N953">
            <v>30</v>
          </cell>
          <cell r="O953">
            <v>1.25</v>
          </cell>
          <cell r="P953">
            <v>8.56</v>
          </cell>
        </row>
        <row r="954">
          <cell r="J954" t="str">
            <v>DCompra de ViviendaLey PreferencialResidencialUsadaCasaCOPA000000080000.01</v>
          </cell>
          <cell r="K954">
            <v>80000.009999999995</v>
          </cell>
          <cell r="L954">
            <v>120000</v>
          </cell>
          <cell r="M954">
            <v>85</v>
          </cell>
          <cell r="N954">
            <v>30</v>
          </cell>
          <cell r="O954">
            <v>1.25</v>
          </cell>
          <cell r="P954">
            <v>4.28</v>
          </cell>
        </row>
        <row r="955">
          <cell r="J955" t="str">
            <v>DCompra de ViviendaLey PreferencialResidencialUsadaCasaFERIA000000080000.01</v>
          </cell>
          <cell r="K955">
            <v>80000.009999999995</v>
          </cell>
          <cell r="L955">
            <v>120000</v>
          </cell>
          <cell r="M955">
            <v>85</v>
          </cell>
          <cell r="N955">
            <v>30</v>
          </cell>
          <cell r="O955">
            <v>1.25</v>
          </cell>
          <cell r="P955">
            <v>8.56</v>
          </cell>
        </row>
        <row r="956">
          <cell r="J956" t="str">
            <v>DCompra Venta de AccionesIndividualResidencialNuevaApartamentoBG000000120000.01</v>
          </cell>
          <cell r="K956">
            <v>120000.01</v>
          </cell>
          <cell r="L956">
            <v>200000</v>
          </cell>
          <cell r="M956">
            <v>85</v>
          </cell>
          <cell r="N956">
            <v>25</v>
          </cell>
          <cell r="O956">
            <v>5.25</v>
          </cell>
          <cell r="P956">
            <v>0</v>
          </cell>
        </row>
        <row r="957">
          <cell r="J957" t="str">
            <v>DCompra Venta de AccionesIndividualResidencialNuevaApartamentoBG000000200000.01</v>
          </cell>
          <cell r="K957">
            <v>200000.01</v>
          </cell>
          <cell r="L957">
            <v>500000</v>
          </cell>
          <cell r="M957">
            <v>80</v>
          </cell>
          <cell r="N957">
            <v>25</v>
          </cell>
          <cell r="O957">
            <v>5.25</v>
          </cell>
          <cell r="P957">
            <v>0</v>
          </cell>
        </row>
        <row r="958">
          <cell r="J958" t="str">
            <v>DCompra Venta de AccionesIndividualResidencialNuevaApartamentoBG000000500000.01</v>
          </cell>
          <cell r="K958">
            <v>500000.01</v>
          </cell>
          <cell r="L958">
            <v>99999999</v>
          </cell>
          <cell r="M958">
            <v>80</v>
          </cell>
          <cell r="N958">
            <v>25</v>
          </cell>
          <cell r="O958">
            <v>5</v>
          </cell>
          <cell r="P958">
            <v>0</v>
          </cell>
        </row>
        <row r="959">
          <cell r="J959" t="str">
            <v>DCompra Venta de AccionesIndividualResidencialNuevaCasaBG000000120000.01</v>
          </cell>
          <cell r="K959">
            <v>120000.01</v>
          </cell>
          <cell r="L959">
            <v>200000</v>
          </cell>
          <cell r="M959">
            <v>85</v>
          </cell>
          <cell r="N959">
            <v>30</v>
          </cell>
          <cell r="O959">
            <v>5.25</v>
          </cell>
          <cell r="P959">
            <v>0</v>
          </cell>
        </row>
        <row r="960">
          <cell r="J960" t="str">
            <v>DCompra Venta de AccionesIndividualResidencialNuevaCasaBG000000200000.01</v>
          </cell>
          <cell r="K960">
            <v>200000.01</v>
          </cell>
          <cell r="L960">
            <v>500000</v>
          </cell>
          <cell r="M960">
            <v>80</v>
          </cell>
          <cell r="N960">
            <v>30</v>
          </cell>
          <cell r="O960">
            <v>5.25</v>
          </cell>
          <cell r="P960">
            <v>0</v>
          </cell>
        </row>
        <row r="961">
          <cell r="J961" t="str">
            <v>DCompra Venta de AccionesIndividualResidencialNuevaCasaBG000000500000.01</v>
          </cell>
          <cell r="K961">
            <v>500000.01</v>
          </cell>
          <cell r="L961">
            <v>99999999</v>
          </cell>
          <cell r="M961">
            <v>80</v>
          </cell>
          <cell r="N961">
            <v>30</v>
          </cell>
          <cell r="O961">
            <v>5</v>
          </cell>
          <cell r="P961">
            <v>0</v>
          </cell>
        </row>
        <row r="962">
          <cell r="J962" t="str">
            <v>DCompra Venta de AccionesIndividualResidencialUsadaApartamentoBG000000030000.00</v>
          </cell>
          <cell r="K962">
            <v>30000</v>
          </cell>
          <cell r="L962">
            <v>200000</v>
          </cell>
          <cell r="M962">
            <v>85</v>
          </cell>
          <cell r="N962">
            <v>30</v>
          </cell>
          <cell r="O962">
            <v>5.5</v>
          </cell>
          <cell r="P962">
            <v>0</v>
          </cell>
        </row>
        <row r="963">
          <cell r="J963" t="str">
            <v>DCompra Venta de AccionesIndividualResidencialUsadaApartamentoBG000000200000.01</v>
          </cell>
          <cell r="K963">
            <v>200000.01</v>
          </cell>
          <cell r="L963">
            <v>500000</v>
          </cell>
          <cell r="M963">
            <v>80</v>
          </cell>
          <cell r="N963">
            <v>25</v>
          </cell>
          <cell r="O963">
            <v>5.25</v>
          </cell>
          <cell r="P963">
            <v>0</v>
          </cell>
        </row>
        <row r="964">
          <cell r="J964" t="str">
            <v>DCompra Venta de AccionesIndividualResidencialUsadaApartamentoBG000000500000.01</v>
          </cell>
          <cell r="K964">
            <v>500000.01</v>
          </cell>
          <cell r="L964">
            <v>99999999</v>
          </cell>
          <cell r="M964">
            <v>80</v>
          </cell>
          <cell r="N964">
            <v>25</v>
          </cell>
          <cell r="O964">
            <v>5.25</v>
          </cell>
          <cell r="P964">
            <v>0</v>
          </cell>
        </row>
        <row r="965">
          <cell r="J965" t="str">
            <v>DCompra Venta de AccionesIndividualResidencialUsadaCasaBG000000030000.00</v>
          </cell>
          <cell r="K965">
            <v>30000</v>
          </cell>
          <cell r="L965">
            <v>200000</v>
          </cell>
          <cell r="M965">
            <v>85</v>
          </cell>
          <cell r="N965">
            <v>30</v>
          </cell>
          <cell r="O965">
            <v>5.5</v>
          </cell>
          <cell r="P965">
            <v>0</v>
          </cell>
        </row>
        <row r="966">
          <cell r="J966" t="str">
            <v>DCompra Venta de AccionesIndividualResidencialUsadaCasaBG000000200000.01</v>
          </cell>
          <cell r="K966">
            <v>200000.01</v>
          </cell>
          <cell r="L966">
            <v>500000</v>
          </cell>
          <cell r="M966">
            <v>80</v>
          </cell>
          <cell r="N966">
            <v>30</v>
          </cell>
          <cell r="O966">
            <v>5.25</v>
          </cell>
          <cell r="P966">
            <v>0</v>
          </cell>
        </row>
        <row r="967">
          <cell r="J967" t="str">
            <v>DCompra Venta de AccionesIndividualResidencialUsadaCasaBG000000500000.01</v>
          </cell>
          <cell r="K967">
            <v>500000.01</v>
          </cell>
          <cell r="L967">
            <v>99999999</v>
          </cell>
          <cell r="M967">
            <v>80</v>
          </cell>
          <cell r="N967">
            <v>30</v>
          </cell>
          <cell r="O967">
            <v>5.25</v>
          </cell>
          <cell r="P967">
            <v>0</v>
          </cell>
        </row>
        <row r="968">
          <cell r="J968" t="str">
            <v>DTraspaso de Otro BancoIndividualResidencialUsadaApartamentoBG000000030000.00</v>
          </cell>
          <cell r="K968">
            <v>30000</v>
          </cell>
          <cell r="L968">
            <v>250000</v>
          </cell>
          <cell r="M968">
            <v>90</v>
          </cell>
          <cell r="N968">
            <v>30</v>
          </cell>
          <cell r="O968">
            <v>5.5</v>
          </cell>
          <cell r="P968">
            <v>0</v>
          </cell>
        </row>
        <row r="969">
          <cell r="J969" t="str">
            <v>DTraspaso de Otro BancoIndividualResidencialUsadaApartamentoBG000000250000.01</v>
          </cell>
          <cell r="K969">
            <v>250000.01</v>
          </cell>
          <cell r="L969">
            <v>500000</v>
          </cell>
          <cell r="M969">
            <v>80</v>
          </cell>
          <cell r="N969">
            <v>30</v>
          </cell>
          <cell r="O969">
            <v>5.25</v>
          </cell>
          <cell r="P969">
            <v>0</v>
          </cell>
        </row>
        <row r="970">
          <cell r="J970" t="str">
            <v>DTraspaso de Otro BancoIndividualResidencialUsadaApartamentoBG000000500000.01</v>
          </cell>
          <cell r="K970">
            <v>500000.01</v>
          </cell>
          <cell r="L970">
            <v>99999999</v>
          </cell>
          <cell r="M970">
            <v>70</v>
          </cell>
          <cell r="N970">
            <v>30</v>
          </cell>
          <cell r="O970">
            <v>5.25</v>
          </cell>
          <cell r="P970">
            <v>0</v>
          </cell>
        </row>
        <row r="971">
          <cell r="J971" t="str">
            <v>DTraspaso de Otro BancoIndividualResidencialUsadaApartamentoCOPA000000030000.00</v>
          </cell>
          <cell r="K971">
            <v>30000</v>
          </cell>
          <cell r="L971">
            <v>250000</v>
          </cell>
          <cell r="M971">
            <v>90</v>
          </cell>
          <cell r="N971">
            <v>30</v>
          </cell>
          <cell r="O971">
            <v>5.5</v>
          </cell>
          <cell r="P971">
            <v>0</v>
          </cell>
        </row>
        <row r="972">
          <cell r="J972" t="str">
            <v>DTraspaso de Otro BancoIndividualResidencialUsadaApartamentoCOPA000000250000.01</v>
          </cell>
          <cell r="K972">
            <v>250000.01</v>
          </cell>
          <cell r="L972">
            <v>500000</v>
          </cell>
          <cell r="M972">
            <v>80</v>
          </cell>
          <cell r="N972">
            <v>30</v>
          </cell>
          <cell r="O972">
            <v>5.25</v>
          </cell>
          <cell r="P972">
            <v>0</v>
          </cell>
        </row>
        <row r="973">
          <cell r="J973" t="str">
            <v>DTraspaso de Otro BancoIndividualResidencialUsadaApartamentoCOPA000000500000.01</v>
          </cell>
          <cell r="K973">
            <v>500000.01</v>
          </cell>
          <cell r="L973">
            <v>99999999</v>
          </cell>
          <cell r="M973">
            <v>70</v>
          </cell>
          <cell r="N973">
            <v>30</v>
          </cell>
          <cell r="O973">
            <v>5.25</v>
          </cell>
          <cell r="P973">
            <v>0</v>
          </cell>
        </row>
        <row r="974">
          <cell r="J974" t="str">
            <v>DTraspaso de Otro BancoIndividualResidencialUsadaApartamentoFERIA000000040000.00</v>
          </cell>
          <cell r="K974">
            <v>40000</v>
          </cell>
          <cell r="L974">
            <v>200000</v>
          </cell>
          <cell r="M974">
            <v>90</v>
          </cell>
          <cell r="N974">
            <v>30</v>
          </cell>
          <cell r="O974">
            <v>5.5</v>
          </cell>
          <cell r="P974">
            <v>0</v>
          </cell>
        </row>
        <row r="975">
          <cell r="J975" t="str">
            <v>DTraspaso de Otro BancoIndividualResidencialUsadaApartamentoFERIA000000200000.01</v>
          </cell>
          <cell r="K975">
            <v>200000.01</v>
          </cell>
          <cell r="L975">
            <v>99999999</v>
          </cell>
          <cell r="M975">
            <v>80</v>
          </cell>
          <cell r="N975">
            <v>30</v>
          </cell>
          <cell r="O975">
            <v>5.25</v>
          </cell>
          <cell r="P975">
            <v>0</v>
          </cell>
        </row>
        <row r="976">
          <cell r="J976" t="str">
            <v>DTraspaso de Otro BancoIndividualResidencialUsadaApartamentoFERIA000000500000.01</v>
          </cell>
          <cell r="K976">
            <v>500000.01</v>
          </cell>
          <cell r="L976">
            <v>99999999</v>
          </cell>
          <cell r="M976">
            <v>70</v>
          </cell>
          <cell r="N976">
            <v>30</v>
          </cell>
          <cell r="O976">
            <v>5.25</v>
          </cell>
          <cell r="P976">
            <v>0</v>
          </cell>
        </row>
        <row r="977">
          <cell r="J977" t="str">
            <v>DTraspaso de Otro BancoIndividualResidencialUsadaCasaBG000000030000.00</v>
          </cell>
          <cell r="K977">
            <v>30000</v>
          </cell>
          <cell r="L977">
            <v>250000</v>
          </cell>
          <cell r="M977">
            <v>90</v>
          </cell>
          <cell r="N977">
            <v>30</v>
          </cell>
          <cell r="O977">
            <v>5.5</v>
          </cell>
          <cell r="P977">
            <v>0</v>
          </cell>
        </row>
        <row r="978">
          <cell r="J978" t="str">
            <v>DTraspaso de Otro BancoIndividualResidencialUsadaCasaBG000000250000.01</v>
          </cell>
          <cell r="K978">
            <v>250000.01</v>
          </cell>
          <cell r="L978">
            <v>500000</v>
          </cell>
          <cell r="M978">
            <v>80</v>
          </cell>
          <cell r="N978">
            <v>30</v>
          </cell>
          <cell r="O978">
            <v>5.25</v>
          </cell>
          <cell r="P978">
            <v>0</v>
          </cell>
        </row>
        <row r="979">
          <cell r="J979" t="str">
            <v>DTraspaso de Otro BancoIndividualResidencialUsadaCasaBG000000500000.01</v>
          </cell>
          <cell r="K979">
            <v>500000.01</v>
          </cell>
          <cell r="L979">
            <v>99999999</v>
          </cell>
          <cell r="M979">
            <v>70</v>
          </cell>
          <cell r="N979">
            <v>30</v>
          </cell>
          <cell r="O979">
            <v>5.25</v>
          </cell>
          <cell r="P979">
            <v>0</v>
          </cell>
        </row>
        <row r="980">
          <cell r="J980" t="str">
            <v>DTraspaso de Otro BancoIndividualResidencialUsadaCasaCOPA000000030000.00</v>
          </cell>
          <cell r="K980">
            <v>30000</v>
          </cell>
          <cell r="L980">
            <v>250000</v>
          </cell>
          <cell r="M980">
            <v>90</v>
          </cell>
          <cell r="N980">
            <v>30</v>
          </cell>
          <cell r="O980">
            <v>5.5</v>
          </cell>
          <cell r="P980">
            <v>0</v>
          </cell>
        </row>
        <row r="981">
          <cell r="J981" t="str">
            <v>DTraspaso de Otro BancoIndividualResidencialUsadaCasaCOPA000000250000.01</v>
          </cell>
          <cell r="K981">
            <v>250000.01</v>
          </cell>
          <cell r="L981">
            <v>500000</v>
          </cell>
          <cell r="M981">
            <v>80</v>
          </cell>
          <cell r="N981">
            <v>30</v>
          </cell>
          <cell r="O981">
            <v>5.25</v>
          </cell>
          <cell r="P981">
            <v>0</v>
          </cell>
        </row>
        <row r="982">
          <cell r="J982" t="str">
            <v>DTraspaso de Otro BancoIndividualResidencialUsadaCasaCOPA000000500000.01</v>
          </cell>
          <cell r="K982">
            <v>500000.01</v>
          </cell>
          <cell r="L982">
            <v>99999999</v>
          </cell>
          <cell r="M982">
            <v>70</v>
          </cell>
          <cell r="N982">
            <v>30</v>
          </cell>
          <cell r="O982">
            <v>5.25</v>
          </cell>
          <cell r="P982">
            <v>0</v>
          </cell>
        </row>
        <row r="983">
          <cell r="J983" t="str">
            <v>DTraspaso de Otro BancoIndividualResidencialUsadaCasaFERIA000000040000.00</v>
          </cell>
          <cell r="K983">
            <v>40000</v>
          </cell>
          <cell r="L983">
            <v>200000</v>
          </cell>
          <cell r="M983">
            <v>90</v>
          </cell>
          <cell r="N983">
            <v>30</v>
          </cell>
          <cell r="O983">
            <v>5.5</v>
          </cell>
          <cell r="P983">
            <v>0</v>
          </cell>
        </row>
        <row r="984">
          <cell r="J984" t="str">
            <v>DTraspaso de Otro BancoIndividualResidencialUsadaCasaFERIA000000200000.01</v>
          </cell>
          <cell r="K984">
            <v>200000.01</v>
          </cell>
          <cell r="L984">
            <v>99999999</v>
          </cell>
          <cell r="M984">
            <v>80</v>
          </cell>
          <cell r="N984">
            <v>30</v>
          </cell>
          <cell r="O984">
            <v>5.25</v>
          </cell>
          <cell r="P984">
            <v>0</v>
          </cell>
        </row>
        <row r="985">
          <cell r="J985" t="str">
            <v>DTraspaso de Otro BancoIndividualResidencialUsadaCasaFERIA000000500000.01</v>
          </cell>
          <cell r="K985">
            <v>500000.01</v>
          </cell>
          <cell r="L985">
            <v>99999999</v>
          </cell>
          <cell r="M985">
            <v>70</v>
          </cell>
          <cell r="N985">
            <v>30</v>
          </cell>
          <cell r="O985">
            <v>5.5</v>
          </cell>
          <cell r="P985">
            <v>0</v>
          </cell>
        </row>
      </sheetData>
      <sheetData sheetId="8">
        <row r="2">
          <cell r="P2" t="str">
            <v>01010101010101</v>
          </cell>
          <cell r="Q2">
            <v>0</v>
          </cell>
          <cell r="T2">
            <v>10</v>
          </cell>
          <cell r="U2">
            <v>8</v>
          </cell>
          <cell r="V2">
            <v>8</v>
          </cell>
          <cell r="W2">
            <v>31</v>
          </cell>
          <cell r="X2">
            <v>0</v>
          </cell>
          <cell r="Y2">
            <v>21</v>
          </cell>
          <cell r="Z2">
            <v>8</v>
          </cell>
          <cell r="AB2">
            <v>25</v>
          </cell>
          <cell r="AC2">
            <v>0</v>
          </cell>
          <cell r="AD2">
            <v>111</v>
          </cell>
          <cell r="AF2" t="str">
            <v>01010101010101</v>
          </cell>
          <cell r="AG2">
            <v>13</v>
          </cell>
          <cell r="AH2">
            <v>26</v>
          </cell>
          <cell r="AI2">
            <v>2</v>
          </cell>
          <cell r="AJ2">
            <v>7</v>
          </cell>
          <cell r="AK2">
            <v>208</v>
          </cell>
          <cell r="AL2">
            <v>2.7</v>
          </cell>
          <cell r="AN2">
            <v>0</v>
          </cell>
          <cell r="AO2">
            <v>10</v>
          </cell>
          <cell r="AP2">
            <v>255.7</v>
          </cell>
          <cell r="AR2" t="str">
            <v>01010101010101</v>
          </cell>
          <cell r="AS2">
            <v>0</v>
          </cell>
        </row>
        <row r="3">
          <cell r="P3" t="str">
            <v>01010101020101</v>
          </cell>
          <cell r="Q3">
            <v>0</v>
          </cell>
          <cell r="T3">
            <v>10</v>
          </cell>
          <cell r="U3">
            <v>8</v>
          </cell>
          <cell r="V3">
            <v>8</v>
          </cell>
          <cell r="W3">
            <v>31</v>
          </cell>
          <cell r="X3">
            <v>0</v>
          </cell>
          <cell r="Y3">
            <v>21</v>
          </cell>
          <cell r="Z3">
            <v>8</v>
          </cell>
          <cell r="AB3">
            <v>25</v>
          </cell>
          <cell r="AD3">
            <v>111</v>
          </cell>
          <cell r="AF3" t="str">
            <v>01010101020101</v>
          </cell>
          <cell r="AG3">
            <v>13</v>
          </cell>
          <cell r="AH3">
            <v>26</v>
          </cell>
          <cell r="AI3">
            <v>2</v>
          </cell>
          <cell r="AJ3">
            <v>7</v>
          </cell>
          <cell r="AK3">
            <v>208</v>
          </cell>
          <cell r="AL3">
            <v>2.7</v>
          </cell>
          <cell r="AN3">
            <v>0</v>
          </cell>
          <cell r="AO3">
            <v>10</v>
          </cell>
          <cell r="AP3">
            <v>255.7</v>
          </cell>
          <cell r="AR3" t="str">
            <v>01010101020101</v>
          </cell>
          <cell r="AS3">
            <v>0</v>
          </cell>
        </row>
        <row r="4">
          <cell r="P4" t="str">
            <v>01020101010101</v>
          </cell>
          <cell r="Q4">
            <v>0</v>
          </cell>
          <cell r="T4">
            <v>10</v>
          </cell>
          <cell r="U4">
            <v>8</v>
          </cell>
          <cell r="V4">
            <v>8</v>
          </cell>
          <cell r="W4">
            <v>31</v>
          </cell>
          <cell r="X4">
            <v>0</v>
          </cell>
          <cell r="Y4">
            <v>26</v>
          </cell>
          <cell r="Z4">
            <v>8</v>
          </cell>
          <cell r="AB4">
            <v>25</v>
          </cell>
          <cell r="AC4">
            <v>0</v>
          </cell>
          <cell r="AD4">
            <v>116</v>
          </cell>
          <cell r="AF4" t="str">
            <v>01020101010101</v>
          </cell>
          <cell r="AG4">
            <v>12</v>
          </cell>
          <cell r="AH4">
            <v>24</v>
          </cell>
          <cell r="AI4">
            <v>2</v>
          </cell>
          <cell r="AJ4">
            <v>7</v>
          </cell>
          <cell r="AK4">
            <v>192</v>
          </cell>
          <cell r="AL4">
            <v>2.5</v>
          </cell>
          <cell r="AN4">
            <v>0</v>
          </cell>
          <cell r="AO4">
            <v>10</v>
          </cell>
          <cell r="AP4">
            <v>237.5</v>
          </cell>
          <cell r="AR4" t="str">
            <v>01020101010101</v>
          </cell>
          <cell r="AS4">
            <v>0</v>
          </cell>
        </row>
        <row r="5">
          <cell r="P5" t="str">
            <v>01020101020101</v>
          </cell>
          <cell r="Q5">
            <v>0</v>
          </cell>
          <cell r="T5">
            <v>10</v>
          </cell>
          <cell r="U5">
            <v>8</v>
          </cell>
          <cell r="V5">
            <v>8</v>
          </cell>
          <cell r="W5">
            <v>31</v>
          </cell>
          <cell r="X5">
            <v>0</v>
          </cell>
          <cell r="Y5">
            <v>26</v>
          </cell>
          <cell r="Z5">
            <v>8</v>
          </cell>
          <cell r="AB5">
            <v>25</v>
          </cell>
          <cell r="AD5">
            <v>116</v>
          </cell>
          <cell r="AF5" t="str">
            <v>01020101020101</v>
          </cell>
          <cell r="AG5">
            <v>12</v>
          </cell>
          <cell r="AH5">
            <v>24</v>
          </cell>
          <cell r="AI5">
            <v>2</v>
          </cell>
          <cell r="AJ5">
            <v>7</v>
          </cell>
          <cell r="AK5">
            <v>192</v>
          </cell>
          <cell r="AL5">
            <v>2.5</v>
          </cell>
          <cell r="AN5">
            <v>0</v>
          </cell>
          <cell r="AO5">
            <v>10</v>
          </cell>
          <cell r="AP5">
            <v>237.5</v>
          </cell>
          <cell r="AR5" t="str">
            <v>01020101020101</v>
          </cell>
          <cell r="AS5">
            <v>0</v>
          </cell>
        </row>
        <row r="6">
          <cell r="P6" t="str">
            <v>03020601010101</v>
          </cell>
          <cell r="Q6">
            <v>0</v>
          </cell>
          <cell r="T6">
            <v>10</v>
          </cell>
          <cell r="U6">
            <v>8</v>
          </cell>
          <cell r="V6">
            <v>8</v>
          </cell>
          <cell r="W6">
            <v>31</v>
          </cell>
          <cell r="X6">
            <v>0</v>
          </cell>
          <cell r="Y6">
            <v>26</v>
          </cell>
          <cell r="Z6">
            <v>8</v>
          </cell>
          <cell r="AB6">
            <v>25</v>
          </cell>
          <cell r="AC6">
            <v>0</v>
          </cell>
          <cell r="AD6">
            <v>116</v>
          </cell>
          <cell r="AF6" t="str">
            <v>03020601010101</v>
          </cell>
          <cell r="AG6">
            <v>12</v>
          </cell>
          <cell r="AH6">
            <v>24</v>
          </cell>
          <cell r="AI6">
            <v>2</v>
          </cell>
          <cell r="AJ6">
            <v>7</v>
          </cell>
          <cell r="AK6">
            <v>192</v>
          </cell>
          <cell r="AL6">
            <v>2.5</v>
          </cell>
          <cell r="AN6">
            <v>0</v>
          </cell>
          <cell r="AO6">
            <v>10</v>
          </cell>
          <cell r="AP6">
            <v>237.5</v>
          </cell>
          <cell r="AR6" t="str">
            <v>03020601010101</v>
          </cell>
          <cell r="AS6">
            <v>0</v>
          </cell>
        </row>
        <row r="7">
          <cell r="P7" t="str">
            <v>03020602010101</v>
          </cell>
          <cell r="Q7">
            <v>0</v>
          </cell>
          <cell r="T7">
            <v>10</v>
          </cell>
          <cell r="U7">
            <v>8</v>
          </cell>
          <cell r="V7">
            <v>8</v>
          </cell>
          <cell r="W7">
            <v>31</v>
          </cell>
          <cell r="X7">
            <v>0</v>
          </cell>
          <cell r="AD7">
            <v>57</v>
          </cell>
          <cell r="AF7" t="str">
            <v>03020602010101</v>
          </cell>
          <cell r="AG7">
            <v>12</v>
          </cell>
          <cell r="AH7">
            <v>24</v>
          </cell>
          <cell r="AI7">
            <v>2</v>
          </cell>
          <cell r="AJ7">
            <v>7</v>
          </cell>
          <cell r="AK7">
            <v>192</v>
          </cell>
          <cell r="AL7">
            <v>2.5</v>
          </cell>
          <cell r="AN7">
            <v>0</v>
          </cell>
          <cell r="AO7">
            <v>10</v>
          </cell>
          <cell r="AP7">
            <v>237.5</v>
          </cell>
          <cell r="AR7" t="str">
            <v>03020602010101</v>
          </cell>
          <cell r="AS7">
            <v>0</v>
          </cell>
        </row>
        <row r="8">
          <cell r="P8" t="str">
            <v>03020601020101</v>
          </cell>
          <cell r="Q8">
            <v>0</v>
          </cell>
          <cell r="T8">
            <v>10</v>
          </cell>
          <cell r="U8">
            <v>8</v>
          </cell>
          <cell r="V8">
            <v>8</v>
          </cell>
          <cell r="W8">
            <v>31</v>
          </cell>
          <cell r="X8">
            <v>0</v>
          </cell>
          <cell r="Y8">
            <v>26</v>
          </cell>
          <cell r="Z8">
            <v>8</v>
          </cell>
          <cell r="AB8">
            <v>25</v>
          </cell>
          <cell r="AD8">
            <v>116</v>
          </cell>
          <cell r="AF8" t="str">
            <v>03020601020101</v>
          </cell>
          <cell r="AG8">
            <v>12</v>
          </cell>
          <cell r="AH8">
            <v>24</v>
          </cell>
          <cell r="AI8">
            <v>2</v>
          </cell>
          <cell r="AJ8">
            <v>7</v>
          </cell>
          <cell r="AK8">
            <v>192</v>
          </cell>
          <cell r="AL8">
            <v>2.5</v>
          </cell>
          <cell r="AN8">
            <v>0</v>
          </cell>
          <cell r="AO8">
            <v>10</v>
          </cell>
          <cell r="AP8">
            <v>237.5</v>
          </cell>
          <cell r="AR8" t="str">
            <v>03020601020101</v>
          </cell>
          <cell r="AS8">
            <v>0</v>
          </cell>
        </row>
        <row r="9">
          <cell r="P9" t="str">
            <v>03020602020101</v>
          </cell>
          <cell r="Q9">
            <v>0</v>
          </cell>
          <cell r="T9">
            <v>10</v>
          </cell>
          <cell r="U9">
            <v>8</v>
          </cell>
          <cell r="V9">
            <v>8</v>
          </cell>
          <cell r="W9">
            <v>31</v>
          </cell>
          <cell r="X9">
            <v>0</v>
          </cell>
          <cell r="AD9">
            <v>57</v>
          </cell>
          <cell r="AF9" t="str">
            <v>03020602020101</v>
          </cell>
          <cell r="AG9">
            <v>12</v>
          </cell>
          <cell r="AH9">
            <v>24</v>
          </cell>
          <cell r="AI9">
            <v>2</v>
          </cell>
          <cell r="AJ9">
            <v>7</v>
          </cell>
          <cell r="AK9">
            <v>192</v>
          </cell>
          <cell r="AL9">
            <v>2.5</v>
          </cell>
          <cell r="AN9">
            <v>0</v>
          </cell>
          <cell r="AO9">
            <v>10</v>
          </cell>
          <cell r="AP9">
            <v>237.5</v>
          </cell>
          <cell r="AR9" t="str">
            <v>03020602020101</v>
          </cell>
          <cell r="AS9">
            <v>0</v>
          </cell>
        </row>
        <row r="10">
          <cell r="P10" t="str">
            <v>01020102010101</v>
          </cell>
          <cell r="Q10">
            <v>0</v>
          </cell>
          <cell r="T10">
            <v>10</v>
          </cell>
          <cell r="U10">
            <v>8</v>
          </cell>
          <cell r="V10">
            <v>8</v>
          </cell>
          <cell r="W10">
            <v>31</v>
          </cell>
          <cell r="X10">
            <v>0</v>
          </cell>
          <cell r="AD10">
            <v>57</v>
          </cell>
          <cell r="AF10" t="str">
            <v>01020102010101</v>
          </cell>
          <cell r="AG10">
            <v>12</v>
          </cell>
          <cell r="AH10">
            <v>24</v>
          </cell>
          <cell r="AI10">
            <v>2</v>
          </cell>
          <cell r="AJ10">
            <v>7</v>
          </cell>
          <cell r="AK10">
            <v>192</v>
          </cell>
          <cell r="AL10">
            <v>2.5</v>
          </cell>
          <cell r="AN10">
            <v>0</v>
          </cell>
          <cell r="AO10">
            <v>10</v>
          </cell>
          <cell r="AP10">
            <v>237.5</v>
          </cell>
          <cell r="AR10" t="str">
            <v>01020102010101</v>
          </cell>
          <cell r="AS10">
            <v>0</v>
          </cell>
        </row>
        <row r="11">
          <cell r="P11" t="str">
            <v>03020102020101</v>
          </cell>
          <cell r="AD11">
            <v>0</v>
          </cell>
          <cell r="AF11" t="str">
            <v>03020102020101</v>
          </cell>
          <cell r="AP11">
            <v>0</v>
          </cell>
          <cell r="AR11" t="str">
            <v>03020102020101</v>
          </cell>
          <cell r="AS11">
            <v>0</v>
          </cell>
        </row>
        <row r="12">
          <cell r="P12" t="str">
            <v>01010202010101</v>
          </cell>
          <cell r="Q12">
            <v>0</v>
          </cell>
          <cell r="T12">
            <v>10</v>
          </cell>
          <cell r="U12">
            <v>8</v>
          </cell>
          <cell r="V12">
            <v>8</v>
          </cell>
          <cell r="X12">
            <v>0</v>
          </cell>
          <cell r="AD12">
            <v>26</v>
          </cell>
          <cell r="AF12" t="str">
            <v>01010202010101</v>
          </cell>
          <cell r="AG12">
            <v>13</v>
          </cell>
          <cell r="AH12">
            <v>26</v>
          </cell>
          <cell r="AI12">
            <v>2</v>
          </cell>
          <cell r="AJ12">
            <v>7</v>
          </cell>
          <cell r="AK12">
            <v>208</v>
          </cell>
          <cell r="AL12">
            <v>2.7</v>
          </cell>
          <cell r="AN12">
            <v>0</v>
          </cell>
          <cell r="AO12">
            <v>10</v>
          </cell>
          <cell r="AP12">
            <v>255.7</v>
          </cell>
          <cell r="AR12" t="str">
            <v>01010202010101</v>
          </cell>
          <cell r="AS12">
            <v>0</v>
          </cell>
        </row>
        <row r="13">
          <cell r="P13" t="str">
            <v>01010202020101</v>
          </cell>
          <cell r="Q13">
            <v>0</v>
          </cell>
          <cell r="T13">
            <v>10</v>
          </cell>
          <cell r="U13">
            <v>8</v>
          </cell>
          <cell r="V13">
            <v>8</v>
          </cell>
          <cell r="X13">
            <v>0</v>
          </cell>
          <cell r="AD13">
            <v>26</v>
          </cell>
          <cell r="AF13" t="str">
            <v>01010202020101</v>
          </cell>
          <cell r="AG13">
            <v>13</v>
          </cell>
          <cell r="AH13">
            <v>26</v>
          </cell>
          <cell r="AI13">
            <v>2</v>
          </cell>
          <cell r="AJ13">
            <v>7</v>
          </cell>
          <cell r="AK13">
            <v>208</v>
          </cell>
          <cell r="AL13">
            <v>2.7</v>
          </cell>
          <cell r="AN13">
            <v>0</v>
          </cell>
          <cell r="AO13">
            <v>10</v>
          </cell>
          <cell r="AP13">
            <v>255.7</v>
          </cell>
          <cell r="AR13" t="str">
            <v>01010202020101</v>
          </cell>
          <cell r="AS13">
            <v>0</v>
          </cell>
        </row>
        <row r="14">
          <cell r="P14" t="str">
            <v>01020202010101</v>
          </cell>
          <cell r="Q14">
            <v>0</v>
          </cell>
          <cell r="T14">
            <v>10</v>
          </cell>
          <cell r="U14">
            <v>8</v>
          </cell>
          <cell r="V14">
            <v>8</v>
          </cell>
          <cell r="X14">
            <v>0</v>
          </cell>
          <cell r="AD14">
            <v>26</v>
          </cell>
          <cell r="AF14" t="str">
            <v>01020202010101</v>
          </cell>
          <cell r="AG14">
            <v>10</v>
          </cell>
          <cell r="AH14">
            <v>20</v>
          </cell>
          <cell r="AI14">
            <v>2</v>
          </cell>
          <cell r="AJ14">
            <v>7</v>
          </cell>
          <cell r="AK14">
            <v>160</v>
          </cell>
          <cell r="AL14">
            <v>2.1</v>
          </cell>
          <cell r="AN14">
            <v>0</v>
          </cell>
          <cell r="AO14">
            <v>10</v>
          </cell>
          <cell r="AP14">
            <v>201.1</v>
          </cell>
          <cell r="AR14" t="str">
            <v>01020202010101</v>
          </cell>
          <cell r="AS14">
            <v>0</v>
          </cell>
        </row>
        <row r="15">
          <cell r="P15" t="str">
            <v>01020202020101</v>
          </cell>
          <cell r="Q15">
            <v>0</v>
          </cell>
          <cell r="T15">
            <v>10</v>
          </cell>
          <cell r="U15">
            <v>8</v>
          </cell>
          <cell r="V15">
            <v>8</v>
          </cell>
          <cell r="X15">
            <v>0</v>
          </cell>
          <cell r="AD15">
            <v>26</v>
          </cell>
          <cell r="AF15" t="str">
            <v>01020202020101</v>
          </cell>
          <cell r="AG15">
            <v>10</v>
          </cell>
          <cell r="AH15">
            <v>20</v>
          </cell>
          <cell r="AI15">
            <v>2</v>
          </cell>
          <cell r="AJ15">
            <v>7</v>
          </cell>
          <cell r="AK15">
            <v>160</v>
          </cell>
          <cell r="AL15">
            <v>2.1</v>
          </cell>
          <cell r="AN15">
            <v>0</v>
          </cell>
          <cell r="AO15">
            <v>10</v>
          </cell>
          <cell r="AP15">
            <v>201.1</v>
          </cell>
          <cell r="AR15" t="str">
            <v>01020202020101</v>
          </cell>
          <cell r="AS15">
            <v>0</v>
          </cell>
        </row>
        <row r="16">
          <cell r="P16" t="str">
            <v>04020102010101</v>
          </cell>
          <cell r="Q16">
            <v>0</v>
          </cell>
          <cell r="T16">
            <v>10</v>
          </cell>
          <cell r="U16">
            <v>8</v>
          </cell>
          <cell r="V16">
            <v>8</v>
          </cell>
          <cell r="W16">
            <v>31</v>
          </cell>
          <cell r="AD16">
            <v>57</v>
          </cell>
          <cell r="AF16" t="str">
            <v>04020102010101</v>
          </cell>
          <cell r="AG16">
            <v>8</v>
          </cell>
          <cell r="AH16">
            <v>16</v>
          </cell>
          <cell r="AI16">
            <v>2</v>
          </cell>
          <cell r="AJ16">
            <v>7</v>
          </cell>
          <cell r="AK16">
            <v>128</v>
          </cell>
          <cell r="AL16">
            <v>1.7</v>
          </cell>
          <cell r="AN16">
            <v>0</v>
          </cell>
          <cell r="AP16">
            <v>154.69999999999999</v>
          </cell>
          <cell r="AR16" t="str">
            <v>04020102010101</v>
          </cell>
          <cell r="AS16">
            <v>0</v>
          </cell>
        </row>
        <row r="17">
          <cell r="P17" t="str">
            <v>04020102020101</v>
          </cell>
          <cell r="Q17">
            <v>0</v>
          </cell>
          <cell r="T17">
            <v>10</v>
          </cell>
          <cell r="U17">
            <v>8</v>
          </cell>
          <cell r="V17">
            <v>8</v>
          </cell>
          <cell r="W17">
            <v>31</v>
          </cell>
          <cell r="AD17">
            <v>57</v>
          </cell>
          <cell r="AF17" t="str">
            <v>04020102020101</v>
          </cell>
          <cell r="AG17">
            <v>8</v>
          </cell>
          <cell r="AH17">
            <v>16</v>
          </cell>
          <cell r="AI17">
            <v>2</v>
          </cell>
          <cell r="AJ17">
            <v>7</v>
          </cell>
          <cell r="AK17">
            <v>128</v>
          </cell>
          <cell r="AL17">
            <v>1.7</v>
          </cell>
          <cell r="AN17">
            <v>0</v>
          </cell>
          <cell r="AP17">
            <v>154.69999999999999</v>
          </cell>
          <cell r="AR17" t="str">
            <v>04020102020101</v>
          </cell>
          <cell r="AS17">
            <v>0</v>
          </cell>
        </row>
        <row r="18">
          <cell r="P18" t="str">
            <v>02020402010101</v>
          </cell>
          <cell r="Q18">
            <v>0</v>
          </cell>
          <cell r="T18">
            <v>10</v>
          </cell>
          <cell r="U18">
            <v>8</v>
          </cell>
          <cell r="V18">
            <v>8</v>
          </cell>
          <cell r="W18">
            <v>31</v>
          </cell>
          <cell r="AD18">
            <v>57</v>
          </cell>
          <cell r="AF18" t="str">
            <v>02020402010101</v>
          </cell>
          <cell r="AG18">
            <v>8</v>
          </cell>
          <cell r="AH18">
            <v>16</v>
          </cell>
          <cell r="AI18">
            <v>2</v>
          </cell>
          <cell r="AJ18">
            <v>7</v>
          </cell>
          <cell r="AK18">
            <v>128</v>
          </cell>
          <cell r="AL18">
            <v>1.7</v>
          </cell>
          <cell r="AN18">
            <v>0</v>
          </cell>
          <cell r="AP18">
            <v>154.69999999999999</v>
          </cell>
          <cell r="AR18" t="str">
            <v>02020402010101</v>
          </cell>
          <cell r="AS18">
            <v>0</v>
          </cell>
        </row>
        <row r="19">
          <cell r="P19" t="str">
            <v>02020402020101</v>
          </cell>
          <cell r="Q19">
            <v>0</v>
          </cell>
          <cell r="T19">
            <v>10</v>
          </cell>
          <cell r="U19">
            <v>8</v>
          </cell>
          <cell r="V19">
            <v>8</v>
          </cell>
          <cell r="W19">
            <v>31</v>
          </cell>
          <cell r="AD19">
            <v>57</v>
          </cell>
          <cell r="AF19" t="str">
            <v>02020402020101</v>
          </cell>
          <cell r="AG19">
            <v>8</v>
          </cell>
          <cell r="AH19">
            <v>16</v>
          </cell>
          <cell r="AI19">
            <v>2</v>
          </cell>
          <cell r="AJ19">
            <v>7</v>
          </cell>
          <cell r="AK19">
            <v>128</v>
          </cell>
          <cell r="AL19">
            <v>1.7</v>
          </cell>
          <cell r="AN19">
            <v>0</v>
          </cell>
          <cell r="AP19">
            <v>154.69999999999999</v>
          </cell>
          <cell r="AR19" t="str">
            <v>02020402020101</v>
          </cell>
          <cell r="AS19">
            <v>0</v>
          </cell>
        </row>
        <row r="20">
          <cell r="P20" t="str">
            <v>02020502010101</v>
          </cell>
          <cell r="Q20">
            <v>0</v>
          </cell>
          <cell r="T20">
            <v>10</v>
          </cell>
          <cell r="U20">
            <v>8</v>
          </cell>
          <cell r="V20">
            <v>8</v>
          </cell>
          <cell r="AD20">
            <v>26</v>
          </cell>
          <cell r="AF20" t="str">
            <v>02020502010101</v>
          </cell>
          <cell r="AG20">
            <v>8</v>
          </cell>
          <cell r="AH20">
            <v>16</v>
          </cell>
          <cell r="AI20">
            <v>2</v>
          </cell>
          <cell r="AJ20">
            <v>7</v>
          </cell>
          <cell r="AK20">
            <v>128</v>
          </cell>
          <cell r="AL20">
            <v>1.7</v>
          </cell>
          <cell r="AN20">
            <v>0</v>
          </cell>
          <cell r="AP20">
            <v>154.69999999999999</v>
          </cell>
          <cell r="AR20" t="str">
            <v>02020502010101</v>
          </cell>
          <cell r="AS20">
            <v>0</v>
          </cell>
        </row>
        <row r="21">
          <cell r="P21" t="str">
            <v>02020502020101</v>
          </cell>
          <cell r="Q21">
            <v>0</v>
          </cell>
          <cell r="T21">
            <v>10</v>
          </cell>
          <cell r="U21">
            <v>8</v>
          </cell>
          <cell r="V21">
            <v>8</v>
          </cell>
          <cell r="AD21">
            <v>26</v>
          </cell>
          <cell r="AF21" t="str">
            <v>02020502020101</v>
          </cell>
          <cell r="AG21">
            <v>8</v>
          </cell>
          <cell r="AH21">
            <v>16</v>
          </cell>
          <cell r="AI21">
            <v>2</v>
          </cell>
          <cell r="AJ21">
            <v>7</v>
          </cell>
          <cell r="AK21">
            <v>128</v>
          </cell>
          <cell r="AL21">
            <v>1.7</v>
          </cell>
          <cell r="AN21">
            <v>0</v>
          </cell>
          <cell r="AP21">
            <v>154.69999999999999</v>
          </cell>
          <cell r="AR21" t="str">
            <v>02020502020101</v>
          </cell>
          <cell r="AS21">
            <v>0</v>
          </cell>
        </row>
        <row r="22">
          <cell r="P22" t="str">
            <v>02020102010101</v>
          </cell>
          <cell r="Q22">
            <v>0</v>
          </cell>
          <cell r="T22">
            <v>10</v>
          </cell>
          <cell r="U22">
            <v>8</v>
          </cell>
          <cell r="V22">
            <v>8</v>
          </cell>
          <cell r="AD22">
            <v>26</v>
          </cell>
          <cell r="AF22" t="str">
            <v>02020102010101</v>
          </cell>
          <cell r="AG22">
            <v>8</v>
          </cell>
          <cell r="AH22">
            <v>16</v>
          </cell>
          <cell r="AI22">
            <v>2</v>
          </cell>
          <cell r="AJ22">
            <v>7</v>
          </cell>
          <cell r="AK22">
            <v>128</v>
          </cell>
          <cell r="AL22">
            <v>1.7</v>
          </cell>
          <cell r="AN22">
            <v>0</v>
          </cell>
          <cell r="AP22">
            <v>154.69999999999999</v>
          </cell>
          <cell r="AR22" t="str">
            <v>02020102010101</v>
          </cell>
          <cell r="AS22">
            <v>0</v>
          </cell>
        </row>
        <row r="23">
          <cell r="P23" t="str">
            <v>02020102020101</v>
          </cell>
          <cell r="Q23">
            <v>0</v>
          </cell>
          <cell r="T23">
            <v>10</v>
          </cell>
          <cell r="U23">
            <v>8</v>
          </cell>
          <cell r="V23">
            <v>8</v>
          </cell>
          <cell r="AD23">
            <v>26</v>
          </cell>
          <cell r="AF23" t="str">
            <v>02020102020101</v>
          </cell>
          <cell r="AG23">
            <v>8</v>
          </cell>
          <cell r="AH23">
            <v>16</v>
          </cell>
          <cell r="AI23">
            <v>2</v>
          </cell>
          <cell r="AJ23">
            <v>7</v>
          </cell>
          <cell r="AK23">
            <v>128</v>
          </cell>
          <cell r="AL23">
            <v>1.7</v>
          </cell>
          <cell r="AN23">
            <v>0</v>
          </cell>
          <cell r="AP23">
            <v>154.69999999999999</v>
          </cell>
          <cell r="AR23" t="str">
            <v>02020102020101</v>
          </cell>
          <cell r="AS23">
            <v>0</v>
          </cell>
        </row>
        <row r="24">
          <cell r="P24" t="str">
            <v>06010102010101</v>
          </cell>
          <cell r="R24">
            <v>35</v>
          </cell>
          <cell r="T24">
            <v>10</v>
          </cell>
          <cell r="U24">
            <v>8</v>
          </cell>
          <cell r="V24">
            <v>8</v>
          </cell>
          <cell r="AD24">
            <v>61</v>
          </cell>
          <cell r="AF24" t="str">
            <v>06010102010101</v>
          </cell>
          <cell r="AG24">
            <v>5</v>
          </cell>
          <cell r="AH24">
            <v>10</v>
          </cell>
          <cell r="AI24">
            <v>2</v>
          </cell>
          <cell r="AJ24">
            <v>7</v>
          </cell>
          <cell r="AK24">
            <v>80</v>
          </cell>
          <cell r="AL24">
            <v>1.1000000000000001</v>
          </cell>
          <cell r="AN24">
            <v>0</v>
          </cell>
          <cell r="AO24">
            <v>10</v>
          </cell>
          <cell r="AP24">
            <v>110.1</v>
          </cell>
          <cell r="AR24" t="str">
            <v>06010102010101</v>
          </cell>
          <cell r="AS24">
            <v>400</v>
          </cell>
        </row>
        <row r="25">
          <cell r="P25" t="str">
            <v>06010102020101</v>
          </cell>
          <cell r="R25">
            <v>35</v>
          </cell>
          <cell r="T25">
            <v>10</v>
          </cell>
          <cell r="U25">
            <v>8</v>
          </cell>
          <cell r="V25">
            <v>8</v>
          </cell>
          <cell r="AD25">
            <v>61</v>
          </cell>
          <cell r="AF25" t="str">
            <v>06010102020101</v>
          </cell>
          <cell r="AG25">
            <v>5</v>
          </cell>
          <cell r="AH25">
            <v>10</v>
          </cell>
          <cell r="AI25">
            <v>2</v>
          </cell>
          <cell r="AJ25">
            <v>7</v>
          </cell>
          <cell r="AK25">
            <v>80</v>
          </cell>
          <cell r="AL25">
            <v>1.1000000000000001</v>
          </cell>
          <cell r="AN25">
            <v>0</v>
          </cell>
          <cell r="AO25">
            <v>10</v>
          </cell>
          <cell r="AP25">
            <v>110.1</v>
          </cell>
          <cell r="AR25" t="str">
            <v>06010102020101</v>
          </cell>
          <cell r="AS25">
            <v>400</v>
          </cell>
        </row>
        <row r="26">
          <cell r="P26" t="str">
            <v>06020102010101</v>
          </cell>
          <cell r="R26">
            <v>35</v>
          </cell>
          <cell r="T26">
            <v>10</v>
          </cell>
          <cell r="U26">
            <v>8</v>
          </cell>
          <cell r="V26">
            <v>8</v>
          </cell>
          <cell r="AD26">
            <v>61</v>
          </cell>
          <cell r="AF26" t="str">
            <v>06020102010101</v>
          </cell>
          <cell r="AG26">
            <v>5</v>
          </cell>
          <cell r="AH26">
            <v>10</v>
          </cell>
          <cell r="AI26">
            <v>2</v>
          </cell>
          <cell r="AJ26">
            <v>7</v>
          </cell>
          <cell r="AK26">
            <v>80</v>
          </cell>
          <cell r="AL26">
            <v>1.1000000000000001</v>
          </cell>
          <cell r="AN26">
            <v>0</v>
          </cell>
          <cell r="AO26">
            <v>10</v>
          </cell>
          <cell r="AP26">
            <v>110.1</v>
          </cell>
          <cell r="AR26" t="str">
            <v>06020102010101</v>
          </cell>
          <cell r="AS26">
            <v>400</v>
          </cell>
        </row>
        <row r="27">
          <cell r="P27" t="str">
            <v>06020102020101</v>
          </cell>
          <cell r="R27">
            <v>35</v>
          </cell>
          <cell r="T27">
            <v>10</v>
          </cell>
          <cell r="U27">
            <v>8</v>
          </cell>
          <cell r="V27">
            <v>8</v>
          </cell>
          <cell r="AD27">
            <v>61</v>
          </cell>
          <cell r="AF27" t="str">
            <v>06020102020101</v>
          </cell>
          <cell r="AG27">
            <v>5</v>
          </cell>
          <cell r="AH27">
            <v>10</v>
          </cell>
          <cell r="AI27">
            <v>2</v>
          </cell>
          <cell r="AJ27">
            <v>7</v>
          </cell>
          <cell r="AK27">
            <v>80</v>
          </cell>
          <cell r="AL27">
            <v>1.1000000000000001</v>
          </cell>
          <cell r="AN27">
            <v>0</v>
          </cell>
          <cell r="AO27">
            <v>10</v>
          </cell>
          <cell r="AP27">
            <v>110.1</v>
          </cell>
          <cell r="AR27" t="str">
            <v>06020102020101</v>
          </cell>
          <cell r="AS27">
            <v>400</v>
          </cell>
        </row>
        <row r="28">
          <cell r="P28" t="str">
            <v>10010102010101</v>
          </cell>
          <cell r="R28">
            <v>35</v>
          </cell>
          <cell r="T28">
            <v>10</v>
          </cell>
          <cell r="U28">
            <v>8</v>
          </cell>
          <cell r="V28">
            <v>8</v>
          </cell>
          <cell r="AD28">
            <v>61</v>
          </cell>
          <cell r="AF28" t="str">
            <v>10010102010101</v>
          </cell>
          <cell r="AG28">
            <v>5</v>
          </cell>
          <cell r="AH28">
            <v>10</v>
          </cell>
          <cell r="AI28">
            <v>2</v>
          </cell>
          <cell r="AJ28">
            <v>7</v>
          </cell>
          <cell r="AK28">
            <v>80</v>
          </cell>
          <cell r="AL28">
            <v>1.1000000000000001</v>
          </cell>
          <cell r="AN28">
            <v>0</v>
          </cell>
          <cell r="AP28">
            <v>100.1</v>
          </cell>
          <cell r="AR28" t="str">
            <v>10010102010101</v>
          </cell>
          <cell r="AS28">
            <v>400</v>
          </cell>
        </row>
        <row r="29">
          <cell r="P29" t="str">
            <v>10010102020101</v>
          </cell>
          <cell r="R29">
            <v>35</v>
          </cell>
          <cell r="T29">
            <v>10</v>
          </cell>
          <cell r="U29">
            <v>8</v>
          </cell>
          <cell r="V29">
            <v>8</v>
          </cell>
          <cell r="AD29">
            <v>61</v>
          </cell>
          <cell r="AF29" t="str">
            <v>10010102020101</v>
          </cell>
          <cell r="AG29">
            <v>5</v>
          </cell>
          <cell r="AH29">
            <v>10</v>
          </cell>
          <cell r="AI29">
            <v>2</v>
          </cell>
          <cell r="AJ29">
            <v>7</v>
          </cell>
          <cell r="AK29">
            <v>80</v>
          </cell>
          <cell r="AL29">
            <v>1.1000000000000001</v>
          </cell>
          <cell r="AN29">
            <v>0</v>
          </cell>
          <cell r="AP29">
            <v>100.1</v>
          </cell>
          <cell r="AR29" t="str">
            <v>10010102020101</v>
          </cell>
          <cell r="AS29">
            <v>400</v>
          </cell>
        </row>
        <row r="30">
          <cell r="P30" t="str">
            <v>10020102010101</v>
          </cell>
          <cell r="R30">
            <v>35</v>
          </cell>
          <cell r="T30">
            <v>10</v>
          </cell>
          <cell r="U30">
            <v>8</v>
          </cell>
          <cell r="V30">
            <v>8</v>
          </cell>
          <cell r="AD30">
            <v>61</v>
          </cell>
          <cell r="AF30" t="str">
            <v>10020102010101</v>
          </cell>
          <cell r="AG30">
            <v>5</v>
          </cell>
          <cell r="AH30">
            <v>10</v>
          </cell>
          <cell r="AI30">
            <v>2</v>
          </cell>
          <cell r="AJ30">
            <v>7</v>
          </cell>
          <cell r="AK30">
            <v>80</v>
          </cell>
          <cell r="AL30">
            <v>1.1000000000000001</v>
          </cell>
          <cell r="AN30">
            <v>0</v>
          </cell>
          <cell r="AP30">
            <v>100.1</v>
          </cell>
          <cell r="AR30" t="str">
            <v>10020102010101</v>
          </cell>
          <cell r="AS30">
            <v>400</v>
          </cell>
        </row>
        <row r="31">
          <cell r="P31" t="str">
            <v>10020102020101</v>
          </cell>
          <cell r="R31">
            <v>35</v>
          </cell>
          <cell r="T31">
            <v>10</v>
          </cell>
          <cell r="U31">
            <v>8</v>
          </cell>
          <cell r="V31">
            <v>8</v>
          </cell>
          <cell r="AD31">
            <v>61</v>
          </cell>
          <cell r="AF31" t="str">
            <v>10020102020101</v>
          </cell>
          <cell r="AG31">
            <v>5</v>
          </cell>
          <cell r="AH31">
            <v>10</v>
          </cell>
          <cell r="AI31">
            <v>2</v>
          </cell>
          <cell r="AJ31">
            <v>7</v>
          </cell>
          <cell r="AK31">
            <v>80</v>
          </cell>
          <cell r="AL31">
            <v>1.1000000000000001</v>
          </cell>
          <cell r="AN31">
            <v>0</v>
          </cell>
          <cell r="AP31">
            <v>100.1</v>
          </cell>
          <cell r="AR31" t="str">
            <v>10020102020101</v>
          </cell>
          <cell r="AS31">
            <v>400</v>
          </cell>
        </row>
        <row r="32">
          <cell r="P32" t="str">
            <v>07010102010101</v>
          </cell>
          <cell r="S32">
            <v>35</v>
          </cell>
          <cell r="T32">
            <v>10</v>
          </cell>
          <cell r="U32">
            <v>8</v>
          </cell>
          <cell r="V32">
            <v>8</v>
          </cell>
          <cell r="AD32">
            <v>61</v>
          </cell>
          <cell r="AF32" t="str">
            <v>07010102010101</v>
          </cell>
          <cell r="AG32">
            <v>5</v>
          </cell>
          <cell r="AH32">
            <v>10</v>
          </cell>
          <cell r="AI32">
            <v>2</v>
          </cell>
          <cell r="AJ32">
            <v>7</v>
          </cell>
          <cell r="AK32">
            <v>80</v>
          </cell>
          <cell r="AL32">
            <v>1.1000000000000001</v>
          </cell>
          <cell r="AN32">
            <v>0</v>
          </cell>
          <cell r="AP32">
            <v>100.1</v>
          </cell>
          <cell r="AR32" t="str">
            <v>07010102010101</v>
          </cell>
          <cell r="AS32">
            <v>0</v>
          </cell>
        </row>
        <row r="33">
          <cell r="P33" t="str">
            <v>07010102020101</v>
          </cell>
          <cell r="S33">
            <v>35</v>
          </cell>
          <cell r="T33">
            <v>10</v>
          </cell>
          <cell r="U33">
            <v>8</v>
          </cell>
          <cell r="V33">
            <v>8</v>
          </cell>
          <cell r="AD33">
            <v>61</v>
          </cell>
          <cell r="AF33" t="str">
            <v>07010102020101</v>
          </cell>
          <cell r="AG33">
            <v>5</v>
          </cell>
          <cell r="AH33">
            <v>10</v>
          </cell>
          <cell r="AI33">
            <v>2</v>
          </cell>
          <cell r="AJ33">
            <v>7</v>
          </cell>
          <cell r="AK33">
            <v>80</v>
          </cell>
          <cell r="AL33">
            <v>1.1000000000000001</v>
          </cell>
          <cell r="AN33">
            <v>0</v>
          </cell>
          <cell r="AP33">
            <v>100.1</v>
          </cell>
          <cell r="AR33" t="str">
            <v>07010102020101</v>
          </cell>
          <cell r="AS33">
            <v>0</v>
          </cell>
        </row>
        <row r="34">
          <cell r="P34" t="str">
            <v>07020102010101</v>
          </cell>
          <cell r="S34">
            <v>35</v>
          </cell>
          <cell r="T34">
            <v>10</v>
          </cell>
          <cell r="U34">
            <v>8</v>
          </cell>
          <cell r="V34">
            <v>8</v>
          </cell>
          <cell r="AD34">
            <v>61</v>
          </cell>
          <cell r="AF34" t="str">
            <v>07020102010101</v>
          </cell>
          <cell r="AG34">
            <v>5</v>
          </cell>
          <cell r="AH34">
            <v>10</v>
          </cell>
          <cell r="AI34">
            <v>2</v>
          </cell>
          <cell r="AJ34">
            <v>7</v>
          </cell>
          <cell r="AK34">
            <v>80</v>
          </cell>
          <cell r="AL34">
            <v>1.1000000000000001</v>
          </cell>
          <cell r="AN34">
            <v>0</v>
          </cell>
          <cell r="AP34">
            <v>100.1</v>
          </cell>
          <cell r="AR34" t="str">
            <v>07020102010101</v>
          </cell>
          <cell r="AS34">
            <v>0</v>
          </cell>
        </row>
        <row r="35">
          <cell r="P35" t="str">
            <v>07020102020101</v>
          </cell>
          <cell r="S35">
            <v>35</v>
          </cell>
          <cell r="T35">
            <v>10</v>
          </cell>
          <cell r="U35">
            <v>8</v>
          </cell>
          <cell r="V35">
            <v>8</v>
          </cell>
          <cell r="AD35">
            <v>61</v>
          </cell>
          <cell r="AF35" t="str">
            <v>07020102020101</v>
          </cell>
          <cell r="AG35">
            <v>5</v>
          </cell>
          <cell r="AH35">
            <v>10</v>
          </cell>
          <cell r="AI35">
            <v>2</v>
          </cell>
          <cell r="AJ35">
            <v>7</v>
          </cell>
          <cell r="AK35">
            <v>80</v>
          </cell>
          <cell r="AL35">
            <v>1.1000000000000001</v>
          </cell>
          <cell r="AN35">
            <v>0</v>
          </cell>
          <cell r="AP35">
            <v>100.1</v>
          </cell>
          <cell r="AR35" t="str">
            <v>07020102020101</v>
          </cell>
          <cell r="AS35">
            <v>0</v>
          </cell>
        </row>
        <row r="36">
          <cell r="P36" t="str">
            <v>11010102010101</v>
          </cell>
          <cell r="T36">
            <v>10</v>
          </cell>
          <cell r="U36">
            <v>8</v>
          </cell>
          <cell r="V36">
            <v>8</v>
          </cell>
          <cell r="AD36">
            <v>26</v>
          </cell>
          <cell r="AF36" t="str">
            <v>11010102010101</v>
          </cell>
          <cell r="AG36">
            <v>5</v>
          </cell>
          <cell r="AH36">
            <v>10</v>
          </cell>
          <cell r="AI36">
            <v>2</v>
          </cell>
          <cell r="AJ36">
            <v>7</v>
          </cell>
          <cell r="AK36">
            <v>80</v>
          </cell>
          <cell r="AL36">
            <v>1.1000000000000001</v>
          </cell>
          <cell r="AN36">
            <v>0</v>
          </cell>
          <cell r="AP36">
            <v>100.1</v>
          </cell>
          <cell r="AR36" t="str">
            <v>11010102010101</v>
          </cell>
          <cell r="AS36">
            <v>400</v>
          </cell>
        </row>
        <row r="37">
          <cell r="P37" t="str">
            <v>11020102010101</v>
          </cell>
          <cell r="T37">
            <v>10</v>
          </cell>
          <cell r="U37">
            <v>8</v>
          </cell>
          <cell r="V37">
            <v>8</v>
          </cell>
          <cell r="AD37">
            <v>26</v>
          </cell>
          <cell r="AF37" t="str">
            <v>11020102010101</v>
          </cell>
          <cell r="AG37">
            <v>5</v>
          </cell>
          <cell r="AH37">
            <v>10</v>
          </cell>
          <cell r="AI37">
            <v>2</v>
          </cell>
          <cell r="AJ37">
            <v>7</v>
          </cell>
          <cell r="AK37">
            <v>80</v>
          </cell>
          <cell r="AL37">
            <v>1.1000000000000001</v>
          </cell>
          <cell r="AN37">
            <v>0</v>
          </cell>
          <cell r="AP37">
            <v>100.1</v>
          </cell>
          <cell r="AR37" t="str">
            <v>11020102010101</v>
          </cell>
          <cell r="AS37">
            <v>400</v>
          </cell>
        </row>
        <row r="38">
          <cell r="P38" t="str">
            <v>11010102020101</v>
          </cell>
          <cell r="T38">
            <v>10</v>
          </cell>
          <cell r="U38">
            <v>8</v>
          </cell>
          <cell r="V38">
            <v>8</v>
          </cell>
          <cell r="AD38">
            <v>26</v>
          </cell>
          <cell r="AF38" t="str">
            <v>11010102020101</v>
          </cell>
          <cell r="AG38">
            <v>5</v>
          </cell>
          <cell r="AH38">
            <v>10</v>
          </cell>
          <cell r="AI38">
            <v>2</v>
          </cell>
          <cell r="AJ38">
            <v>7</v>
          </cell>
          <cell r="AK38">
            <v>80</v>
          </cell>
          <cell r="AL38">
            <v>1.1000000000000001</v>
          </cell>
          <cell r="AN38">
            <v>0</v>
          </cell>
          <cell r="AP38">
            <v>100.1</v>
          </cell>
          <cell r="AR38" t="str">
            <v>11010102020101</v>
          </cell>
          <cell r="AS38">
            <v>400</v>
          </cell>
        </row>
        <row r="39">
          <cell r="P39" t="str">
            <v>11020102020101</v>
          </cell>
          <cell r="T39">
            <v>10</v>
          </cell>
          <cell r="U39">
            <v>8</v>
          </cell>
          <cell r="V39">
            <v>8</v>
          </cell>
          <cell r="AD39">
            <v>26</v>
          </cell>
          <cell r="AF39" t="str">
            <v>11020102020101</v>
          </cell>
          <cell r="AG39">
            <v>5</v>
          </cell>
          <cell r="AH39">
            <v>10</v>
          </cell>
          <cell r="AI39">
            <v>2</v>
          </cell>
          <cell r="AJ39">
            <v>7</v>
          </cell>
          <cell r="AK39">
            <v>80</v>
          </cell>
          <cell r="AL39">
            <v>1.1000000000000001</v>
          </cell>
          <cell r="AN39">
            <v>0</v>
          </cell>
          <cell r="AP39">
            <v>100.1</v>
          </cell>
          <cell r="AR39" t="str">
            <v>11020102020101</v>
          </cell>
          <cell r="AS39">
            <v>400</v>
          </cell>
        </row>
        <row r="40">
          <cell r="P40" t="str">
            <v>08010301020101</v>
          </cell>
          <cell r="Q40">
            <v>0</v>
          </cell>
          <cell r="T40">
            <v>10</v>
          </cell>
          <cell r="U40">
            <v>8</v>
          </cell>
          <cell r="V40">
            <v>8</v>
          </cell>
          <cell r="AD40">
            <v>26</v>
          </cell>
          <cell r="AF40" t="str">
            <v>08010301020101</v>
          </cell>
          <cell r="AG40">
            <v>10</v>
          </cell>
          <cell r="AH40">
            <v>20</v>
          </cell>
          <cell r="AI40">
            <v>2</v>
          </cell>
          <cell r="AJ40">
            <v>7</v>
          </cell>
          <cell r="AK40">
            <v>160</v>
          </cell>
          <cell r="AL40">
            <v>2.1</v>
          </cell>
          <cell r="AN40">
            <v>0</v>
          </cell>
          <cell r="AP40">
            <v>191.1</v>
          </cell>
          <cell r="AR40" t="str">
            <v>08010301020101</v>
          </cell>
          <cell r="AS40">
            <v>0</v>
          </cell>
        </row>
        <row r="41">
          <cell r="P41" t="str">
            <v>08010301010101</v>
          </cell>
          <cell r="Q41">
            <v>0</v>
          </cell>
          <cell r="T41">
            <v>10</v>
          </cell>
          <cell r="U41">
            <v>8</v>
          </cell>
          <cell r="V41">
            <v>8</v>
          </cell>
          <cell r="AD41">
            <v>26</v>
          </cell>
          <cell r="AF41" t="str">
            <v>08010301010101</v>
          </cell>
          <cell r="AG41">
            <v>10</v>
          </cell>
          <cell r="AH41">
            <v>20</v>
          </cell>
          <cell r="AI41">
            <v>2</v>
          </cell>
          <cell r="AJ41">
            <v>7</v>
          </cell>
          <cell r="AK41">
            <v>160</v>
          </cell>
          <cell r="AL41">
            <v>2.1</v>
          </cell>
          <cell r="AN41">
            <v>0</v>
          </cell>
          <cell r="AP41">
            <v>191.1</v>
          </cell>
          <cell r="AR41" t="str">
            <v>08010301010101</v>
          </cell>
          <cell r="AS41">
            <v>0</v>
          </cell>
        </row>
        <row r="42">
          <cell r="P42" t="str">
            <v>08020301020101</v>
          </cell>
          <cell r="Q42">
            <v>0</v>
          </cell>
          <cell r="T42">
            <v>10</v>
          </cell>
          <cell r="U42">
            <v>8</v>
          </cell>
          <cell r="V42">
            <v>8</v>
          </cell>
          <cell r="AD42">
            <v>26</v>
          </cell>
          <cell r="AF42" t="str">
            <v>08020301020101</v>
          </cell>
          <cell r="AG42">
            <v>10</v>
          </cell>
          <cell r="AH42">
            <v>20</v>
          </cell>
          <cell r="AI42">
            <v>2</v>
          </cell>
          <cell r="AJ42">
            <v>7</v>
          </cell>
          <cell r="AK42">
            <v>160</v>
          </cell>
          <cell r="AL42">
            <v>2.1</v>
          </cell>
          <cell r="AN42">
            <v>0</v>
          </cell>
          <cell r="AP42">
            <v>191.1</v>
          </cell>
          <cell r="AR42" t="str">
            <v>08020301020101</v>
          </cell>
          <cell r="AS42">
            <v>0</v>
          </cell>
        </row>
        <row r="43">
          <cell r="P43" t="str">
            <v>08020301010101</v>
          </cell>
          <cell r="Q43">
            <v>0</v>
          </cell>
          <cell r="T43">
            <v>10</v>
          </cell>
          <cell r="U43">
            <v>8</v>
          </cell>
          <cell r="V43">
            <v>8</v>
          </cell>
          <cell r="AD43">
            <v>26</v>
          </cell>
          <cell r="AF43" t="str">
            <v>08020301010101</v>
          </cell>
          <cell r="AG43">
            <v>10</v>
          </cell>
          <cell r="AH43">
            <v>20</v>
          </cell>
          <cell r="AI43">
            <v>2</v>
          </cell>
          <cell r="AJ43">
            <v>7</v>
          </cell>
          <cell r="AK43">
            <v>160</v>
          </cell>
          <cell r="AL43">
            <v>2.1</v>
          </cell>
          <cell r="AN43">
            <v>0</v>
          </cell>
          <cell r="AP43">
            <v>191.1</v>
          </cell>
          <cell r="AR43" t="str">
            <v>08020301010101</v>
          </cell>
          <cell r="AS43">
            <v>0</v>
          </cell>
        </row>
        <row r="44">
          <cell r="P44" t="str">
            <v>05010102010101</v>
          </cell>
          <cell r="Q44">
            <v>0</v>
          </cell>
          <cell r="T44">
            <v>10</v>
          </cell>
          <cell r="U44">
            <v>8</v>
          </cell>
          <cell r="V44">
            <v>8</v>
          </cell>
          <cell r="X44">
            <v>0</v>
          </cell>
          <cell r="AD44">
            <v>26</v>
          </cell>
          <cell r="AF44" t="str">
            <v>05010102010101</v>
          </cell>
          <cell r="AG44">
            <v>13</v>
          </cell>
          <cell r="AH44">
            <v>26</v>
          </cell>
          <cell r="AI44">
            <v>2</v>
          </cell>
          <cell r="AJ44">
            <v>7</v>
          </cell>
          <cell r="AK44">
            <v>208</v>
          </cell>
          <cell r="AL44">
            <v>2.7</v>
          </cell>
          <cell r="AM44">
            <v>10</v>
          </cell>
          <cell r="AN44">
            <v>0</v>
          </cell>
          <cell r="AO44">
            <v>10</v>
          </cell>
          <cell r="AP44">
            <v>265.7</v>
          </cell>
          <cell r="AR44" t="str">
            <v>05010102010101</v>
          </cell>
          <cell r="AS44">
            <v>0</v>
          </cell>
        </row>
        <row r="45">
          <cell r="P45" t="str">
            <v>05010102020101</v>
          </cell>
          <cell r="Q45">
            <v>0</v>
          </cell>
          <cell r="T45">
            <v>10</v>
          </cell>
          <cell r="U45">
            <v>8</v>
          </cell>
          <cell r="V45">
            <v>8</v>
          </cell>
          <cell r="X45">
            <v>0</v>
          </cell>
          <cell r="AD45">
            <v>26</v>
          </cell>
          <cell r="AF45" t="str">
            <v>05010102020101</v>
          </cell>
          <cell r="AG45">
            <v>13</v>
          </cell>
          <cell r="AH45">
            <v>26</v>
          </cell>
          <cell r="AI45">
            <v>2</v>
          </cell>
          <cell r="AJ45">
            <v>7</v>
          </cell>
          <cell r="AK45">
            <v>208</v>
          </cell>
          <cell r="AL45">
            <v>2.7</v>
          </cell>
          <cell r="AM45">
            <v>10</v>
          </cell>
          <cell r="AN45">
            <v>0</v>
          </cell>
          <cell r="AO45">
            <v>10</v>
          </cell>
          <cell r="AP45">
            <v>265.7</v>
          </cell>
          <cell r="AR45" t="str">
            <v>05010102020101</v>
          </cell>
          <cell r="AS45">
            <v>0</v>
          </cell>
        </row>
        <row r="46">
          <cell r="P46" t="str">
            <v>09010102010101</v>
          </cell>
          <cell r="R46">
            <v>35</v>
          </cell>
          <cell r="T46">
            <v>10</v>
          </cell>
          <cell r="U46">
            <v>8</v>
          </cell>
          <cell r="V46">
            <v>8</v>
          </cell>
          <cell r="AD46">
            <v>61</v>
          </cell>
          <cell r="AF46" t="str">
            <v>09010102010101</v>
          </cell>
          <cell r="AG46">
            <v>5</v>
          </cell>
          <cell r="AH46">
            <v>10</v>
          </cell>
          <cell r="AI46">
            <v>2</v>
          </cell>
          <cell r="AJ46">
            <v>7</v>
          </cell>
          <cell r="AK46">
            <v>80</v>
          </cell>
          <cell r="AL46">
            <v>1.1000000000000001</v>
          </cell>
          <cell r="AN46">
            <v>0</v>
          </cell>
          <cell r="AO46">
            <v>10</v>
          </cell>
          <cell r="AP46">
            <v>110.1</v>
          </cell>
          <cell r="AR46" t="str">
            <v>09010102010101</v>
          </cell>
          <cell r="AS46">
            <v>400</v>
          </cell>
        </row>
        <row r="47">
          <cell r="P47" t="str">
            <v>09010102020101</v>
          </cell>
          <cell r="R47">
            <v>35</v>
          </cell>
          <cell r="T47">
            <v>10</v>
          </cell>
          <cell r="U47">
            <v>8</v>
          </cell>
          <cell r="V47">
            <v>8</v>
          </cell>
          <cell r="AD47">
            <v>61</v>
          </cell>
          <cell r="AF47" t="str">
            <v>09010102020101</v>
          </cell>
          <cell r="AG47">
            <v>5</v>
          </cell>
          <cell r="AH47">
            <v>10</v>
          </cell>
          <cell r="AI47">
            <v>2</v>
          </cell>
          <cell r="AJ47">
            <v>7</v>
          </cell>
          <cell r="AK47">
            <v>80</v>
          </cell>
          <cell r="AL47">
            <v>1.1000000000000001</v>
          </cell>
          <cell r="AN47">
            <v>0</v>
          </cell>
          <cell r="AO47">
            <v>10</v>
          </cell>
          <cell r="AP47">
            <v>110.1</v>
          </cell>
          <cell r="AR47" t="str">
            <v>09010102020101</v>
          </cell>
          <cell r="AS47">
            <v>400</v>
          </cell>
        </row>
        <row r="48">
          <cell r="P48" t="str">
            <v>09020102010101</v>
          </cell>
          <cell r="R48">
            <v>35</v>
          </cell>
          <cell r="T48">
            <v>10</v>
          </cell>
          <cell r="U48">
            <v>8</v>
          </cell>
          <cell r="V48">
            <v>8</v>
          </cell>
          <cell r="AD48">
            <v>61</v>
          </cell>
          <cell r="AF48" t="str">
            <v>09020102010101</v>
          </cell>
          <cell r="AG48">
            <v>5</v>
          </cell>
          <cell r="AH48">
            <v>10</v>
          </cell>
          <cell r="AI48">
            <v>2</v>
          </cell>
          <cell r="AJ48">
            <v>7</v>
          </cell>
          <cell r="AK48">
            <v>80</v>
          </cell>
          <cell r="AL48">
            <v>1.1000000000000001</v>
          </cell>
          <cell r="AN48">
            <v>0</v>
          </cell>
          <cell r="AO48">
            <v>10</v>
          </cell>
          <cell r="AP48">
            <v>110.1</v>
          </cell>
          <cell r="AR48" t="str">
            <v>09020102010101</v>
          </cell>
          <cell r="AS48">
            <v>400</v>
          </cell>
        </row>
        <row r="49">
          <cell r="P49" t="str">
            <v>09020102020101</v>
          </cell>
          <cell r="R49">
            <v>35</v>
          </cell>
          <cell r="T49">
            <v>10</v>
          </cell>
          <cell r="U49">
            <v>8</v>
          </cell>
          <cell r="V49">
            <v>8</v>
          </cell>
          <cell r="AD49">
            <v>61</v>
          </cell>
          <cell r="AF49" t="str">
            <v>09020102020101</v>
          </cell>
          <cell r="AG49">
            <v>5</v>
          </cell>
          <cell r="AH49">
            <v>10</v>
          </cell>
          <cell r="AI49">
            <v>2</v>
          </cell>
          <cell r="AJ49">
            <v>7</v>
          </cell>
          <cell r="AK49">
            <v>80</v>
          </cell>
          <cell r="AL49">
            <v>1.1000000000000001</v>
          </cell>
          <cell r="AN49">
            <v>0</v>
          </cell>
          <cell r="AO49">
            <v>10</v>
          </cell>
          <cell r="AP49">
            <v>110.1</v>
          </cell>
          <cell r="AR49" t="str">
            <v>09020102020101</v>
          </cell>
          <cell r="AS49">
            <v>400</v>
          </cell>
        </row>
        <row r="50">
          <cell r="P50" t="str">
            <v>01020102020101</v>
          </cell>
          <cell r="Q50">
            <v>0</v>
          </cell>
          <cell r="T50">
            <v>10</v>
          </cell>
          <cell r="U50">
            <v>8</v>
          </cell>
          <cell r="V50">
            <v>8</v>
          </cell>
          <cell r="W50">
            <v>31</v>
          </cell>
          <cell r="X50">
            <v>0</v>
          </cell>
          <cell r="AD50">
            <v>57</v>
          </cell>
          <cell r="AF50" t="str">
            <v>01020102020101</v>
          </cell>
          <cell r="AG50">
            <v>12</v>
          </cell>
          <cell r="AH50">
            <v>24</v>
          </cell>
          <cell r="AI50">
            <v>2</v>
          </cell>
          <cell r="AJ50">
            <v>7</v>
          </cell>
          <cell r="AK50">
            <v>192</v>
          </cell>
          <cell r="AL50">
            <v>2.5</v>
          </cell>
          <cell r="AN50">
            <v>0</v>
          </cell>
          <cell r="AO50">
            <v>10</v>
          </cell>
          <cell r="AP50">
            <v>237.5</v>
          </cell>
          <cell r="AR50" t="str">
            <v>01020102020101</v>
          </cell>
          <cell r="AS50">
            <v>0</v>
          </cell>
        </row>
        <row r="51">
          <cell r="P51" t="str">
            <v>12030101020101</v>
          </cell>
          <cell r="Q51">
            <v>0</v>
          </cell>
          <cell r="T51">
            <v>10</v>
          </cell>
          <cell r="U51">
            <v>8</v>
          </cell>
          <cell r="V51">
            <v>8</v>
          </cell>
          <cell r="AB51">
            <v>25</v>
          </cell>
          <cell r="AD51">
            <v>51</v>
          </cell>
          <cell r="AF51" t="str">
            <v>12030101020101</v>
          </cell>
          <cell r="AG51">
            <v>16</v>
          </cell>
          <cell r="AH51">
            <v>32</v>
          </cell>
          <cell r="AI51">
            <v>3</v>
          </cell>
          <cell r="AK51">
            <v>256</v>
          </cell>
          <cell r="AL51">
            <v>1.65</v>
          </cell>
          <cell r="AN51">
            <v>0</v>
          </cell>
          <cell r="AP51">
            <v>292.64999999999998</v>
          </cell>
          <cell r="AR51" t="str">
            <v>12030101020101</v>
          </cell>
          <cell r="AS51">
            <v>0</v>
          </cell>
        </row>
        <row r="52">
          <cell r="P52" t="str">
            <v>12030101010101</v>
          </cell>
          <cell r="Q52">
            <v>0</v>
          </cell>
          <cell r="T52">
            <v>10</v>
          </cell>
          <cell r="U52">
            <v>8</v>
          </cell>
          <cell r="V52">
            <v>8</v>
          </cell>
          <cell r="AB52">
            <v>25</v>
          </cell>
          <cell r="AD52">
            <v>51</v>
          </cell>
          <cell r="AF52" t="str">
            <v>12030101010101</v>
          </cell>
          <cell r="AG52">
            <v>16</v>
          </cell>
          <cell r="AH52">
            <v>32</v>
          </cell>
          <cell r="AI52">
            <v>3</v>
          </cell>
          <cell r="AK52">
            <v>256</v>
          </cell>
          <cell r="AL52">
            <v>1.65</v>
          </cell>
          <cell r="AN52">
            <v>0</v>
          </cell>
          <cell r="AP52">
            <v>292.64999999999998</v>
          </cell>
          <cell r="AR52" t="str">
            <v>12030101010101</v>
          </cell>
          <cell r="AS52">
            <v>0</v>
          </cell>
        </row>
        <row r="53">
          <cell r="P53" t="str">
            <v>12020101020101</v>
          </cell>
          <cell r="Q53">
            <v>0</v>
          </cell>
          <cell r="T53">
            <v>10</v>
          </cell>
          <cell r="U53">
            <v>8</v>
          </cell>
          <cell r="V53">
            <v>8</v>
          </cell>
          <cell r="AB53">
            <v>25</v>
          </cell>
          <cell r="AD53">
            <v>51</v>
          </cell>
          <cell r="AF53" t="str">
            <v>12020101020101</v>
          </cell>
          <cell r="AG53">
            <v>16</v>
          </cell>
          <cell r="AH53">
            <v>32</v>
          </cell>
          <cell r="AI53">
            <v>3</v>
          </cell>
          <cell r="AK53">
            <v>256</v>
          </cell>
          <cell r="AL53">
            <v>1.65</v>
          </cell>
          <cell r="AN53">
            <v>0</v>
          </cell>
          <cell r="AP53">
            <v>292.64999999999998</v>
          </cell>
          <cell r="AR53" t="str">
            <v>12020101020101</v>
          </cell>
          <cell r="AS53">
            <v>0</v>
          </cell>
        </row>
        <row r="54">
          <cell r="P54" t="str">
            <v>12020101010101</v>
          </cell>
          <cell r="Q54">
            <v>0</v>
          </cell>
          <cell r="T54">
            <v>10</v>
          </cell>
          <cell r="U54">
            <v>8</v>
          </cell>
          <cell r="V54">
            <v>8</v>
          </cell>
          <cell r="AB54">
            <v>25</v>
          </cell>
          <cell r="AD54">
            <v>51</v>
          </cell>
          <cell r="AF54" t="str">
            <v>12020101010101</v>
          </cell>
          <cell r="AG54">
            <v>16</v>
          </cell>
          <cell r="AH54">
            <v>32</v>
          </cell>
          <cell r="AI54">
            <v>3</v>
          </cell>
          <cell r="AK54">
            <v>256</v>
          </cell>
          <cell r="AL54">
            <v>1.65</v>
          </cell>
          <cell r="AN54">
            <v>0</v>
          </cell>
          <cell r="AP54">
            <v>292.64999999999998</v>
          </cell>
          <cell r="AR54" t="str">
            <v>12020101010101</v>
          </cell>
          <cell r="AS54">
            <v>0</v>
          </cell>
        </row>
        <row r="55">
          <cell r="P55" t="str">
            <v>12030102020101</v>
          </cell>
          <cell r="Q55">
            <v>0</v>
          </cell>
          <cell r="T55">
            <v>10</v>
          </cell>
          <cell r="U55">
            <v>8</v>
          </cell>
          <cell r="V55">
            <v>8</v>
          </cell>
          <cell r="AB55">
            <v>25</v>
          </cell>
          <cell r="AD55">
            <v>51</v>
          </cell>
          <cell r="AF55" t="str">
            <v>12030102020101</v>
          </cell>
          <cell r="AG55">
            <v>16</v>
          </cell>
          <cell r="AH55">
            <v>32</v>
          </cell>
          <cell r="AI55">
            <v>3</v>
          </cell>
          <cell r="AK55">
            <v>256</v>
          </cell>
          <cell r="AL55">
            <v>1.65</v>
          </cell>
          <cell r="AN55">
            <v>0</v>
          </cell>
          <cell r="AP55">
            <v>292.64999999999998</v>
          </cell>
          <cell r="AR55" t="str">
            <v>12030102020101</v>
          </cell>
          <cell r="AS55">
            <v>0</v>
          </cell>
        </row>
        <row r="56">
          <cell r="P56" t="str">
            <v>12030102010101</v>
          </cell>
          <cell r="Q56">
            <v>0</v>
          </cell>
          <cell r="T56">
            <v>10</v>
          </cell>
          <cell r="U56">
            <v>8</v>
          </cell>
          <cell r="V56">
            <v>8</v>
          </cell>
          <cell r="AB56">
            <v>25</v>
          </cell>
          <cell r="AD56">
            <v>51</v>
          </cell>
          <cell r="AF56" t="str">
            <v>12030102010101</v>
          </cell>
          <cell r="AG56">
            <v>16</v>
          </cell>
          <cell r="AH56">
            <v>32</v>
          </cell>
          <cell r="AI56">
            <v>3</v>
          </cell>
          <cell r="AK56">
            <v>256</v>
          </cell>
          <cell r="AL56">
            <v>1.65</v>
          </cell>
          <cell r="AN56">
            <v>0</v>
          </cell>
          <cell r="AP56">
            <v>292.64999999999998</v>
          </cell>
          <cell r="AR56" t="str">
            <v>12030102010101</v>
          </cell>
          <cell r="AS56">
            <v>0</v>
          </cell>
        </row>
        <row r="57">
          <cell r="P57" t="str">
            <v>12020102020101</v>
          </cell>
          <cell r="Q57">
            <v>0</v>
          </cell>
          <cell r="T57">
            <v>10</v>
          </cell>
          <cell r="U57">
            <v>8</v>
          </cell>
          <cell r="V57">
            <v>8</v>
          </cell>
          <cell r="AB57">
            <v>25</v>
          </cell>
          <cell r="AD57">
            <v>51</v>
          </cell>
          <cell r="AF57" t="str">
            <v>12020102020101</v>
          </cell>
          <cell r="AG57">
            <v>16</v>
          </cell>
          <cell r="AH57">
            <v>32</v>
          </cell>
          <cell r="AI57">
            <v>3</v>
          </cell>
          <cell r="AK57">
            <v>256</v>
          </cell>
          <cell r="AL57">
            <v>1.65</v>
          </cell>
          <cell r="AN57">
            <v>0</v>
          </cell>
          <cell r="AP57">
            <v>292.64999999999998</v>
          </cell>
          <cell r="AR57" t="str">
            <v>12020102020101</v>
          </cell>
          <cell r="AS57">
            <v>0</v>
          </cell>
        </row>
        <row r="58">
          <cell r="P58" t="str">
            <v>12020102010101</v>
          </cell>
          <cell r="Q58">
            <v>0</v>
          </cell>
          <cell r="T58">
            <v>10</v>
          </cell>
          <cell r="U58">
            <v>8</v>
          </cell>
          <cell r="V58">
            <v>8</v>
          </cell>
          <cell r="AB58">
            <v>25</v>
          </cell>
          <cell r="AD58">
            <v>51</v>
          </cell>
          <cell r="AF58" t="str">
            <v>12020102010101</v>
          </cell>
          <cell r="AG58">
            <v>16</v>
          </cell>
          <cell r="AH58">
            <v>32</v>
          </cell>
          <cell r="AI58">
            <v>3</v>
          </cell>
          <cell r="AK58">
            <v>256</v>
          </cell>
          <cell r="AL58">
            <v>1.65</v>
          </cell>
          <cell r="AN58">
            <v>0</v>
          </cell>
          <cell r="AP58">
            <v>292.64999999999998</v>
          </cell>
          <cell r="AR58" t="str">
            <v>12020102010101</v>
          </cell>
          <cell r="AS58">
            <v>0</v>
          </cell>
        </row>
        <row r="59">
          <cell r="P59" t="str">
            <v>01010101010201</v>
          </cell>
          <cell r="AD59">
            <v>0</v>
          </cell>
          <cell r="AF59" t="str">
            <v>01010101010201</v>
          </cell>
          <cell r="AN59">
            <v>0</v>
          </cell>
          <cell r="AP59">
            <v>0</v>
          </cell>
          <cell r="AR59" t="str">
            <v>01010101010201</v>
          </cell>
          <cell r="AS59">
            <v>0</v>
          </cell>
        </row>
        <row r="60">
          <cell r="P60" t="str">
            <v>01010101020201</v>
          </cell>
          <cell r="AD60">
            <v>0</v>
          </cell>
          <cell r="AF60" t="str">
            <v>01010101020201</v>
          </cell>
          <cell r="AN60">
            <v>0</v>
          </cell>
          <cell r="AP60">
            <v>0</v>
          </cell>
          <cell r="AR60" t="str">
            <v>01010101020201</v>
          </cell>
          <cell r="AS60">
            <v>0</v>
          </cell>
        </row>
        <row r="61">
          <cell r="P61" t="str">
            <v>01020101010201</v>
          </cell>
          <cell r="AD61">
            <v>0</v>
          </cell>
          <cell r="AF61" t="str">
            <v>01020101010201</v>
          </cell>
          <cell r="AN61">
            <v>0</v>
          </cell>
          <cell r="AP61">
            <v>0</v>
          </cell>
          <cell r="AR61" t="str">
            <v>01020101010201</v>
          </cell>
          <cell r="AS61">
            <v>0</v>
          </cell>
        </row>
        <row r="62">
          <cell r="P62" t="str">
            <v>01020101020201</v>
          </cell>
          <cell r="AD62">
            <v>0</v>
          </cell>
          <cell r="AF62" t="str">
            <v>01020101020201</v>
          </cell>
          <cell r="AN62">
            <v>0</v>
          </cell>
          <cell r="AP62">
            <v>0</v>
          </cell>
          <cell r="AR62" t="str">
            <v>01020101020201</v>
          </cell>
          <cell r="AS62">
            <v>0</v>
          </cell>
        </row>
        <row r="63">
          <cell r="P63" t="str">
            <v>01020102010201</v>
          </cell>
          <cell r="AD63">
            <v>0</v>
          </cell>
          <cell r="AF63" t="str">
            <v>01020102010201</v>
          </cell>
          <cell r="AN63">
            <v>0</v>
          </cell>
          <cell r="AP63">
            <v>0</v>
          </cell>
          <cell r="AR63" t="str">
            <v>01020102010201</v>
          </cell>
          <cell r="AS63">
            <v>0</v>
          </cell>
        </row>
        <row r="64">
          <cell r="P64" t="str">
            <v>01020102020201</v>
          </cell>
          <cell r="AD64">
            <v>0</v>
          </cell>
          <cell r="AF64" t="str">
            <v>01020102020201</v>
          </cell>
          <cell r="AN64">
            <v>0</v>
          </cell>
          <cell r="AP64">
            <v>0</v>
          </cell>
          <cell r="AR64" t="str">
            <v>01020102020201</v>
          </cell>
          <cell r="AS64">
            <v>0</v>
          </cell>
        </row>
        <row r="65">
          <cell r="P65" t="str">
            <v>03020601010201</v>
          </cell>
          <cell r="AD65">
            <v>0</v>
          </cell>
          <cell r="AF65" t="str">
            <v>03020601010201</v>
          </cell>
          <cell r="AN65">
            <v>0</v>
          </cell>
          <cell r="AP65">
            <v>0</v>
          </cell>
          <cell r="AR65" t="str">
            <v>03020601010201</v>
          </cell>
          <cell r="AS65">
            <v>0</v>
          </cell>
        </row>
        <row r="66">
          <cell r="P66" t="str">
            <v>03020602010201</v>
          </cell>
          <cell r="AD66">
            <v>0</v>
          </cell>
          <cell r="AF66" t="str">
            <v>03020602010201</v>
          </cell>
          <cell r="AN66">
            <v>0</v>
          </cell>
          <cell r="AP66">
            <v>0</v>
          </cell>
          <cell r="AR66" t="str">
            <v>03020602010201</v>
          </cell>
          <cell r="AS66">
            <v>0</v>
          </cell>
        </row>
        <row r="67">
          <cell r="P67" t="str">
            <v>03020601020201</v>
          </cell>
          <cell r="AD67">
            <v>0</v>
          </cell>
          <cell r="AF67" t="str">
            <v>03020601020201</v>
          </cell>
          <cell r="AN67">
            <v>0</v>
          </cell>
          <cell r="AP67">
            <v>0</v>
          </cell>
          <cell r="AR67" t="str">
            <v>03020601020201</v>
          </cell>
          <cell r="AS67">
            <v>0</v>
          </cell>
        </row>
        <row r="68">
          <cell r="P68" t="str">
            <v>03020602020201</v>
          </cell>
          <cell r="AD68">
            <v>0</v>
          </cell>
          <cell r="AF68" t="str">
            <v>03020602020201</v>
          </cell>
          <cell r="AN68">
            <v>0</v>
          </cell>
          <cell r="AP68">
            <v>0</v>
          </cell>
          <cell r="AR68" t="str">
            <v>03020602020201</v>
          </cell>
          <cell r="AS68">
            <v>0</v>
          </cell>
        </row>
        <row r="69">
          <cell r="P69" t="str">
            <v>03020102020201</v>
          </cell>
          <cell r="AD69">
            <v>0</v>
          </cell>
          <cell r="AF69" t="str">
            <v>03020102020201</v>
          </cell>
          <cell r="AN69">
            <v>0</v>
          </cell>
          <cell r="AP69">
            <v>0</v>
          </cell>
          <cell r="AR69" t="str">
            <v>03020102020201</v>
          </cell>
          <cell r="AS69">
            <v>0</v>
          </cell>
        </row>
        <row r="70">
          <cell r="P70" t="str">
            <v>01020101010202</v>
          </cell>
          <cell r="Q70">
            <v>25</v>
          </cell>
          <cell r="R70">
            <v>6</v>
          </cell>
          <cell r="S70">
            <v>25</v>
          </cell>
          <cell r="T70">
            <v>10</v>
          </cell>
          <cell r="W70">
            <v>21</v>
          </cell>
          <cell r="Z70">
            <v>0</v>
          </cell>
          <cell r="AD70">
            <v>87</v>
          </cell>
          <cell r="AF70" t="str">
            <v>01020101010202</v>
          </cell>
          <cell r="AG70">
            <v>38</v>
          </cell>
          <cell r="AH70">
            <v>20</v>
          </cell>
          <cell r="AI70">
            <v>163</v>
          </cell>
          <cell r="AJ70">
            <v>2</v>
          </cell>
          <cell r="AK70">
            <v>304</v>
          </cell>
          <cell r="AM70">
            <v>10</v>
          </cell>
          <cell r="AN70">
            <v>0</v>
          </cell>
          <cell r="AP70">
            <v>479</v>
          </cell>
          <cell r="AR70" t="str">
            <v>01020101010202</v>
          </cell>
          <cell r="AS70">
            <v>0</v>
          </cell>
          <cell r="AV70" t="str">
            <v>01020101010202</v>
          </cell>
          <cell r="AW70">
            <v>200</v>
          </cell>
        </row>
        <row r="71">
          <cell r="P71" t="str">
            <v>01020101020202</v>
          </cell>
          <cell r="Q71">
            <v>25</v>
          </cell>
          <cell r="R71">
            <v>6</v>
          </cell>
          <cell r="S71">
            <v>25</v>
          </cell>
          <cell r="T71">
            <v>10</v>
          </cell>
          <cell r="W71">
            <v>21</v>
          </cell>
          <cell r="Z71">
            <v>0</v>
          </cell>
          <cell r="AD71">
            <v>87</v>
          </cell>
          <cell r="AF71" t="str">
            <v>01020101020202</v>
          </cell>
          <cell r="AG71">
            <v>38</v>
          </cell>
          <cell r="AH71">
            <v>20</v>
          </cell>
          <cell r="AI71">
            <v>163</v>
          </cell>
          <cell r="AJ71">
            <v>2</v>
          </cell>
          <cell r="AK71">
            <v>304</v>
          </cell>
          <cell r="AM71">
            <v>10</v>
          </cell>
          <cell r="AN71">
            <v>0</v>
          </cell>
          <cell r="AP71">
            <v>479</v>
          </cell>
          <cell r="AR71" t="str">
            <v>01020101020202</v>
          </cell>
          <cell r="AS71">
            <v>0</v>
          </cell>
          <cell r="AV71" t="str">
            <v>01020101020202</v>
          </cell>
          <cell r="AW71">
            <v>200</v>
          </cell>
        </row>
        <row r="72">
          <cell r="P72" t="str">
            <v>01020102010202</v>
          </cell>
          <cell r="Q72">
            <v>25</v>
          </cell>
          <cell r="R72">
            <v>6</v>
          </cell>
          <cell r="S72">
            <v>25</v>
          </cell>
          <cell r="T72">
            <v>10</v>
          </cell>
          <cell r="W72">
            <v>21</v>
          </cell>
          <cell r="Z72">
            <v>0</v>
          </cell>
          <cell r="AD72">
            <v>87</v>
          </cell>
          <cell r="AF72" t="str">
            <v>01020102010202</v>
          </cell>
          <cell r="AG72">
            <v>38</v>
          </cell>
          <cell r="AH72">
            <v>20</v>
          </cell>
          <cell r="AI72">
            <v>163</v>
          </cell>
          <cell r="AJ72">
            <v>2</v>
          </cell>
          <cell r="AK72">
            <v>304</v>
          </cell>
          <cell r="AM72">
            <v>10</v>
          </cell>
          <cell r="AN72">
            <v>0</v>
          </cell>
          <cell r="AP72">
            <v>479</v>
          </cell>
          <cell r="AR72" t="str">
            <v>01020102010202</v>
          </cell>
          <cell r="AS72">
            <v>0</v>
          </cell>
          <cell r="AV72" t="str">
            <v>01020102010202</v>
          </cell>
          <cell r="AW72">
            <v>200</v>
          </cell>
        </row>
        <row r="73">
          <cell r="P73" t="str">
            <v>01020202010202</v>
          </cell>
          <cell r="Q73">
            <v>25</v>
          </cell>
          <cell r="R73">
            <v>6</v>
          </cell>
          <cell r="S73">
            <v>25</v>
          </cell>
          <cell r="T73">
            <v>10</v>
          </cell>
          <cell r="W73">
            <v>21</v>
          </cell>
          <cell r="Z73">
            <v>0</v>
          </cell>
          <cell r="AD73">
            <v>87</v>
          </cell>
          <cell r="AF73" t="str">
            <v>01020202010202</v>
          </cell>
          <cell r="AG73">
            <v>38</v>
          </cell>
          <cell r="AH73">
            <v>20</v>
          </cell>
          <cell r="AI73">
            <v>163</v>
          </cell>
          <cell r="AJ73">
            <v>2</v>
          </cell>
          <cell r="AK73">
            <v>304</v>
          </cell>
          <cell r="AM73">
            <v>10</v>
          </cell>
          <cell r="AN73">
            <v>0</v>
          </cell>
          <cell r="AP73">
            <v>479</v>
          </cell>
          <cell r="AR73" t="str">
            <v>01020202010202</v>
          </cell>
          <cell r="AS73">
            <v>0</v>
          </cell>
          <cell r="AV73" t="str">
            <v>01020202010202</v>
          </cell>
          <cell r="AW73">
            <v>200</v>
          </cell>
        </row>
        <row r="74">
          <cell r="P74" t="str">
            <v>01020202020202</v>
          </cell>
          <cell r="Q74">
            <v>25</v>
          </cell>
          <cell r="R74">
            <v>6</v>
          </cell>
          <cell r="S74">
            <v>25</v>
          </cell>
          <cell r="T74">
            <v>10</v>
          </cell>
          <cell r="W74">
            <v>21</v>
          </cell>
          <cell r="Z74">
            <v>0</v>
          </cell>
          <cell r="AD74">
            <v>87</v>
          </cell>
          <cell r="AF74" t="str">
            <v>01020202020202</v>
          </cell>
          <cell r="AG74">
            <v>38</v>
          </cell>
          <cell r="AH74">
            <v>20</v>
          </cell>
          <cell r="AI74">
            <v>163</v>
          </cell>
          <cell r="AJ74">
            <v>2</v>
          </cell>
          <cell r="AK74">
            <v>304</v>
          </cell>
          <cell r="AM74">
            <v>10</v>
          </cell>
          <cell r="AN74">
            <v>0</v>
          </cell>
          <cell r="AP74">
            <v>479</v>
          </cell>
          <cell r="AR74" t="str">
            <v>01020202020202</v>
          </cell>
          <cell r="AS74">
            <v>0</v>
          </cell>
          <cell r="AV74" t="str">
            <v>01020202020202</v>
          </cell>
          <cell r="AW74">
            <v>200</v>
          </cell>
        </row>
        <row r="75">
          <cell r="P75" t="str">
            <v>01020102020202</v>
          </cell>
          <cell r="Q75">
            <v>25</v>
          </cell>
          <cell r="R75">
            <v>6</v>
          </cell>
          <cell r="S75">
            <v>25</v>
          </cell>
          <cell r="T75">
            <v>10</v>
          </cell>
          <cell r="W75">
            <v>21</v>
          </cell>
          <cell r="Z75">
            <v>0</v>
          </cell>
          <cell r="AD75">
            <v>87</v>
          </cell>
          <cell r="AF75" t="str">
            <v>01020102020202</v>
          </cell>
          <cell r="AG75">
            <v>38</v>
          </cell>
          <cell r="AH75">
            <v>20</v>
          </cell>
          <cell r="AI75">
            <v>163</v>
          </cell>
          <cell r="AJ75">
            <v>2</v>
          </cell>
          <cell r="AK75">
            <v>304</v>
          </cell>
          <cell r="AM75">
            <v>10</v>
          </cell>
          <cell r="AN75">
            <v>0</v>
          </cell>
          <cell r="AP75">
            <v>479</v>
          </cell>
          <cell r="AR75" t="str">
            <v>01020102020202</v>
          </cell>
          <cell r="AS75">
            <v>0</v>
          </cell>
          <cell r="AV75" t="str">
            <v>01020102020202</v>
          </cell>
          <cell r="AW75">
            <v>200</v>
          </cell>
        </row>
        <row r="76">
          <cell r="P76" t="str">
            <v>03020601010202</v>
          </cell>
          <cell r="Q76">
            <v>25</v>
          </cell>
          <cell r="R76">
            <v>6</v>
          </cell>
          <cell r="S76">
            <v>25</v>
          </cell>
          <cell r="T76">
            <v>10</v>
          </cell>
          <cell r="W76">
            <v>21</v>
          </cell>
          <cell r="Z76">
            <v>0</v>
          </cell>
          <cell r="AD76">
            <v>87</v>
          </cell>
          <cell r="AF76" t="str">
            <v>03020601010202</v>
          </cell>
          <cell r="AG76">
            <v>38</v>
          </cell>
          <cell r="AH76">
            <v>20</v>
          </cell>
          <cell r="AI76">
            <v>163</v>
          </cell>
          <cell r="AJ76">
            <v>2</v>
          </cell>
          <cell r="AK76">
            <v>304</v>
          </cell>
          <cell r="AM76">
            <v>10</v>
          </cell>
          <cell r="AN76">
            <v>0</v>
          </cell>
          <cell r="AP76">
            <v>479</v>
          </cell>
          <cell r="AR76" t="str">
            <v>03020601010202</v>
          </cell>
          <cell r="AS76">
            <v>0</v>
          </cell>
          <cell r="AV76" t="str">
            <v>03020601010202</v>
          </cell>
          <cell r="AW76">
            <v>200</v>
          </cell>
        </row>
        <row r="77">
          <cell r="P77" t="str">
            <v>03020602010202</v>
          </cell>
          <cell r="Q77">
            <v>25</v>
          </cell>
          <cell r="R77">
            <v>6</v>
          </cell>
          <cell r="S77">
            <v>25</v>
          </cell>
          <cell r="T77">
            <v>10</v>
          </cell>
          <cell r="W77">
            <v>21</v>
          </cell>
          <cell r="Z77">
            <v>0</v>
          </cell>
          <cell r="AD77">
            <v>87</v>
          </cell>
          <cell r="AF77" t="str">
            <v>03020602010202</v>
          </cell>
          <cell r="AG77">
            <v>38</v>
          </cell>
          <cell r="AH77">
            <v>20</v>
          </cell>
          <cell r="AI77">
            <v>163</v>
          </cell>
          <cell r="AJ77">
            <v>2</v>
          </cell>
          <cell r="AK77">
            <v>304</v>
          </cell>
          <cell r="AM77">
            <v>10</v>
          </cell>
          <cell r="AN77">
            <v>0</v>
          </cell>
          <cell r="AP77">
            <v>479</v>
          </cell>
          <cell r="AR77" t="str">
            <v>03020602010202</v>
          </cell>
          <cell r="AS77">
            <v>0</v>
          </cell>
          <cell r="AV77" t="str">
            <v>03020602010202</v>
          </cell>
          <cell r="AW77">
            <v>200</v>
          </cell>
        </row>
        <row r="78">
          <cell r="P78" t="str">
            <v>03020601020202</v>
          </cell>
          <cell r="Q78">
            <v>25</v>
          </cell>
          <cell r="R78">
            <v>6</v>
          </cell>
          <cell r="S78">
            <v>25</v>
          </cell>
          <cell r="T78">
            <v>10</v>
          </cell>
          <cell r="W78">
            <v>21</v>
          </cell>
          <cell r="Z78">
            <v>0</v>
          </cell>
          <cell r="AD78">
            <v>87</v>
          </cell>
          <cell r="AF78" t="str">
            <v>03020601020202</v>
          </cell>
          <cell r="AG78">
            <v>38</v>
          </cell>
          <cell r="AH78">
            <v>20</v>
          </cell>
          <cell r="AI78">
            <v>163</v>
          </cell>
          <cell r="AJ78">
            <v>2</v>
          </cell>
          <cell r="AK78">
            <v>304</v>
          </cell>
          <cell r="AM78">
            <v>10</v>
          </cell>
          <cell r="AN78">
            <v>0</v>
          </cell>
          <cell r="AP78">
            <v>479</v>
          </cell>
          <cell r="AR78" t="str">
            <v>03020601020202</v>
          </cell>
          <cell r="AS78">
            <v>0</v>
          </cell>
          <cell r="AV78" t="str">
            <v>03020601020202</v>
          </cell>
          <cell r="AW78">
            <v>200</v>
          </cell>
        </row>
        <row r="79">
          <cell r="P79" t="str">
            <v>03020602020202</v>
          </cell>
          <cell r="Q79">
            <v>25</v>
          </cell>
          <cell r="R79">
            <v>6</v>
          </cell>
          <cell r="S79">
            <v>25</v>
          </cell>
          <cell r="T79">
            <v>10</v>
          </cell>
          <cell r="W79">
            <v>21</v>
          </cell>
          <cell r="Z79">
            <v>0</v>
          </cell>
          <cell r="AD79">
            <v>87</v>
          </cell>
          <cell r="AF79" t="str">
            <v>03020602020202</v>
          </cell>
          <cell r="AG79">
            <v>38</v>
          </cell>
          <cell r="AH79">
            <v>20</v>
          </cell>
          <cell r="AI79">
            <v>163</v>
          </cell>
          <cell r="AJ79">
            <v>2</v>
          </cell>
          <cell r="AK79">
            <v>304</v>
          </cell>
          <cell r="AM79">
            <v>10</v>
          </cell>
          <cell r="AN79">
            <v>0</v>
          </cell>
          <cell r="AP79">
            <v>479</v>
          </cell>
          <cell r="AR79" t="str">
            <v>03020602020202</v>
          </cell>
          <cell r="AS79">
            <v>0</v>
          </cell>
          <cell r="AV79" t="str">
            <v>03020602020202</v>
          </cell>
          <cell r="AW79">
            <v>200</v>
          </cell>
        </row>
        <row r="80">
          <cell r="P80" t="str">
            <v>03020102020202</v>
          </cell>
          <cell r="Q80">
            <v>25</v>
          </cell>
          <cell r="R80">
            <v>6</v>
          </cell>
          <cell r="S80">
            <v>25</v>
          </cell>
          <cell r="T80">
            <v>10</v>
          </cell>
          <cell r="W80">
            <v>21</v>
          </cell>
          <cell r="Z80">
            <v>0</v>
          </cell>
          <cell r="AD80">
            <v>87</v>
          </cell>
          <cell r="AF80" t="str">
            <v>03020102020202</v>
          </cell>
          <cell r="AG80">
            <v>38</v>
          </cell>
          <cell r="AH80">
            <v>20</v>
          </cell>
          <cell r="AI80">
            <v>163</v>
          </cell>
          <cell r="AJ80">
            <v>2</v>
          </cell>
          <cell r="AK80">
            <v>304</v>
          </cell>
          <cell r="AM80">
            <v>10</v>
          </cell>
          <cell r="AN80">
            <v>0</v>
          </cell>
          <cell r="AP80">
            <v>479</v>
          </cell>
          <cell r="AR80" t="str">
            <v>03020102020202</v>
          </cell>
          <cell r="AS80">
            <v>0</v>
          </cell>
          <cell r="AV80" t="str">
            <v>03020102020202</v>
          </cell>
          <cell r="AW80">
            <v>200</v>
          </cell>
        </row>
        <row r="81">
          <cell r="P81" t="str">
            <v>02020402010202</v>
          </cell>
          <cell r="Q81">
            <v>25</v>
          </cell>
          <cell r="W81">
            <v>21</v>
          </cell>
          <cell r="X81">
            <v>50</v>
          </cell>
          <cell r="Y81">
            <v>6</v>
          </cell>
          <cell r="AD81">
            <v>102</v>
          </cell>
          <cell r="AF81" t="str">
            <v>02020402010202</v>
          </cell>
          <cell r="AG81">
            <v>13</v>
          </cell>
          <cell r="AH81">
            <v>7</v>
          </cell>
          <cell r="AI81">
            <v>59</v>
          </cell>
          <cell r="AJ81">
            <v>2</v>
          </cell>
          <cell r="AK81">
            <v>104</v>
          </cell>
          <cell r="AM81">
            <v>10</v>
          </cell>
          <cell r="AN81">
            <v>0</v>
          </cell>
          <cell r="AP81">
            <v>175</v>
          </cell>
          <cell r="AR81" t="str">
            <v>02020402010202</v>
          </cell>
          <cell r="AS81">
            <v>0</v>
          </cell>
          <cell r="AV81" t="str">
            <v>02020402010202</v>
          </cell>
          <cell r="AW81">
            <v>75</v>
          </cell>
        </row>
        <row r="82">
          <cell r="P82" t="str">
            <v>02020402020202</v>
          </cell>
          <cell r="Q82">
            <v>25</v>
          </cell>
          <cell r="W82">
            <v>21</v>
          </cell>
          <cell r="X82">
            <v>50</v>
          </cell>
          <cell r="Y82">
            <v>6</v>
          </cell>
          <cell r="AD82">
            <v>102</v>
          </cell>
          <cell r="AF82" t="str">
            <v>02020402020202</v>
          </cell>
          <cell r="AG82">
            <v>13</v>
          </cell>
          <cell r="AH82">
            <v>7</v>
          </cell>
          <cell r="AI82">
            <v>59</v>
          </cell>
          <cell r="AJ82">
            <v>2</v>
          </cell>
          <cell r="AK82">
            <v>104</v>
          </cell>
          <cell r="AM82">
            <v>10</v>
          </cell>
          <cell r="AN82">
            <v>0</v>
          </cell>
          <cell r="AP82">
            <v>175</v>
          </cell>
          <cell r="AR82" t="str">
            <v>02020402020202</v>
          </cell>
          <cell r="AS82">
            <v>0</v>
          </cell>
          <cell r="AV82" t="str">
            <v>02020402020202</v>
          </cell>
          <cell r="AW82">
            <v>75</v>
          </cell>
        </row>
        <row r="83">
          <cell r="P83" t="str">
            <v>02020502010202</v>
          </cell>
          <cell r="Q83">
            <v>25</v>
          </cell>
          <cell r="T83">
            <v>10</v>
          </cell>
          <cell r="X83">
            <v>50</v>
          </cell>
          <cell r="Y83">
            <v>6</v>
          </cell>
          <cell r="AD83">
            <v>91</v>
          </cell>
          <cell r="AF83" t="str">
            <v>02020502010202</v>
          </cell>
          <cell r="AG83">
            <v>13</v>
          </cell>
          <cell r="AH83">
            <v>7</v>
          </cell>
          <cell r="AI83">
            <v>59</v>
          </cell>
          <cell r="AJ83">
            <v>2</v>
          </cell>
          <cell r="AK83">
            <v>104</v>
          </cell>
          <cell r="AM83">
            <v>10</v>
          </cell>
          <cell r="AN83">
            <v>0</v>
          </cell>
          <cell r="AP83">
            <v>175</v>
          </cell>
          <cell r="AR83" t="str">
            <v>02020502010202</v>
          </cell>
          <cell r="AS83">
            <v>0</v>
          </cell>
          <cell r="AV83" t="str">
            <v>02020502010202</v>
          </cell>
          <cell r="AW83">
            <v>75</v>
          </cell>
        </row>
        <row r="84">
          <cell r="P84" t="str">
            <v>02020502020202</v>
          </cell>
          <cell r="Q84">
            <v>25</v>
          </cell>
          <cell r="T84">
            <v>10</v>
          </cell>
          <cell r="X84">
            <v>50</v>
          </cell>
          <cell r="Y84">
            <v>6</v>
          </cell>
          <cell r="AD84">
            <v>91</v>
          </cell>
          <cell r="AF84" t="str">
            <v>02020502020202</v>
          </cell>
          <cell r="AG84">
            <v>13</v>
          </cell>
          <cell r="AH84">
            <v>7</v>
          </cell>
          <cell r="AI84">
            <v>59</v>
          </cell>
          <cell r="AJ84">
            <v>2</v>
          </cell>
          <cell r="AK84">
            <v>104</v>
          </cell>
          <cell r="AM84">
            <v>10</v>
          </cell>
          <cell r="AN84">
            <v>0</v>
          </cell>
          <cell r="AP84">
            <v>175</v>
          </cell>
          <cell r="AR84" t="str">
            <v>02020502020202</v>
          </cell>
          <cell r="AS84">
            <v>0</v>
          </cell>
          <cell r="AV84" t="str">
            <v>02020502020202</v>
          </cell>
          <cell r="AW84">
            <v>75</v>
          </cell>
        </row>
        <row r="85">
          <cell r="P85" t="str">
            <v>02020102010202</v>
          </cell>
          <cell r="Q85">
            <v>25</v>
          </cell>
          <cell r="T85">
            <v>10</v>
          </cell>
          <cell r="X85">
            <v>50</v>
          </cell>
          <cell r="Y85">
            <v>6</v>
          </cell>
          <cell r="AD85">
            <v>91</v>
          </cell>
          <cell r="AF85" t="str">
            <v>02020102010202</v>
          </cell>
          <cell r="AG85">
            <v>13</v>
          </cell>
          <cell r="AH85">
            <v>7</v>
          </cell>
          <cell r="AI85">
            <v>59</v>
          </cell>
          <cell r="AJ85">
            <v>2</v>
          </cell>
          <cell r="AK85">
            <v>104</v>
          </cell>
          <cell r="AM85">
            <v>10</v>
          </cell>
          <cell r="AN85">
            <v>0</v>
          </cell>
          <cell r="AP85">
            <v>175</v>
          </cell>
          <cell r="AR85" t="str">
            <v>02020102010202</v>
          </cell>
          <cell r="AS85">
            <v>0</v>
          </cell>
          <cell r="AV85" t="str">
            <v>02020102010202</v>
          </cell>
          <cell r="AW85">
            <v>75</v>
          </cell>
        </row>
        <row r="86">
          <cell r="P86" t="str">
            <v>02020102020202</v>
          </cell>
          <cell r="Q86">
            <v>25</v>
          </cell>
          <cell r="T86">
            <v>10</v>
          </cell>
          <cell r="X86">
            <v>50</v>
          </cell>
          <cell r="Y86">
            <v>6</v>
          </cell>
          <cell r="AD86">
            <v>91</v>
          </cell>
          <cell r="AF86" t="str">
            <v>02020102020202</v>
          </cell>
          <cell r="AG86">
            <v>13</v>
          </cell>
          <cell r="AH86">
            <v>7</v>
          </cell>
          <cell r="AI86">
            <v>59</v>
          </cell>
          <cell r="AJ86">
            <v>2</v>
          </cell>
          <cell r="AK86">
            <v>104</v>
          </cell>
          <cell r="AM86">
            <v>10</v>
          </cell>
          <cell r="AN86">
            <v>0</v>
          </cell>
          <cell r="AP86">
            <v>175</v>
          </cell>
          <cell r="AR86" t="str">
            <v>02020102020202</v>
          </cell>
          <cell r="AS86">
            <v>0</v>
          </cell>
          <cell r="AV86" t="str">
            <v>02020102020202</v>
          </cell>
          <cell r="AW86">
            <v>75</v>
          </cell>
        </row>
        <row r="87">
          <cell r="P87" t="str">
            <v>04020102010202</v>
          </cell>
          <cell r="Q87">
            <v>25</v>
          </cell>
          <cell r="R87">
            <v>6</v>
          </cell>
          <cell r="S87">
            <v>25</v>
          </cell>
          <cell r="T87">
            <v>10</v>
          </cell>
          <cell r="W87">
            <v>21</v>
          </cell>
          <cell r="AD87">
            <v>87</v>
          </cell>
          <cell r="AF87" t="str">
            <v>04020102010202</v>
          </cell>
          <cell r="AG87">
            <v>38</v>
          </cell>
          <cell r="AH87">
            <v>20</v>
          </cell>
          <cell r="AI87">
            <v>163</v>
          </cell>
          <cell r="AJ87">
            <v>2</v>
          </cell>
          <cell r="AK87">
            <v>304</v>
          </cell>
          <cell r="AM87">
            <v>10</v>
          </cell>
          <cell r="AN87">
            <v>0</v>
          </cell>
          <cell r="AP87">
            <v>479</v>
          </cell>
          <cell r="AR87" t="str">
            <v>04020102010202</v>
          </cell>
          <cell r="AS87">
            <v>0</v>
          </cell>
          <cell r="AV87" t="str">
            <v>04020102010202</v>
          </cell>
          <cell r="AW87">
            <v>200</v>
          </cell>
        </row>
        <row r="88">
          <cell r="P88" t="str">
            <v>04020102020202</v>
          </cell>
          <cell r="Q88">
            <v>25</v>
          </cell>
          <cell r="R88">
            <v>6</v>
          </cell>
          <cell r="S88">
            <v>25</v>
          </cell>
          <cell r="T88">
            <v>10</v>
          </cell>
          <cell r="W88">
            <v>21</v>
          </cell>
          <cell r="AD88">
            <v>87</v>
          </cell>
          <cell r="AF88" t="str">
            <v>04020102020202</v>
          </cell>
          <cell r="AG88">
            <v>38</v>
          </cell>
          <cell r="AH88">
            <v>20</v>
          </cell>
          <cell r="AI88">
            <v>163</v>
          </cell>
          <cell r="AJ88">
            <v>2</v>
          </cell>
          <cell r="AK88">
            <v>304</v>
          </cell>
          <cell r="AM88">
            <v>10</v>
          </cell>
          <cell r="AN88">
            <v>0</v>
          </cell>
          <cell r="AP88">
            <v>479</v>
          </cell>
          <cell r="AR88" t="str">
            <v>04020102020202</v>
          </cell>
          <cell r="AS88">
            <v>0</v>
          </cell>
          <cell r="AV88" t="str">
            <v>04020102020202</v>
          </cell>
          <cell r="AW88">
            <v>200</v>
          </cell>
        </row>
        <row r="89">
          <cell r="P89" t="str">
            <v>07010102010202</v>
          </cell>
          <cell r="Q89">
            <v>25</v>
          </cell>
          <cell r="T89">
            <v>10</v>
          </cell>
          <cell r="X89">
            <v>50</v>
          </cell>
          <cell r="Y89">
            <v>6</v>
          </cell>
          <cell r="AD89">
            <v>91</v>
          </cell>
          <cell r="AF89" t="str">
            <v>07010102010202</v>
          </cell>
          <cell r="AG89">
            <v>13</v>
          </cell>
          <cell r="AH89">
            <v>7</v>
          </cell>
          <cell r="AI89">
            <v>59</v>
          </cell>
          <cell r="AJ89">
            <v>2</v>
          </cell>
          <cell r="AK89">
            <v>104</v>
          </cell>
          <cell r="AM89">
            <v>10</v>
          </cell>
          <cell r="AN89">
            <v>0</v>
          </cell>
          <cell r="AP89">
            <v>175</v>
          </cell>
          <cell r="AR89" t="str">
            <v>07010102010202</v>
          </cell>
          <cell r="AS89">
            <v>0</v>
          </cell>
          <cell r="AV89" t="str">
            <v>07010102010202</v>
          </cell>
          <cell r="AW89">
            <v>75</v>
          </cell>
        </row>
        <row r="90">
          <cell r="P90" t="str">
            <v>07010102020202</v>
          </cell>
          <cell r="Q90">
            <v>25</v>
          </cell>
          <cell r="T90">
            <v>10</v>
          </cell>
          <cell r="X90">
            <v>50</v>
          </cell>
          <cell r="Y90">
            <v>6</v>
          </cell>
          <cell r="AD90">
            <v>91</v>
          </cell>
          <cell r="AF90" t="str">
            <v>07010102020202</v>
          </cell>
          <cell r="AG90">
            <v>13</v>
          </cell>
          <cell r="AH90">
            <v>7</v>
          </cell>
          <cell r="AI90">
            <v>59</v>
          </cell>
          <cell r="AJ90">
            <v>2</v>
          </cell>
          <cell r="AK90">
            <v>104</v>
          </cell>
          <cell r="AM90">
            <v>10</v>
          </cell>
          <cell r="AN90">
            <v>0</v>
          </cell>
          <cell r="AP90">
            <v>175</v>
          </cell>
          <cell r="AR90" t="str">
            <v>07010102020202</v>
          </cell>
          <cell r="AS90">
            <v>0</v>
          </cell>
          <cell r="AV90" t="str">
            <v>07010102020202</v>
          </cell>
          <cell r="AW90">
            <v>75</v>
          </cell>
        </row>
        <row r="91">
          <cell r="P91" t="str">
            <v>07020102010202</v>
          </cell>
          <cell r="Q91">
            <v>25</v>
          </cell>
          <cell r="T91">
            <v>10</v>
          </cell>
          <cell r="X91">
            <v>50</v>
          </cell>
          <cell r="Y91">
            <v>6</v>
          </cell>
          <cell r="AD91">
            <v>91</v>
          </cell>
          <cell r="AF91" t="str">
            <v>07020102010202</v>
          </cell>
          <cell r="AG91">
            <v>13</v>
          </cell>
          <cell r="AH91">
            <v>7</v>
          </cell>
          <cell r="AI91">
            <v>59</v>
          </cell>
          <cell r="AJ91">
            <v>2</v>
          </cell>
          <cell r="AK91">
            <v>104</v>
          </cell>
          <cell r="AM91">
            <v>10</v>
          </cell>
          <cell r="AN91">
            <v>0</v>
          </cell>
          <cell r="AP91">
            <v>175</v>
          </cell>
          <cell r="AR91" t="str">
            <v>07020102010202</v>
          </cell>
          <cell r="AS91">
            <v>0</v>
          </cell>
          <cell r="AV91" t="str">
            <v>07020102010202</v>
          </cell>
          <cell r="AW91">
            <v>75</v>
          </cell>
        </row>
        <row r="92">
          <cell r="P92" t="str">
            <v>07020102020202</v>
          </cell>
          <cell r="Q92">
            <v>25</v>
          </cell>
          <cell r="T92">
            <v>10</v>
          </cell>
          <cell r="X92">
            <v>50</v>
          </cell>
          <cell r="Y92">
            <v>6</v>
          </cell>
          <cell r="AD92">
            <v>91</v>
          </cell>
          <cell r="AF92" t="str">
            <v>07020102020202</v>
          </cell>
          <cell r="AG92">
            <v>13</v>
          </cell>
          <cell r="AH92">
            <v>7</v>
          </cell>
          <cell r="AI92">
            <v>59</v>
          </cell>
          <cell r="AJ92">
            <v>2</v>
          </cell>
          <cell r="AK92">
            <v>104</v>
          </cell>
          <cell r="AM92">
            <v>10</v>
          </cell>
          <cell r="AN92">
            <v>0</v>
          </cell>
          <cell r="AP92">
            <v>175</v>
          </cell>
          <cell r="AR92" t="str">
            <v>07020102020202</v>
          </cell>
          <cell r="AS92">
            <v>0</v>
          </cell>
          <cell r="AV92" t="str">
            <v>07020102020202</v>
          </cell>
          <cell r="AW92">
            <v>75</v>
          </cell>
        </row>
        <row r="93">
          <cell r="P93" t="str">
            <v>01030101010101</v>
          </cell>
          <cell r="Q93">
            <v>0</v>
          </cell>
          <cell r="T93">
            <v>10</v>
          </cell>
          <cell r="U93">
            <v>8</v>
          </cell>
          <cell r="V93">
            <v>8</v>
          </cell>
          <cell r="W93">
            <v>31</v>
          </cell>
          <cell r="X93">
            <v>0</v>
          </cell>
          <cell r="Y93">
            <v>21</v>
          </cell>
          <cell r="Z93">
            <v>8</v>
          </cell>
          <cell r="AB93">
            <v>25</v>
          </cell>
          <cell r="AC93">
            <v>0</v>
          </cell>
          <cell r="AD93">
            <v>111</v>
          </cell>
          <cell r="AF93" t="str">
            <v>01030101010101</v>
          </cell>
          <cell r="AG93">
            <v>13</v>
          </cell>
          <cell r="AH93">
            <v>26</v>
          </cell>
          <cell r="AI93">
            <v>2</v>
          </cell>
          <cell r="AJ93">
            <v>7</v>
          </cell>
          <cell r="AK93">
            <v>208</v>
          </cell>
          <cell r="AL93">
            <v>2.7</v>
          </cell>
          <cell r="AN93">
            <v>0</v>
          </cell>
          <cell r="AO93">
            <v>10</v>
          </cell>
          <cell r="AP93">
            <v>255.7</v>
          </cell>
          <cell r="AR93" t="str">
            <v>01030101010101</v>
          </cell>
          <cell r="AS93">
            <v>0</v>
          </cell>
        </row>
        <row r="94">
          <cell r="P94" t="str">
            <v>01030101020101</v>
          </cell>
          <cell r="Q94">
            <v>0</v>
          </cell>
          <cell r="T94">
            <v>10</v>
          </cell>
          <cell r="U94">
            <v>8</v>
          </cell>
          <cell r="V94">
            <v>8</v>
          </cell>
          <cell r="W94">
            <v>31</v>
          </cell>
          <cell r="X94">
            <v>0</v>
          </cell>
          <cell r="Y94">
            <v>21</v>
          </cell>
          <cell r="Z94">
            <v>8</v>
          </cell>
          <cell r="AB94">
            <v>25</v>
          </cell>
          <cell r="AD94">
            <v>111</v>
          </cell>
          <cell r="AF94" t="str">
            <v>01030101020101</v>
          </cell>
          <cell r="AG94">
            <v>13</v>
          </cell>
          <cell r="AH94">
            <v>26</v>
          </cell>
          <cell r="AI94">
            <v>2</v>
          </cell>
          <cell r="AJ94">
            <v>7</v>
          </cell>
          <cell r="AK94">
            <v>208</v>
          </cell>
          <cell r="AL94">
            <v>2.7</v>
          </cell>
          <cell r="AN94">
            <v>0</v>
          </cell>
          <cell r="AO94">
            <v>10</v>
          </cell>
          <cell r="AP94">
            <v>255.7</v>
          </cell>
          <cell r="AR94" t="str">
            <v>01030101020101</v>
          </cell>
          <cell r="AS94">
            <v>0</v>
          </cell>
        </row>
        <row r="95">
          <cell r="P95" t="str">
            <v>01030102010101</v>
          </cell>
          <cell r="Q95">
            <v>0</v>
          </cell>
          <cell r="T95">
            <v>10</v>
          </cell>
          <cell r="U95">
            <v>8</v>
          </cell>
          <cell r="V95">
            <v>8</v>
          </cell>
          <cell r="X95">
            <v>0</v>
          </cell>
          <cell r="AD95">
            <v>26</v>
          </cell>
          <cell r="AF95" t="str">
            <v>01030102010101</v>
          </cell>
          <cell r="AG95">
            <v>13</v>
          </cell>
          <cell r="AH95">
            <v>26</v>
          </cell>
          <cell r="AI95">
            <v>2</v>
          </cell>
          <cell r="AJ95">
            <v>7</v>
          </cell>
          <cell r="AK95">
            <v>208</v>
          </cell>
          <cell r="AL95">
            <v>2.7</v>
          </cell>
          <cell r="AN95">
            <v>0</v>
          </cell>
          <cell r="AO95">
            <v>10</v>
          </cell>
          <cell r="AP95">
            <v>255.7</v>
          </cell>
          <cell r="AR95" t="str">
            <v>01030102010101</v>
          </cell>
          <cell r="AS95">
            <v>0</v>
          </cell>
        </row>
        <row r="96">
          <cell r="P96" t="str">
            <v>01030102020101</v>
          </cell>
          <cell r="Q96">
            <v>0</v>
          </cell>
          <cell r="T96">
            <v>10</v>
          </cell>
          <cell r="U96">
            <v>8</v>
          </cell>
          <cell r="V96">
            <v>8</v>
          </cell>
          <cell r="X96">
            <v>0</v>
          </cell>
          <cell r="AD96">
            <v>26</v>
          </cell>
          <cell r="AF96" t="str">
            <v>01030102020101</v>
          </cell>
          <cell r="AG96">
            <v>13</v>
          </cell>
          <cell r="AH96">
            <v>26</v>
          </cell>
          <cell r="AI96">
            <v>2</v>
          </cell>
          <cell r="AJ96">
            <v>7</v>
          </cell>
          <cell r="AK96">
            <v>208</v>
          </cell>
          <cell r="AL96">
            <v>2.7</v>
          </cell>
          <cell r="AN96">
            <v>0</v>
          </cell>
          <cell r="AO96">
            <v>10</v>
          </cell>
          <cell r="AP96">
            <v>255.7</v>
          </cell>
          <cell r="AR96" t="str">
            <v>01030102020101</v>
          </cell>
          <cell r="AS96">
            <v>0</v>
          </cell>
        </row>
        <row r="97">
          <cell r="P97" t="str">
            <v>01030101010201</v>
          </cell>
          <cell r="AD97">
            <v>0</v>
          </cell>
          <cell r="AF97" t="str">
            <v>01030101010201</v>
          </cell>
          <cell r="AP97">
            <v>0</v>
          </cell>
          <cell r="AR97" t="str">
            <v>01030101010201</v>
          </cell>
          <cell r="AS97">
            <v>0</v>
          </cell>
        </row>
        <row r="98">
          <cell r="P98" t="str">
            <v>01030101020201</v>
          </cell>
          <cell r="AD98">
            <v>0</v>
          </cell>
          <cell r="AF98" t="str">
            <v>01030101020201</v>
          </cell>
          <cell r="AP98">
            <v>0</v>
          </cell>
          <cell r="AR98" t="str">
            <v>01030101020201</v>
          </cell>
          <cell r="AS98">
            <v>0</v>
          </cell>
        </row>
        <row r="99">
          <cell r="P99" t="str">
            <v>01030102010201</v>
          </cell>
          <cell r="AD99">
            <v>0</v>
          </cell>
          <cell r="AF99" t="str">
            <v>01030102010201</v>
          </cell>
          <cell r="AP99">
            <v>0</v>
          </cell>
          <cell r="AR99" t="str">
            <v>01030102010201</v>
          </cell>
          <cell r="AS99">
            <v>0</v>
          </cell>
        </row>
        <row r="100">
          <cell r="P100" t="str">
            <v>01030102020201</v>
          </cell>
          <cell r="AD100">
            <v>0</v>
          </cell>
          <cell r="AF100" t="str">
            <v>01030102020201</v>
          </cell>
          <cell r="AP100">
            <v>0</v>
          </cell>
          <cell r="AR100" t="str">
            <v>01030102020201</v>
          </cell>
          <cell r="AS100">
            <v>0</v>
          </cell>
        </row>
        <row r="101">
          <cell r="P101" t="str">
            <v>01030101010202</v>
          </cell>
          <cell r="Q101">
            <v>25</v>
          </cell>
          <cell r="R101">
            <v>6</v>
          </cell>
          <cell r="S101">
            <v>25</v>
          </cell>
          <cell r="T101">
            <v>10</v>
          </cell>
          <cell r="W101">
            <v>21</v>
          </cell>
          <cell r="Z101">
            <v>0</v>
          </cell>
          <cell r="AD101">
            <v>0</v>
          </cell>
          <cell r="AF101" t="str">
            <v>01030101010202</v>
          </cell>
          <cell r="AG101">
            <v>38</v>
          </cell>
          <cell r="AH101">
            <v>20</v>
          </cell>
          <cell r="AI101">
            <v>163</v>
          </cell>
          <cell r="AJ101">
            <v>2</v>
          </cell>
          <cell r="AK101">
            <v>304</v>
          </cell>
          <cell r="AM101">
            <v>10</v>
          </cell>
          <cell r="AN101">
            <v>0</v>
          </cell>
          <cell r="AP101">
            <v>0</v>
          </cell>
          <cell r="AR101" t="str">
            <v>01030101010202</v>
          </cell>
          <cell r="AV101" t="str">
            <v>01030101010202</v>
          </cell>
          <cell r="AW101">
            <v>0</v>
          </cell>
        </row>
        <row r="102">
          <cell r="P102" t="str">
            <v>01030101020202</v>
          </cell>
          <cell r="Q102">
            <v>25</v>
          </cell>
          <cell r="R102">
            <v>6</v>
          </cell>
          <cell r="S102">
            <v>25</v>
          </cell>
          <cell r="T102">
            <v>10</v>
          </cell>
          <cell r="W102">
            <v>21</v>
          </cell>
          <cell r="Z102">
            <v>0</v>
          </cell>
          <cell r="AD102">
            <v>0</v>
          </cell>
          <cell r="AF102" t="str">
            <v>01030101020202</v>
          </cell>
          <cell r="AG102">
            <v>38</v>
          </cell>
          <cell r="AH102">
            <v>20</v>
          </cell>
          <cell r="AI102">
            <v>163</v>
          </cell>
          <cell r="AJ102">
            <v>2</v>
          </cell>
          <cell r="AK102">
            <v>304</v>
          </cell>
          <cell r="AM102">
            <v>10</v>
          </cell>
          <cell r="AN102">
            <v>0</v>
          </cell>
          <cell r="AP102">
            <v>0</v>
          </cell>
          <cell r="AR102" t="str">
            <v>01030101020202</v>
          </cell>
          <cell r="AV102" t="str">
            <v>01030101020202</v>
          </cell>
          <cell r="AW102">
            <v>0</v>
          </cell>
        </row>
        <row r="103">
          <cell r="P103" t="str">
            <v>01030102010202</v>
          </cell>
          <cell r="Q103">
            <v>25</v>
          </cell>
          <cell r="R103">
            <v>6</v>
          </cell>
          <cell r="S103">
            <v>25</v>
          </cell>
          <cell r="T103">
            <v>10</v>
          </cell>
          <cell r="W103">
            <v>21</v>
          </cell>
          <cell r="Z103">
            <v>0</v>
          </cell>
          <cell r="AD103">
            <v>0</v>
          </cell>
          <cell r="AF103" t="str">
            <v>01030102010202</v>
          </cell>
          <cell r="AG103">
            <v>38</v>
          </cell>
          <cell r="AH103">
            <v>20</v>
          </cell>
          <cell r="AI103">
            <v>163</v>
          </cell>
          <cell r="AJ103">
            <v>2</v>
          </cell>
          <cell r="AK103">
            <v>304</v>
          </cell>
          <cell r="AM103">
            <v>10</v>
          </cell>
          <cell r="AN103">
            <v>0</v>
          </cell>
          <cell r="AP103">
            <v>0</v>
          </cell>
          <cell r="AR103" t="str">
            <v>01030102010202</v>
          </cell>
          <cell r="AV103" t="str">
            <v>01030102010202</v>
          </cell>
          <cell r="AW103">
            <v>0</v>
          </cell>
        </row>
        <row r="104">
          <cell r="P104" t="str">
            <v>01030102020202</v>
          </cell>
          <cell r="Q104">
            <v>25</v>
          </cell>
          <cell r="R104">
            <v>6</v>
          </cell>
          <cell r="S104">
            <v>25</v>
          </cell>
          <cell r="T104">
            <v>10</v>
          </cell>
          <cell r="W104">
            <v>21</v>
          </cell>
          <cell r="Z104">
            <v>0</v>
          </cell>
          <cell r="AD104">
            <v>0</v>
          </cell>
          <cell r="AF104" t="str">
            <v>01030102020202</v>
          </cell>
          <cell r="AG104">
            <v>38</v>
          </cell>
          <cell r="AH104">
            <v>20</v>
          </cell>
          <cell r="AI104">
            <v>163</v>
          </cell>
          <cell r="AJ104">
            <v>2</v>
          </cell>
          <cell r="AK104">
            <v>304</v>
          </cell>
          <cell r="AM104">
            <v>10</v>
          </cell>
          <cell r="AN104">
            <v>0</v>
          </cell>
          <cell r="AP104">
            <v>0</v>
          </cell>
          <cell r="AR104" t="str">
            <v>01030102020202</v>
          </cell>
          <cell r="AV104" t="str">
            <v>01030102020202</v>
          </cell>
          <cell r="AW104">
            <v>0</v>
          </cell>
        </row>
      </sheetData>
      <sheetData sheetId="9">
        <row r="2">
          <cell r="B2">
            <v>0</v>
          </cell>
          <cell r="C2">
            <v>250</v>
          </cell>
          <cell r="G2">
            <v>0</v>
          </cell>
          <cell r="H2">
            <v>250</v>
          </cell>
          <cell r="L2">
            <v>0</v>
          </cell>
          <cell r="M2">
            <v>250</v>
          </cell>
        </row>
        <row r="3">
          <cell r="B3">
            <v>5001</v>
          </cell>
          <cell r="C3">
            <v>250</v>
          </cell>
          <cell r="G3">
            <v>5001</v>
          </cell>
          <cell r="H3">
            <v>250</v>
          </cell>
          <cell r="L3">
            <v>5001</v>
          </cell>
          <cell r="M3">
            <v>250</v>
          </cell>
        </row>
        <row r="4">
          <cell r="B4">
            <v>18001</v>
          </cell>
          <cell r="C4">
            <v>250</v>
          </cell>
          <cell r="G4">
            <v>18001</v>
          </cell>
          <cell r="H4">
            <v>250</v>
          </cell>
          <cell r="L4">
            <v>18001</v>
          </cell>
          <cell r="M4">
            <v>250</v>
          </cell>
        </row>
        <row r="5">
          <cell r="B5">
            <v>25001</v>
          </cell>
          <cell r="C5">
            <v>250</v>
          </cell>
          <cell r="G5">
            <v>25001</v>
          </cell>
          <cell r="H5">
            <v>250</v>
          </cell>
          <cell r="L5">
            <v>25001</v>
          </cell>
          <cell r="M5">
            <v>250</v>
          </cell>
        </row>
        <row r="6">
          <cell r="B6">
            <v>30001</v>
          </cell>
          <cell r="C6">
            <v>250</v>
          </cell>
          <cell r="G6">
            <v>30001</v>
          </cell>
          <cell r="H6">
            <v>250</v>
          </cell>
          <cell r="L6">
            <v>30001</v>
          </cell>
          <cell r="M6">
            <v>250</v>
          </cell>
        </row>
        <row r="7">
          <cell r="B7">
            <v>40001</v>
          </cell>
          <cell r="C7">
            <v>300</v>
          </cell>
          <cell r="G7">
            <v>40001</v>
          </cell>
          <cell r="H7">
            <v>300</v>
          </cell>
          <cell r="L7">
            <v>40001</v>
          </cell>
          <cell r="M7">
            <v>300</v>
          </cell>
        </row>
        <row r="8">
          <cell r="B8">
            <v>50001</v>
          </cell>
          <cell r="C8">
            <v>300</v>
          </cell>
          <cell r="G8">
            <v>50001</v>
          </cell>
          <cell r="H8">
            <v>300</v>
          </cell>
          <cell r="L8">
            <v>50001</v>
          </cell>
          <cell r="M8">
            <v>300</v>
          </cell>
        </row>
        <row r="9">
          <cell r="B9">
            <v>62501</v>
          </cell>
          <cell r="C9">
            <v>350</v>
          </cell>
          <cell r="G9">
            <v>62501</v>
          </cell>
          <cell r="H9">
            <v>350</v>
          </cell>
          <cell r="L9">
            <v>62501</v>
          </cell>
          <cell r="M9">
            <v>350</v>
          </cell>
        </row>
        <row r="10">
          <cell r="B10">
            <v>70001</v>
          </cell>
          <cell r="C10">
            <v>350</v>
          </cell>
          <cell r="G10">
            <v>70001</v>
          </cell>
          <cell r="H10">
            <v>350</v>
          </cell>
          <cell r="L10">
            <v>70001</v>
          </cell>
          <cell r="M10">
            <v>350</v>
          </cell>
        </row>
        <row r="11">
          <cell r="B11">
            <v>80001</v>
          </cell>
          <cell r="C11">
            <v>500</v>
          </cell>
          <cell r="G11">
            <v>80001</v>
          </cell>
          <cell r="H11">
            <v>500</v>
          </cell>
          <cell r="L11">
            <v>80001</v>
          </cell>
          <cell r="M11">
            <v>500</v>
          </cell>
        </row>
        <row r="12">
          <cell r="B12">
            <v>90001</v>
          </cell>
          <cell r="C12">
            <v>500</v>
          </cell>
          <cell r="G12">
            <v>90001</v>
          </cell>
          <cell r="H12">
            <v>500</v>
          </cell>
          <cell r="L12">
            <v>90001</v>
          </cell>
          <cell r="M12">
            <v>500</v>
          </cell>
        </row>
        <row r="13">
          <cell r="B13">
            <v>125001</v>
          </cell>
          <cell r="C13">
            <v>500</v>
          </cell>
          <cell r="G13">
            <v>125001</v>
          </cell>
          <cell r="H13">
            <v>500</v>
          </cell>
          <cell r="L13">
            <v>125001</v>
          </cell>
          <cell r="M13">
            <v>500</v>
          </cell>
        </row>
        <row r="14">
          <cell r="B14">
            <v>150001</v>
          </cell>
          <cell r="C14">
            <v>500</v>
          </cell>
          <cell r="G14">
            <v>150001</v>
          </cell>
          <cell r="H14">
            <v>500</v>
          </cell>
          <cell r="L14">
            <v>150001</v>
          </cell>
          <cell r="M14">
            <v>500</v>
          </cell>
        </row>
        <row r="15">
          <cell r="B15">
            <v>175001</v>
          </cell>
          <cell r="C15">
            <v>500</v>
          </cell>
          <cell r="G15">
            <v>175001</v>
          </cell>
          <cell r="H15">
            <v>500</v>
          </cell>
          <cell r="L15">
            <v>175001</v>
          </cell>
          <cell r="M15">
            <v>500</v>
          </cell>
        </row>
        <row r="16">
          <cell r="B16">
            <v>200001</v>
          </cell>
          <cell r="C16">
            <v>500</v>
          </cell>
          <cell r="G16">
            <v>200001</v>
          </cell>
          <cell r="H16">
            <v>500</v>
          </cell>
          <cell r="L16">
            <v>200001</v>
          </cell>
          <cell r="M16">
            <v>500</v>
          </cell>
        </row>
        <row r="17">
          <cell r="B17">
            <v>250001</v>
          </cell>
          <cell r="C17">
            <v>500</v>
          </cell>
          <cell r="G17">
            <v>250001</v>
          </cell>
          <cell r="H17">
            <v>500</v>
          </cell>
          <cell r="L17">
            <v>250001</v>
          </cell>
          <cell r="M17">
            <v>500</v>
          </cell>
        </row>
        <row r="18">
          <cell r="B18">
            <v>300001</v>
          </cell>
          <cell r="C18">
            <v>500</v>
          </cell>
          <cell r="G18">
            <v>300001</v>
          </cell>
          <cell r="H18">
            <v>500</v>
          </cell>
          <cell r="L18">
            <v>300001</v>
          </cell>
          <cell r="M18">
            <v>500</v>
          </cell>
        </row>
        <row r="19">
          <cell r="B19">
            <v>350001</v>
          </cell>
          <cell r="C19">
            <v>500</v>
          </cell>
          <cell r="G19">
            <v>350001</v>
          </cell>
          <cell r="H19">
            <v>500</v>
          </cell>
          <cell r="L19">
            <v>350001</v>
          </cell>
          <cell r="M19">
            <v>500</v>
          </cell>
        </row>
        <row r="20">
          <cell r="B20">
            <v>451001</v>
          </cell>
          <cell r="C20">
            <v>500</v>
          </cell>
          <cell r="G20">
            <v>451001</v>
          </cell>
          <cell r="H20">
            <v>500</v>
          </cell>
          <cell r="L20">
            <v>451001</v>
          </cell>
          <cell r="M20">
            <v>500</v>
          </cell>
        </row>
        <row r="25">
          <cell r="B25">
            <v>0</v>
          </cell>
          <cell r="C25">
            <v>140</v>
          </cell>
          <cell r="G25">
            <v>0</v>
          </cell>
          <cell r="H25">
            <v>250</v>
          </cell>
          <cell r="L25">
            <v>0</v>
          </cell>
          <cell r="M25">
            <v>140</v>
          </cell>
        </row>
        <row r="26">
          <cell r="B26">
            <v>5001</v>
          </cell>
          <cell r="C26">
            <v>140</v>
          </cell>
          <cell r="G26">
            <v>5001</v>
          </cell>
          <cell r="H26">
            <v>250</v>
          </cell>
          <cell r="L26">
            <v>5001</v>
          </cell>
          <cell r="M26">
            <v>140</v>
          </cell>
        </row>
        <row r="27">
          <cell r="B27">
            <v>18001</v>
          </cell>
          <cell r="C27">
            <v>150</v>
          </cell>
          <cell r="L27">
            <v>18001</v>
          </cell>
          <cell r="M27">
            <v>150</v>
          </cell>
        </row>
        <row r="28">
          <cell r="B28">
            <v>25001</v>
          </cell>
          <cell r="C28">
            <v>160</v>
          </cell>
          <cell r="L28">
            <v>25001</v>
          </cell>
          <cell r="M28">
            <v>160</v>
          </cell>
        </row>
        <row r="29">
          <cell r="B29">
            <v>30001</v>
          </cell>
          <cell r="C29">
            <v>160</v>
          </cell>
          <cell r="L29">
            <v>30001</v>
          </cell>
          <cell r="M29">
            <v>160</v>
          </cell>
        </row>
        <row r="30">
          <cell r="B30">
            <v>40001</v>
          </cell>
          <cell r="C30">
            <v>210</v>
          </cell>
          <cell r="L30">
            <v>40001</v>
          </cell>
          <cell r="M30">
            <v>210</v>
          </cell>
        </row>
        <row r="31">
          <cell r="B31">
            <v>50001</v>
          </cell>
          <cell r="C31">
            <v>230</v>
          </cell>
          <cell r="G31">
            <v>0</v>
          </cell>
          <cell r="H31">
            <v>400</v>
          </cell>
          <cell r="L31">
            <v>50001</v>
          </cell>
          <cell r="M31">
            <v>230</v>
          </cell>
        </row>
        <row r="32">
          <cell r="B32">
            <v>62501</v>
          </cell>
          <cell r="C32">
            <v>230</v>
          </cell>
          <cell r="G32">
            <v>5001</v>
          </cell>
          <cell r="H32">
            <v>400</v>
          </cell>
          <cell r="L32">
            <v>62501</v>
          </cell>
          <cell r="M32">
            <v>230</v>
          </cell>
        </row>
        <row r="33">
          <cell r="B33">
            <v>70001</v>
          </cell>
          <cell r="C33">
            <v>230</v>
          </cell>
          <cell r="G33">
            <v>25001</v>
          </cell>
          <cell r="H33">
            <v>400</v>
          </cell>
          <cell r="L33">
            <v>70001</v>
          </cell>
          <cell r="M33">
            <v>230</v>
          </cell>
        </row>
        <row r="34">
          <cell r="B34">
            <v>80001</v>
          </cell>
          <cell r="C34">
            <v>230</v>
          </cell>
          <cell r="G34">
            <v>40001</v>
          </cell>
          <cell r="H34">
            <v>400</v>
          </cell>
          <cell r="L34">
            <v>80001</v>
          </cell>
          <cell r="M34">
            <v>230</v>
          </cell>
        </row>
        <row r="35">
          <cell r="B35">
            <v>90001</v>
          </cell>
          <cell r="C35">
            <v>240</v>
          </cell>
          <cell r="G35">
            <v>62501</v>
          </cell>
          <cell r="H35">
            <v>400</v>
          </cell>
          <cell r="L35">
            <v>90001</v>
          </cell>
          <cell r="M35">
            <v>240</v>
          </cell>
        </row>
        <row r="36">
          <cell r="B36">
            <v>125001</v>
          </cell>
          <cell r="C36">
            <v>330</v>
          </cell>
          <cell r="G36">
            <v>80001</v>
          </cell>
          <cell r="H36">
            <v>400</v>
          </cell>
          <cell r="L36">
            <v>125001</v>
          </cell>
          <cell r="M36">
            <v>330</v>
          </cell>
        </row>
        <row r="37">
          <cell r="B37">
            <v>150001</v>
          </cell>
          <cell r="C37">
            <v>330</v>
          </cell>
          <cell r="G37">
            <v>100001</v>
          </cell>
          <cell r="H37">
            <v>400</v>
          </cell>
          <cell r="L37">
            <v>150001</v>
          </cell>
          <cell r="M37">
            <v>330</v>
          </cell>
        </row>
        <row r="38">
          <cell r="B38">
            <v>175001</v>
          </cell>
          <cell r="C38">
            <v>330</v>
          </cell>
          <cell r="G38">
            <v>150001</v>
          </cell>
          <cell r="H38">
            <v>400</v>
          </cell>
          <cell r="L38">
            <v>175001</v>
          </cell>
          <cell r="M38">
            <v>330</v>
          </cell>
        </row>
        <row r="39">
          <cell r="B39">
            <v>200001</v>
          </cell>
          <cell r="C39">
            <v>330</v>
          </cell>
          <cell r="G39">
            <v>200001</v>
          </cell>
          <cell r="H39">
            <v>400</v>
          </cell>
          <cell r="L39">
            <v>200001</v>
          </cell>
          <cell r="M39">
            <v>330</v>
          </cell>
        </row>
        <row r="40">
          <cell r="B40">
            <v>250001</v>
          </cell>
          <cell r="C40">
            <v>330</v>
          </cell>
          <cell r="G40">
            <v>250001</v>
          </cell>
          <cell r="H40">
            <v>400</v>
          </cell>
          <cell r="L40">
            <v>250001</v>
          </cell>
          <cell r="M40">
            <v>330</v>
          </cell>
        </row>
        <row r="41">
          <cell r="B41">
            <v>300001</v>
          </cell>
          <cell r="C41">
            <v>330</v>
          </cell>
          <cell r="G41">
            <v>350001</v>
          </cell>
          <cell r="H41">
            <v>400</v>
          </cell>
          <cell r="L41">
            <v>300001</v>
          </cell>
          <cell r="M41">
            <v>330</v>
          </cell>
        </row>
        <row r="42">
          <cell r="B42">
            <v>350001</v>
          </cell>
          <cell r="C42">
            <v>370</v>
          </cell>
          <cell r="L42">
            <v>350001</v>
          </cell>
          <cell r="M42">
            <v>370</v>
          </cell>
        </row>
        <row r="43">
          <cell r="B43">
            <v>451001</v>
          </cell>
          <cell r="C43">
            <v>370</v>
          </cell>
          <cell r="L43">
            <v>451000</v>
          </cell>
          <cell r="M43">
            <v>370</v>
          </cell>
        </row>
        <row r="47">
          <cell r="B47">
            <v>0</v>
          </cell>
          <cell r="C47">
            <v>250</v>
          </cell>
        </row>
        <row r="48">
          <cell r="B48">
            <v>21001</v>
          </cell>
          <cell r="C48">
            <v>250</v>
          </cell>
        </row>
        <row r="49">
          <cell r="B49">
            <v>70001</v>
          </cell>
          <cell r="C49">
            <v>250</v>
          </cell>
        </row>
        <row r="50">
          <cell r="B50">
            <v>90001</v>
          </cell>
          <cell r="C50">
            <v>250</v>
          </cell>
        </row>
        <row r="51">
          <cell r="B51">
            <v>125001</v>
          </cell>
          <cell r="C51">
            <v>250</v>
          </cell>
        </row>
        <row r="52">
          <cell r="B52">
            <v>175001</v>
          </cell>
          <cell r="C52">
            <v>250</v>
          </cell>
        </row>
        <row r="53">
          <cell r="B53">
            <v>200001</v>
          </cell>
          <cell r="C53">
            <v>250</v>
          </cell>
        </row>
        <row r="54">
          <cell r="B54">
            <v>250001</v>
          </cell>
          <cell r="C54">
            <v>250</v>
          </cell>
        </row>
        <row r="55">
          <cell r="B55">
            <v>300001</v>
          </cell>
          <cell r="C55">
            <v>250</v>
          </cell>
          <cell r="G55">
            <v>0</v>
          </cell>
          <cell r="H55">
            <v>250</v>
          </cell>
        </row>
        <row r="56">
          <cell r="B56">
            <v>350001</v>
          </cell>
          <cell r="C56">
            <v>250</v>
          </cell>
          <cell r="G56">
            <v>5001</v>
          </cell>
          <cell r="H56">
            <v>250</v>
          </cell>
        </row>
        <row r="57">
          <cell r="B57">
            <v>450001</v>
          </cell>
          <cell r="C57">
            <v>250</v>
          </cell>
          <cell r="G57">
            <v>18001</v>
          </cell>
          <cell r="H57">
            <v>250</v>
          </cell>
        </row>
        <row r="58">
          <cell r="G58">
            <v>25001</v>
          </cell>
          <cell r="H58">
            <v>250</v>
          </cell>
        </row>
        <row r="59">
          <cell r="G59">
            <v>30001</v>
          </cell>
          <cell r="H59">
            <v>250</v>
          </cell>
        </row>
        <row r="60">
          <cell r="G60">
            <v>40001</v>
          </cell>
          <cell r="H60">
            <v>300</v>
          </cell>
        </row>
        <row r="61">
          <cell r="G61">
            <v>50001</v>
          </cell>
          <cell r="H61">
            <v>300</v>
          </cell>
        </row>
        <row r="62">
          <cell r="G62">
            <v>62501</v>
          </cell>
          <cell r="H62">
            <v>350</v>
          </cell>
        </row>
        <row r="63">
          <cell r="B63">
            <v>0</v>
          </cell>
          <cell r="C63">
            <v>250</v>
          </cell>
          <cell r="G63">
            <v>70001</v>
          </cell>
          <cell r="H63">
            <v>350</v>
          </cell>
        </row>
        <row r="64">
          <cell r="B64">
            <v>5001</v>
          </cell>
          <cell r="C64">
            <v>250</v>
          </cell>
        </row>
        <row r="65">
          <cell r="B65">
            <v>18001</v>
          </cell>
          <cell r="C65">
            <v>250</v>
          </cell>
        </row>
        <row r="66">
          <cell r="B66">
            <v>25001</v>
          </cell>
          <cell r="C66">
            <v>250</v>
          </cell>
        </row>
        <row r="67">
          <cell r="B67">
            <v>30001</v>
          </cell>
          <cell r="C67">
            <v>250</v>
          </cell>
        </row>
        <row r="68">
          <cell r="B68">
            <v>40001</v>
          </cell>
          <cell r="C68">
            <v>300</v>
          </cell>
        </row>
        <row r="69">
          <cell r="B69">
            <v>50001</v>
          </cell>
          <cell r="C69">
            <v>300</v>
          </cell>
        </row>
        <row r="70">
          <cell r="B70">
            <v>62501</v>
          </cell>
          <cell r="C70">
            <v>350</v>
          </cell>
          <cell r="G70">
            <v>0</v>
          </cell>
          <cell r="H70">
            <v>70</v>
          </cell>
        </row>
        <row r="71">
          <cell r="B71">
            <v>70001</v>
          </cell>
          <cell r="C71">
            <v>350</v>
          </cell>
          <cell r="G71">
            <v>5001</v>
          </cell>
          <cell r="H71">
            <v>70</v>
          </cell>
        </row>
        <row r="72">
          <cell r="G72">
            <v>25001</v>
          </cell>
          <cell r="H72">
            <v>100</v>
          </cell>
        </row>
        <row r="73">
          <cell r="G73">
            <v>40001</v>
          </cell>
          <cell r="H73">
            <v>140</v>
          </cell>
        </row>
        <row r="74">
          <cell r="G74">
            <v>62501</v>
          </cell>
          <cell r="H74">
            <v>140</v>
          </cell>
        </row>
        <row r="75">
          <cell r="G75">
            <v>80001</v>
          </cell>
          <cell r="H75">
            <v>140</v>
          </cell>
        </row>
        <row r="76">
          <cell r="G76">
            <v>100001</v>
          </cell>
          <cell r="H76">
            <v>140</v>
          </cell>
        </row>
        <row r="77">
          <cell r="B77">
            <v>0</v>
          </cell>
          <cell r="C77">
            <v>150</v>
          </cell>
          <cell r="G77">
            <v>150001</v>
          </cell>
          <cell r="H77">
            <v>150</v>
          </cell>
        </row>
        <row r="78">
          <cell r="B78">
            <v>5001</v>
          </cell>
          <cell r="C78">
            <v>150</v>
          </cell>
          <cell r="G78">
            <v>200001</v>
          </cell>
          <cell r="H78">
            <v>150</v>
          </cell>
        </row>
        <row r="79">
          <cell r="B79">
            <v>25001</v>
          </cell>
          <cell r="C79">
            <v>150</v>
          </cell>
          <cell r="G79">
            <v>250001</v>
          </cell>
          <cell r="H79">
            <v>170</v>
          </cell>
        </row>
        <row r="80">
          <cell r="B80">
            <v>40001</v>
          </cell>
          <cell r="C80">
            <v>150</v>
          </cell>
          <cell r="G80">
            <v>350001</v>
          </cell>
          <cell r="H80">
            <v>170</v>
          </cell>
        </row>
        <row r="81">
          <cell r="B81">
            <v>62501</v>
          </cell>
          <cell r="C81">
            <v>150</v>
          </cell>
        </row>
        <row r="82">
          <cell r="B82">
            <v>80001</v>
          </cell>
          <cell r="C82">
            <v>150</v>
          </cell>
        </row>
        <row r="83">
          <cell r="B83">
            <v>100001</v>
          </cell>
          <cell r="C83">
            <v>150</v>
          </cell>
          <cell r="G83">
            <v>0</v>
          </cell>
          <cell r="H83">
            <v>75</v>
          </cell>
        </row>
        <row r="84">
          <cell r="B84">
            <v>150001</v>
          </cell>
          <cell r="C84">
            <v>150</v>
          </cell>
          <cell r="G84">
            <v>5000</v>
          </cell>
          <cell r="H84">
            <v>75</v>
          </cell>
        </row>
        <row r="85">
          <cell r="B85">
            <v>200001</v>
          </cell>
          <cell r="C85">
            <v>150</v>
          </cell>
          <cell r="G85">
            <v>25001</v>
          </cell>
          <cell r="H85">
            <v>75</v>
          </cell>
        </row>
        <row r="86">
          <cell r="B86">
            <v>250001</v>
          </cell>
          <cell r="C86">
            <v>150</v>
          </cell>
          <cell r="G86">
            <v>40001</v>
          </cell>
          <cell r="H86">
            <v>75</v>
          </cell>
        </row>
        <row r="87">
          <cell r="B87">
            <v>350001</v>
          </cell>
          <cell r="C87">
            <v>150</v>
          </cell>
          <cell r="G87">
            <v>62501</v>
          </cell>
          <cell r="H87">
            <v>75</v>
          </cell>
        </row>
        <row r="92">
          <cell r="G92">
            <v>5000</v>
          </cell>
          <cell r="H92">
            <v>500</v>
          </cell>
        </row>
        <row r="93">
          <cell r="G93">
            <v>25001</v>
          </cell>
          <cell r="H93">
            <v>500</v>
          </cell>
        </row>
        <row r="94">
          <cell r="B94">
            <v>0</v>
          </cell>
          <cell r="C94">
            <v>0</v>
          </cell>
          <cell r="G94">
            <v>40001</v>
          </cell>
          <cell r="H94">
            <v>500</v>
          </cell>
        </row>
        <row r="95">
          <cell r="B95">
            <v>350001</v>
          </cell>
          <cell r="C95">
            <v>0</v>
          </cell>
          <cell r="G95">
            <v>62501</v>
          </cell>
          <cell r="H95">
            <v>500</v>
          </cell>
        </row>
        <row r="96">
          <cell r="G96">
            <v>80001</v>
          </cell>
          <cell r="H96">
            <v>500</v>
          </cell>
        </row>
        <row r="97">
          <cell r="G97">
            <v>100001</v>
          </cell>
          <cell r="H97">
            <v>500</v>
          </cell>
        </row>
        <row r="98">
          <cell r="G98">
            <v>150001</v>
          </cell>
          <cell r="H98">
            <v>500</v>
          </cell>
        </row>
        <row r="99">
          <cell r="G99">
            <v>200001</v>
          </cell>
          <cell r="H99">
            <v>500</v>
          </cell>
        </row>
        <row r="100">
          <cell r="G100">
            <v>250001</v>
          </cell>
          <cell r="H100">
            <v>500</v>
          </cell>
        </row>
        <row r="101">
          <cell r="G101">
            <v>350001</v>
          </cell>
          <cell r="H101">
            <v>500</v>
          </cell>
        </row>
      </sheetData>
      <sheetData sheetId="10" refreshError="1"/>
      <sheetData sheetId="11" refreshError="1"/>
      <sheetData sheetId="12"/>
      <sheetData sheetId="13" refreshError="1"/>
      <sheetData sheetId="14" refreshError="1"/>
      <sheetData sheetId="15">
        <row r="6">
          <cell r="B6" t="str">
            <v>AC HOMES PANAMA</v>
          </cell>
          <cell r="F6" t="str">
            <v>AGROGANADERA DON BOSCO, S.A.</v>
          </cell>
        </row>
        <row r="7">
          <cell r="B7" t="str">
            <v>ADCO HABITAT</v>
          </cell>
          <cell r="F7" t="str">
            <v>AGROGANADERA MARELISA, S.A.</v>
          </cell>
        </row>
        <row r="8">
          <cell r="B8" t="str">
            <v>AH GRUPO INMOBILIARIO</v>
          </cell>
          <cell r="F8" t="str">
            <v>AGROGANADERA NUEVO SAN JUAN, S.A.</v>
          </cell>
        </row>
        <row r="9">
          <cell r="B9" t="str">
            <v>ANTOJO INMOBILIARIO, S.A.</v>
          </cell>
          <cell r="F9" t="str">
            <v>AGROGANADERA PRADO, S.A.</v>
          </cell>
        </row>
        <row r="10">
          <cell r="B10" t="str">
            <v>ARRAIJAN COUNTRY CLUB, S.A.</v>
          </cell>
          <cell r="F10" t="str">
            <v>AGROGANADERA SANTA INES, S.A.</v>
          </cell>
        </row>
        <row r="11">
          <cell r="B11" t="str">
            <v>BARCELONA HOLDINGS CORP.</v>
          </cell>
          <cell r="F11" t="str">
            <v>AGROGANADERA SANTA TERESA, S.A.</v>
          </cell>
        </row>
        <row r="12">
          <cell r="B12" t="str">
            <v>BARLOVENTO DEL ESTE, S.A.</v>
          </cell>
          <cell r="F12" t="str">
            <v>AGROGANADERA SANTIAGO J&amp;J, S.A.</v>
          </cell>
        </row>
        <row r="13">
          <cell r="B13" t="str">
            <v>BIENES RAICES HALLMAN, S.A.</v>
          </cell>
          <cell r="F13" t="str">
            <v>ANAJULA, SOCIEDAD ANONIMA</v>
          </cell>
        </row>
        <row r="14">
          <cell r="B14" t="str">
            <v>BOQUETE HIGHLANDS, S.A.</v>
          </cell>
          <cell r="F14" t="str">
            <v>BOQUERON DEVELOPMENT, S.A.</v>
          </cell>
        </row>
        <row r="15">
          <cell r="B15" t="str">
            <v>CASAS DE PANAMA, S.A.</v>
          </cell>
          <cell r="F15" t="str">
            <v>C &amp; G ARQUITECTOS, S.A.</v>
          </cell>
        </row>
        <row r="16">
          <cell r="B16" t="str">
            <v>CASAS PACIFICAS, S.A.</v>
          </cell>
          <cell r="F16" t="str">
            <v>CASAS DEL NORTE, S.A.</v>
          </cell>
        </row>
        <row r="17">
          <cell r="B17" t="str">
            <v>COLINAS DEL SOL, S.A.</v>
          </cell>
          <cell r="F17" t="str">
            <v>CEMANIN, S. A.</v>
          </cell>
        </row>
        <row r="18">
          <cell r="B18" t="str">
            <v>COMPAÑIA DE LEFEVRE, S. A.</v>
          </cell>
          <cell r="F18" t="str">
            <v>CONCAPITAL</v>
          </cell>
        </row>
        <row r="19">
          <cell r="B19" t="str">
            <v>CONCAPITAL CORP.</v>
          </cell>
          <cell r="F19" t="str">
            <v>CONCRETOS SAN JUAN, S.A.</v>
          </cell>
        </row>
        <row r="20">
          <cell r="B20" t="str">
            <v>CONSORCIO VILLAS DE PEDREGAL, S.A.</v>
          </cell>
          <cell r="F20" t="str">
            <v>CONSTRUCTORA BIENES RAICES TROPICALES, S.A.</v>
          </cell>
        </row>
        <row r="21">
          <cell r="B21" t="str">
            <v>CONSTRUCTORA RAMI, S.A.</v>
          </cell>
          <cell r="F21" t="str">
            <v>CONSTRUCTORA METROPOLITANA, S.A.</v>
          </cell>
        </row>
        <row r="22">
          <cell r="B22" t="str">
            <v>CONSTRUCTORA SUAREZ, S.A.</v>
          </cell>
          <cell r="F22" t="str">
            <v>CONSTRUCTORA SALOMON</v>
          </cell>
        </row>
        <row r="23">
          <cell r="B23" t="str">
            <v>COQUITO HILLS, S.A.</v>
          </cell>
          <cell r="F23" t="str">
            <v>CONSTRUCTORA SFM,S.A.</v>
          </cell>
        </row>
        <row r="24">
          <cell r="B24" t="str">
            <v>CORIN BUSINESS, S.A.  (PH 4 HORIZONTES)</v>
          </cell>
          <cell r="F24" t="str">
            <v>CONSTRUCTORA TIA MARIA, S.A.</v>
          </cell>
        </row>
        <row r="25">
          <cell r="B25" t="str">
            <v>DESARROLLADORA ALTOS DEL TIGRE, S.A.</v>
          </cell>
          <cell r="F25" t="str">
            <v>D&amp;R GROUP, INC.</v>
          </cell>
        </row>
        <row r="26">
          <cell r="B26" t="str">
            <v>DESARROLLADORA TORRES DEL ESTE, S.A.</v>
          </cell>
          <cell r="F26" t="str">
            <v>DESARROLLADORA LOS SANTOS, S.A.</v>
          </cell>
        </row>
        <row r="27">
          <cell r="B27" t="str">
            <v>DESARROLLO DEL COUNTRY, S.A.</v>
          </cell>
          <cell r="F27" t="str">
            <v>DESARROLLO INMOBILIARIO LA MATA, S.A.</v>
          </cell>
        </row>
        <row r="28">
          <cell r="B28" t="str">
            <v>DESARROLLO LA MITRA, S.A.</v>
          </cell>
          <cell r="F28" t="str">
            <v>DESARROLLO PERIFERICO, S.A.</v>
          </cell>
        </row>
        <row r="29">
          <cell r="B29" t="str">
            <v>DESARROLLO THE HILLS, S. DE RL</v>
          </cell>
          <cell r="F29" t="str">
            <v>DESARROLLO URBANISTICO DEL ATLANTICO</v>
          </cell>
        </row>
        <row r="30">
          <cell r="B30" t="str">
            <v>DESARROLLO ZAR, S.A.</v>
          </cell>
          <cell r="F30" t="str">
            <v>DESARROLLOS FEVADEL, S.A.</v>
          </cell>
        </row>
        <row r="31">
          <cell r="B31" t="str">
            <v>DIVISA</v>
          </cell>
          <cell r="F31" t="str">
            <v>ECONOCASAS, S.A.</v>
          </cell>
        </row>
        <row r="32">
          <cell r="B32" t="str">
            <v>EDIFICACIONES RAO, S.A.</v>
          </cell>
          <cell r="F32" t="str">
            <v>EL ROBLEDAL, SOCIEDAD ANONIMA</v>
          </cell>
        </row>
        <row r="33">
          <cell r="B33" t="str">
            <v>ESTRUCTURAS ALFA, S.A.</v>
          </cell>
          <cell r="F33" t="str">
            <v>EL SITIO COMPANY, S.A.</v>
          </cell>
        </row>
        <row r="34">
          <cell r="B34" t="str">
            <v>GOLDEN ESTATES, S.A.</v>
          </cell>
          <cell r="F34" t="str">
            <v>ELTAL, S.A.</v>
          </cell>
        </row>
        <row r="35">
          <cell r="B35" t="str">
            <v>GRACE, S.A.</v>
          </cell>
          <cell r="F35" t="str">
            <v>EMPRESAS SOLANG, S. A.</v>
          </cell>
        </row>
        <row r="36">
          <cell r="B36" t="str">
            <v>GREEN CITY DEVELOPMENT, S.A.</v>
          </cell>
          <cell r="F36" t="str">
            <v>ENCARNACION CORREA SOLIS</v>
          </cell>
        </row>
        <row r="37">
          <cell r="B37" t="str">
            <v>GRUPO ALTOS DEL BOSQUE, S.A.</v>
          </cell>
          <cell r="F37" t="str">
            <v>EPIMENIDES ANTONIO DOMINGUEZ CEDEÑO</v>
          </cell>
        </row>
        <row r="38">
          <cell r="B38" t="str">
            <v>GRUPO EQUINOX PRO</v>
          </cell>
          <cell r="F38" t="str">
            <v>FELIPE ALEJANDRO VIRZI LOPEZ</v>
          </cell>
        </row>
        <row r="39">
          <cell r="B39" t="str">
            <v>GRUPO GESTIONA B &amp; V, S.A.</v>
          </cell>
          <cell r="F39" t="str">
            <v>FINANZAS VOX, S.A.</v>
          </cell>
        </row>
        <row r="40">
          <cell r="B40" t="str">
            <v>GRUPO INMOBILIARIO UNIVERSAL, S.A.</v>
          </cell>
          <cell r="F40" t="str">
            <v>GRALUIRA, S.A.</v>
          </cell>
        </row>
        <row r="41">
          <cell r="B41" t="str">
            <v>GRUPO LEFEVRE</v>
          </cell>
          <cell r="F41" t="str">
            <v>GRUPO SPIEGEL CARRIZO, S.A.</v>
          </cell>
        </row>
        <row r="42">
          <cell r="B42" t="str">
            <v>GRUPO OTI PANAMA, S.A.</v>
          </cell>
          <cell r="F42" t="str">
            <v>HACIENDA LOS MOLINOS BOQUETE</v>
          </cell>
        </row>
        <row r="43">
          <cell r="B43" t="str">
            <v>GRUPO PRO</v>
          </cell>
          <cell r="F43" t="str">
            <v>HIJAZ &amp; ASOCIADOS, S.A.</v>
          </cell>
        </row>
        <row r="44">
          <cell r="B44" t="str">
            <v>GRUPO PROVIVIENDA, S.A.</v>
          </cell>
          <cell r="F44" t="str">
            <v>IDC CONSTRUCCIONES DE PANAMA, S.A.</v>
          </cell>
        </row>
        <row r="45">
          <cell r="B45" t="str">
            <v>GRUPO ROBLE DE PANAMA, S.A.</v>
          </cell>
          <cell r="F45" t="str">
            <v>INMOBILIARIA HERZA, S.A.</v>
          </cell>
        </row>
        <row r="46">
          <cell r="B46" t="str">
            <v>GRUPO V &amp; V</v>
          </cell>
          <cell r="F46" t="str">
            <v>INMOBILIARIA R &amp; R, S.A.</v>
          </cell>
        </row>
        <row r="47">
          <cell r="B47" t="str">
            <v>HAUS, S.A.</v>
          </cell>
          <cell r="F47" t="str">
            <v>INMOBILIARIA R Y R, S.A.</v>
          </cell>
        </row>
        <row r="48">
          <cell r="B48" t="str">
            <v>HOGLAND HOLDING, INC.</v>
          </cell>
          <cell r="F48" t="str">
            <v>INMOBILIARIA TELLO SAEZ, S. A</v>
          </cell>
        </row>
        <row r="49">
          <cell r="B49" t="str">
            <v>IAR GROUP, S.A.</v>
          </cell>
          <cell r="F49" t="str">
            <v>INMOBILIARIA VASQUEZ, S.A.</v>
          </cell>
        </row>
        <row r="50">
          <cell r="B50" t="str">
            <v>INMOBILIARIA AMARILYS, S.A.</v>
          </cell>
          <cell r="F50" t="str">
            <v>INMUEBLES DAVID, S.A.</v>
          </cell>
        </row>
        <row r="51">
          <cell r="B51" t="str">
            <v>INMOBILIARIA CASAS GRANDES, S.A.</v>
          </cell>
          <cell r="F51" t="str">
            <v>INVERSIONES CHEVI, S.A. (CHEVISA)</v>
          </cell>
        </row>
        <row r="52">
          <cell r="B52" t="str">
            <v>INMOBILIARIA CIELO AZUL, S.A.</v>
          </cell>
          <cell r="F52" t="str">
            <v>INVERSIONES DON MINGO, S.A.</v>
          </cell>
        </row>
        <row r="53">
          <cell r="B53" t="str">
            <v>INMOBILIARIA CONSTRUCTEC, S.A.</v>
          </cell>
          <cell r="F53" t="str">
            <v>INVERSIONES GRUPO CC, S.A.</v>
          </cell>
        </row>
        <row r="54">
          <cell r="B54" t="str">
            <v>INMOBILIARIA G.S. DEL MAR, S.A.</v>
          </cell>
          <cell r="F54" t="str">
            <v>INVERSIONES JUAN &amp; EMANUEL, S.A.</v>
          </cell>
        </row>
        <row r="55">
          <cell r="B55" t="str">
            <v>INMOBILIARIA GREEN FIELDS, S.A.</v>
          </cell>
          <cell r="F55" t="str">
            <v>INVERSIONES MIRODEL, S.A.</v>
          </cell>
        </row>
        <row r="56">
          <cell r="B56" t="str">
            <v>INMOBILIARIA LAS VERDES, S.A.</v>
          </cell>
          <cell r="F56" t="str">
            <v>INVERSIONES TEMEDA, S.A.</v>
          </cell>
        </row>
        <row r="57">
          <cell r="B57" t="str">
            <v>INMOBILIARIA PACIFIC HILLS</v>
          </cell>
          <cell r="F57" t="str">
            <v>JORGE ARMANDO RAMIREZ</v>
          </cell>
        </row>
        <row r="58">
          <cell r="B58" t="str">
            <v>INMOBILIARIA RESIDENCIAL, S.A.</v>
          </cell>
          <cell r="F58" t="str">
            <v>JUSTO FABIO SPIEGEL ABADIA</v>
          </cell>
        </row>
        <row r="59">
          <cell r="B59" t="str">
            <v>INMOBILIARIA VALARCO, S.A. (HATO MONTAÑA)</v>
          </cell>
          <cell r="F59" t="str">
            <v>LAURA ESTHER RODRIGUEZ DE DOMINGUEZ</v>
          </cell>
        </row>
        <row r="60">
          <cell r="B60" t="str">
            <v>INMOBILIARIA YITSELLI</v>
          </cell>
          <cell r="F60" t="str">
            <v>LILIANA JANNETH RODRIGUEZ de VASQUEZ</v>
          </cell>
        </row>
        <row r="61">
          <cell r="B61" t="str">
            <v>INTERPLUS PANAMA</v>
          </cell>
          <cell r="F61" t="str">
            <v>LIMAYON,S.A.</v>
          </cell>
        </row>
        <row r="62">
          <cell r="B62" t="str">
            <v>INVERSIONES DAVIVIENDA, S.A.</v>
          </cell>
          <cell r="F62" t="str">
            <v>MANUEL ARTURO PEREZ TELLO</v>
          </cell>
        </row>
        <row r="63">
          <cell r="B63" t="str">
            <v>INVERSIONES NATASHA, S.A.</v>
          </cell>
          <cell r="F63" t="str">
            <v>MATERIALES JOSE MORENO Y CIA, S.A.</v>
          </cell>
        </row>
        <row r="64">
          <cell r="B64" t="str">
            <v>INVERSIONES RODIRAM, S.A.</v>
          </cell>
          <cell r="F64" t="str">
            <v>MILU, S.A.</v>
          </cell>
        </row>
        <row r="65">
          <cell r="B65" t="str">
            <v>INVERSIONES TEMPTATION, S.A.</v>
          </cell>
          <cell r="F65" t="str">
            <v>MULTIKASAS, S.A</v>
          </cell>
        </row>
        <row r="66">
          <cell r="B66" t="str">
            <v>INVERSIONES VENTAVIV, S.A.</v>
          </cell>
          <cell r="F66" t="str">
            <v>MULTISERVICIOS LUNA, S.A.</v>
          </cell>
        </row>
        <row r="67">
          <cell r="B67" t="str">
            <v>INVERSIONES Y DESARROLLO OESTE, S.A.</v>
          </cell>
          <cell r="F67" t="str">
            <v>MULTIVENTAS JFRIAS, S.A.</v>
          </cell>
        </row>
        <row r="68">
          <cell r="B68" t="str">
            <v>LANDERS GRUPO INMOBILIARIO, S.A.</v>
          </cell>
          <cell r="F68" t="str">
            <v>N-TIERRA, S.A.</v>
          </cell>
        </row>
        <row r="69">
          <cell r="B69" t="str">
            <v>LONDON &amp; REGIONAL (PANAMA), S.A.</v>
          </cell>
          <cell r="F69" t="str">
            <v>OH GROUP, S.A.</v>
          </cell>
        </row>
        <row r="70">
          <cell r="B70" t="str">
            <v>MYSTIC TOWERS, S.A.</v>
          </cell>
          <cell r="F70" t="str">
            <v>POZNAN CORP.</v>
          </cell>
        </row>
        <row r="71">
          <cell r="B71" t="str">
            <v>NELO, S.A.</v>
          </cell>
          <cell r="F71" t="str">
            <v>PRETTY HOUSES, S.A.</v>
          </cell>
        </row>
        <row r="72">
          <cell r="B72" t="str">
            <v>PANAMA LAGO MAR, S.A.</v>
          </cell>
          <cell r="F72" t="str">
            <v>PROMOTORA COCLESANA, S.A.</v>
          </cell>
        </row>
        <row r="73">
          <cell r="B73" t="str">
            <v>PANAPROJECTS, S.A.</v>
          </cell>
          <cell r="F73" t="str">
            <v>PROMOTORA DEL SUR, S.A.</v>
          </cell>
        </row>
        <row r="74">
          <cell r="B74" t="str">
            <v>PARAMOUNT DEVELOPMENT, S.A.</v>
          </cell>
          <cell r="F74" t="str">
            <v>PROMOTORA LA BALSA, S.A.</v>
          </cell>
        </row>
        <row r="75">
          <cell r="B75" t="str">
            <v>PRADERA INMOBILIARIA</v>
          </cell>
          <cell r="F75" t="str">
            <v>PROMOTORA MARIA GLORIA, S.A.</v>
          </cell>
        </row>
        <row r="76">
          <cell r="B76" t="str">
            <v>PRADERAS DE SAN ANTONIO, S.A.</v>
          </cell>
          <cell r="F76" t="str">
            <v>PROMOTORA VILLA SAN CARLITOS</v>
          </cell>
        </row>
        <row r="77">
          <cell r="B77" t="str">
            <v>PROCASA</v>
          </cell>
          <cell r="F77" t="str">
            <v>PROYECTOS Y DESARROLLOS DE CASAS, S.A.</v>
          </cell>
        </row>
        <row r="78">
          <cell r="B78" t="str">
            <v>PRODECASA</v>
          </cell>
          <cell r="F78" t="str">
            <v>RESIDENCIAL EL MESON, S.A.</v>
          </cell>
        </row>
        <row r="79">
          <cell r="B79" t="str">
            <v>PROMOCIONES Y PROYECTOS URBANOS, S.A.</v>
          </cell>
          <cell r="F79" t="str">
            <v>RIJADA HOLDING, S.A.</v>
          </cell>
        </row>
        <row r="80">
          <cell r="B80" t="str">
            <v>PROMOTORA ADP S.A.</v>
          </cell>
          <cell r="F80" t="str">
            <v>ROGELIO ORLANDO OLARTE CORREA</v>
          </cell>
        </row>
        <row r="81">
          <cell r="B81" t="str">
            <v>PROMOTORA BUENA VISTA, S.A.</v>
          </cell>
          <cell r="F81" t="str">
            <v>SILKA CELIBETH VILLARREAL MEN</v>
          </cell>
        </row>
        <row r="82">
          <cell r="B82" t="str">
            <v>PROMOTORA COSMOPOLITAN CORP.</v>
          </cell>
          <cell r="F82" t="str">
            <v>SPIEGEL CARRIZO, S.A.(SPICA, S.A.)</v>
          </cell>
        </row>
        <row r="83">
          <cell r="B83" t="str">
            <v>PROMOTORA DORADO VILLAGE, S.A.</v>
          </cell>
          <cell r="F83" t="str">
            <v>TECNICOS EN CONSTRUCCIONES GENERALES, S.A. (TECOGSA)</v>
          </cell>
        </row>
        <row r="84">
          <cell r="B84" t="str">
            <v>PROMOTORA HOGARES, S.A.</v>
          </cell>
          <cell r="F84" t="str">
            <v>TERRENOS PENONOME, S.A.</v>
          </cell>
        </row>
        <row r="85">
          <cell r="B85" t="str">
            <v>PROMOTORA HOLILAN COMPANY</v>
          </cell>
          <cell r="F85" t="str">
            <v>UNHABITAT, S.A.</v>
          </cell>
        </row>
        <row r="86">
          <cell r="B86" t="str">
            <v>PROMOTORA LLANO HERMOSO, S.A.</v>
          </cell>
        </row>
        <row r="87">
          <cell r="B87" t="str">
            <v>PROMOTORA NEW WEST, S.A.</v>
          </cell>
        </row>
        <row r="88">
          <cell r="B88" t="str">
            <v>PROMOTORA SANTA BARBARA, S.A.</v>
          </cell>
        </row>
        <row r="89">
          <cell r="B89" t="str">
            <v>PROMOTORA TEN TOWER, S.A.</v>
          </cell>
        </row>
        <row r="90">
          <cell r="B90" t="str">
            <v>PROMOTORA TUCASA (PRORED)</v>
          </cell>
        </row>
        <row r="91">
          <cell r="B91" t="str">
            <v>PROMOTORA VERDE REAL, S.A.</v>
          </cell>
        </row>
        <row r="92">
          <cell r="B92" t="str">
            <v>PROMOTORA VILLAS DEL ESTE, S.A.</v>
          </cell>
        </row>
        <row r="93">
          <cell r="B93" t="str">
            <v>PUNTA PARAISO VILLAGE, S.A.</v>
          </cell>
        </row>
        <row r="94">
          <cell r="B94" t="str">
            <v>RESIDENCIAL HORIZONTES, S.A.</v>
          </cell>
        </row>
        <row r="95">
          <cell r="B95" t="str">
            <v>RESIDENCIAL PORTAL DEL BOSQUE, S.A.</v>
          </cell>
        </row>
        <row r="96">
          <cell r="B96" t="str">
            <v>SABANAS HOLDINGS, S.A.</v>
          </cell>
        </row>
        <row r="97">
          <cell r="B97" t="str">
            <v>SUCASA</v>
          </cell>
        </row>
        <row r="98">
          <cell r="B98" t="str">
            <v>THE GROUP, INC.</v>
          </cell>
        </row>
        <row r="99">
          <cell r="B99" t="str">
            <v>THE HERITAGE BUSINESS CORP.</v>
          </cell>
        </row>
        <row r="100">
          <cell r="B100" t="str">
            <v>THE ONE ASSETS CORP.</v>
          </cell>
        </row>
        <row r="101">
          <cell r="B101" t="str">
            <v>TU VIVIENDA</v>
          </cell>
        </row>
        <row r="102">
          <cell r="B102" t="str">
            <v>UNIVERSAL RED HILLS CORP.</v>
          </cell>
        </row>
        <row r="103">
          <cell r="B103" t="str">
            <v>URBANIZADORA EL NARANJAL</v>
          </cell>
        </row>
        <row r="104">
          <cell r="B104" t="str">
            <v>VIA TERTIA PANAMA, S.A.</v>
          </cell>
        </row>
        <row r="105">
          <cell r="B105" t="str">
            <v>VICTORIA INVESTMENT REALTY, S.A.</v>
          </cell>
        </row>
        <row r="106">
          <cell r="B106" t="str">
            <v>VILLAGE DEL BOSQUE, S.A.</v>
          </cell>
        </row>
        <row r="107">
          <cell r="B107" t="str">
            <v>VIVIENDAS DE PRIMERA</v>
          </cell>
        </row>
        <row r="108">
          <cell r="B108" t="str">
            <v>XONTAL, S.A.</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Hoja_de_Cotización"/>
      <sheetName val="2.Impresión"/>
      <sheetName val="Hoja_Cambio"/>
      <sheetName val="Impresión_Cambio"/>
      <sheetName val="Requisitos_Cambio"/>
      <sheetName val="Catálogos"/>
      <sheetName val="Cálculos"/>
      <sheetName val="Programa"/>
      <sheetName val="Comisiones_Cargos"/>
      <sheetName val="TabGtos"/>
      <sheetName val="GtosFwla"/>
      <sheetName val="3.Condiciones"/>
      <sheetName val="3.1COPA"/>
      <sheetName val="4.Check List - Requisitos"/>
      <sheetName val="5.Formularios"/>
      <sheetName val="Solicitud_SegVida"/>
      <sheetName val="6.Promotores Hacen Escritura"/>
      <sheetName val="7. Proyectos Interinos Const"/>
      <sheetName val="8.Proy NoFinanciados x Banco"/>
      <sheetName val="Traspaso"/>
      <sheetName val="Hoja2"/>
      <sheetName val="9.Contratista_Int"/>
      <sheetName val="10.Requisitos-Ley Preferencial"/>
      <sheetName val="11.Compra de Vivienda Nueva"/>
      <sheetName val="12.Compra de Vivienda Usada"/>
      <sheetName val="13.Traspaso de Acciones"/>
      <sheetName val="14.Compra Vivienda Vacacional"/>
      <sheetName val="15.Casa Cash"/>
      <sheetName val="16.Traspaso de Otro Banco"/>
      <sheetName val="17.Cambio de dueño deudor"/>
      <sheetName val="18.PrecalificaciónInterino"/>
      <sheetName val="19.Interino de Construcción"/>
      <sheetName val="20.Compra de Terreno"/>
    </sheetNames>
    <sheetDataSet>
      <sheetData sheetId="0"/>
      <sheetData sheetId="1"/>
      <sheetData sheetId="2"/>
      <sheetData sheetId="3"/>
      <sheetData sheetId="4"/>
      <sheetData sheetId="5">
        <row r="2">
          <cell r="A2" t="str">
            <v>ELIJA UNA OPCIÓN</v>
          </cell>
          <cell r="B2" t="str">
            <v>Compra de Vivienda</v>
          </cell>
          <cell r="F2" t="str">
            <v>Casa</v>
          </cell>
          <cell r="W2" t="str">
            <v>Dueño y Deudor</v>
          </cell>
          <cell r="AE2" t="str">
            <v>SI</v>
          </cell>
          <cell r="AF2" t="str">
            <v>SI</v>
          </cell>
        </row>
        <row r="3">
          <cell r="A3" t="str">
            <v>1 - CASA MATRIZ</v>
          </cell>
          <cell r="B3" t="str">
            <v>Casa Cash</v>
          </cell>
          <cell r="F3" t="str">
            <v>Apartamento</v>
          </cell>
          <cell r="G3" t="str">
            <v>Ley Preferencial</v>
          </cell>
          <cell r="H3">
            <v>1</v>
          </cell>
          <cell r="I3" t="str">
            <v>Ley Preferencial</v>
          </cell>
          <cell r="J3" t="str">
            <v>Ley Preferencial</v>
          </cell>
          <cell r="K3" t="str">
            <v>Individual</v>
          </cell>
          <cell r="M3" t="str">
            <v>Residencial</v>
          </cell>
          <cell r="N3">
            <v>1</v>
          </cell>
          <cell r="O3" t="str">
            <v>Interino</v>
          </cell>
          <cell r="P3" t="str">
            <v>Residencial</v>
          </cell>
          <cell r="Q3" t="str">
            <v>Residencial</v>
          </cell>
          <cell r="R3" t="str">
            <v>Segunda Hipoteca</v>
          </cell>
          <cell r="S3" t="str">
            <v>Vacacional</v>
          </cell>
          <cell r="T3" t="str">
            <v>Casa</v>
          </cell>
          <cell r="U3">
            <v>1</v>
          </cell>
          <cell r="W3" t="str">
            <v>Deudor</v>
          </cell>
          <cell r="X3" t="str">
            <v>Nueva</v>
          </cell>
          <cell r="Y3" t="str">
            <v>Nueva</v>
          </cell>
          <cell r="Z3" t="str">
            <v>Usada</v>
          </cell>
          <cell r="AA3" t="str">
            <v>Nueva</v>
          </cell>
          <cell r="AB3">
            <v>1</v>
          </cell>
          <cell r="AC3" t="str">
            <v>SI</v>
          </cell>
          <cell r="AD3">
            <v>1</v>
          </cell>
          <cell r="AE3" t="str">
            <v>NO</v>
          </cell>
          <cell r="AF3" t="str">
            <v>NO</v>
          </cell>
        </row>
        <row r="4">
          <cell r="A4" t="str">
            <v>2 - PAITILLA</v>
          </cell>
          <cell r="B4" t="str">
            <v>Casa Cash Consumo</v>
          </cell>
          <cell r="F4" t="str">
            <v>Unidad de Vivienda</v>
          </cell>
          <cell r="G4" t="str">
            <v>Individual</v>
          </cell>
          <cell r="H4">
            <v>2</v>
          </cell>
          <cell r="I4" t="str">
            <v>Individual</v>
          </cell>
          <cell r="M4" t="str">
            <v>Reposeído (BG)</v>
          </cell>
          <cell r="N4">
            <v>2</v>
          </cell>
          <cell r="Q4" t="str">
            <v>Reposeído (BG)</v>
          </cell>
          <cell r="R4" t="str">
            <v>Refinanciamiento Primera Hipoteca</v>
          </cell>
          <cell r="T4" t="str">
            <v>Apartamento</v>
          </cell>
          <cell r="U4">
            <v>2</v>
          </cell>
          <cell r="W4" t="str">
            <v>Dueño</v>
          </cell>
          <cell r="Y4" t="str">
            <v>Usada</v>
          </cell>
          <cell r="AA4" t="str">
            <v>Usada</v>
          </cell>
          <cell r="AB4">
            <v>2</v>
          </cell>
          <cell r="AC4" t="str">
            <v>NO</v>
          </cell>
          <cell r="AD4">
            <v>2</v>
          </cell>
        </row>
        <row r="5">
          <cell r="A5" t="str">
            <v>3 - EL DORADO</v>
          </cell>
          <cell r="B5" t="str">
            <v>Compra Vivienda Vacacional</v>
          </cell>
          <cell r="G5" t="str">
            <v>Casco Antiguo</v>
          </cell>
          <cell r="H5">
            <v>3</v>
          </cell>
          <cell r="I5" t="str">
            <v>Casco Antiguo</v>
          </cell>
          <cell r="M5" t="str">
            <v>Interino</v>
          </cell>
          <cell r="N5">
            <v>3</v>
          </cell>
          <cell r="R5" t="str">
            <v>Refinanciamiento Casa Cash Vigente (Segunda Hipoteca)</v>
          </cell>
          <cell r="T5" t="str">
            <v>Unidad de Vivienda</v>
          </cell>
          <cell r="U5">
            <v>2</v>
          </cell>
          <cell r="W5" t="str">
            <v>Fiador Solidario</v>
          </cell>
        </row>
        <row r="6">
          <cell r="A6" t="str">
            <v>4 - VIA ARGENTINA</v>
          </cell>
          <cell r="B6" t="str">
            <v>Traspaso de Otro Banco</v>
          </cell>
          <cell r="R6" t="str">
            <v>Casa Cash vivienda sin hipoteca</v>
          </cell>
        </row>
        <row r="7">
          <cell r="A7" t="str">
            <v>5 - VIA PORRAS</v>
          </cell>
          <cell r="B7" t="str">
            <v>Traspaso por compra de vivienda (Ley Preferencial en BG)</v>
          </cell>
          <cell r="M7" t="str">
            <v>Refinanciamiento</v>
          </cell>
          <cell r="N7">
            <v>4</v>
          </cell>
        </row>
        <row r="8">
          <cell r="A8" t="str">
            <v>6 - EL INGENIO</v>
          </cell>
          <cell r="B8" t="str">
            <v>Cambio de Dueño y Deudor</v>
          </cell>
          <cell r="M8" t="str">
            <v>Segunda Hipoteca</v>
          </cell>
          <cell r="N8">
            <v>5</v>
          </cell>
          <cell r="W8" t="str">
            <v>Dueño y Deudor</v>
          </cell>
          <cell r="X8">
            <v>1</v>
          </cell>
        </row>
        <row r="9">
          <cell r="A9" t="str">
            <v>7 - CHANIS</v>
          </cell>
          <cell r="B9" t="str">
            <v>Extensión Plazo</v>
          </cell>
          <cell r="M9" t="str">
            <v>Vacacional</v>
          </cell>
          <cell r="N9">
            <v>6</v>
          </cell>
          <cell r="W9" t="str">
            <v>Deudor</v>
          </cell>
          <cell r="X9">
            <v>2</v>
          </cell>
        </row>
        <row r="10">
          <cell r="A10" t="str">
            <v>8 - PLAZA TOCUMEN</v>
          </cell>
          <cell r="B10" t="str">
            <v>Construcción</v>
          </cell>
          <cell r="Q10" t="str">
            <v>Segunda Hipoteca</v>
          </cell>
          <cell r="R10" t="str">
            <v>Segunda Hipoteca</v>
          </cell>
          <cell r="W10" t="str">
            <v>Dueño</v>
          </cell>
          <cell r="X10">
            <v>3</v>
          </cell>
        </row>
        <row r="11">
          <cell r="A11" t="str">
            <v>9 - SANTIAGO</v>
          </cell>
          <cell r="B11" t="str">
            <v>Cambio de Dueño</v>
          </cell>
          <cell r="E11" t="str">
            <v>SI</v>
          </cell>
          <cell r="F11">
            <v>1</v>
          </cell>
          <cell r="Q11" t="str">
            <v>Refinanciamiento Primera Hipoteca</v>
          </cell>
          <cell r="R11" t="str">
            <v>Refinanciamiento</v>
          </cell>
          <cell r="W11" t="str">
            <v>Fiador Solidario</v>
          </cell>
          <cell r="X11">
            <v>4</v>
          </cell>
        </row>
        <row r="12">
          <cell r="A12" t="str">
            <v>10 - OBARRIO</v>
          </cell>
          <cell r="B12" t="str">
            <v>Cambio de Deudor</v>
          </cell>
          <cell r="E12" t="str">
            <v>NO</v>
          </cell>
          <cell r="F12">
            <v>0</v>
          </cell>
          <cell r="Q12" t="str">
            <v>Refinanciamiento Casa Cash Vigente (Segunda Hipoteca)</v>
          </cell>
          <cell r="R12" t="str">
            <v>Refinanciamiento</v>
          </cell>
        </row>
        <row r="13">
          <cell r="A13" t="str">
            <v>11 - COLON</v>
          </cell>
          <cell r="B13" t="str">
            <v>Cambio de Fiador Solidario</v>
          </cell>
          <cell r="Q13" t="str">
            <v>Casa Cash vivienda sin hipoteca</v>
          </cell>
          <cell r="R13" t="str">
            <v>Residencial</v>
          </cell>
        </row>
        <row r="14">
          <cell r="A14" t="str">
            <v>13 - HATO PINTADO</v>
          </cell>
          <cell r="H14" t="str">
            <v>ELIJA UNA OPCION</v>
          </cell>
          <cell r="Q14" t="str">
            <v>Vacacional</v>
          </cell>
          <cell r="R14" t="str">
            <v>Vacacional</v>
          </cell>
          <cell r="W14" t="str">
            <v>CSS</v>
          </cell>
          <cell r="X14">
            <v>1</v>
          </cell>
        </row>
        <row r="15">
          <cell r="A15" t="str">
            <v>14 - RIO ABAJO</v>
          </cell>
          <cell r="D15" t="str">
            <v>BG</v>
          </cell>
          <cell r="E15" t="str">
            <v>BG</v>
          </cell>
          <cell r="F15">
            <v>1</v>
          </cell>
          <cell r="H15" t="str">
            <v>FUERZA DE VENTAS SITIO</v>
          </cell>
          <cell r="Q15" t="str">
            <v>Reposeído (BG)</v>
          </cell>
          <cell r="R15" t="str">
            <v>Reposeído (BG)</v>
          </cell>
          <cell r="W15" t="str">
            <v>ACP</v>
          </cell>
          <cell r="X15">
            <v>2</v>
          </cell>
        </row>
        <row r="16">
          <cell r="A16" t="str">
            <v>15 - LA CHORRERA</v>
          </cell>
          <cell r="B16" t="str">
            <v>Compra de Vivienda</v>
          </cell>
          <cell r="C16">
            <v>1</v>
          </cell>
          <cell r="D16" t="str">
            <v>FERIA</v>
          </cell>
          <cell r="E16" t="str">
            <v>FERIA</v>
          </cell>
          <cell r="F16">
            <v>2</v>
          </cell>
          <cell r="H16" t="str">
            <v>FUERZA DE VENTAS MOVIL</v>
          </cell>
          <cell r="Q16" t="str">
            <v>Interino</v>
          </cell>
          <cell r="R16" t="str">
            <v>Interino</v>
          </cell>
        </row>
        <row r="17">
          <cell r="A17" t="str">
            <v>16 - AVENIDA CENTRAL</v>
          </cell>
          <cell r="B17" t="str">
            <v>Casa Cash</v>
          </cell>
          <cell r="C17">
            <v>2</v>
          </cell>
          <cell r="D17" t="str">
            <v>EXCEPCIONES (en tasa de interés, comisión mensual, etc)</v>
          </cell>
          <cell r="E17" t="str">
            <v>EXCEPCIONES (en tasa de interés, comisión mensual, etc)</v>
          </cell>
          <cell r="F17">
            <v>3</v>
          </cell>
          <cell r="H17" t="str">
            <v>FERIAS INSTITUCIONALES</v>
          </cell>
          <cell r="Q17" t="str">
            <v>Residencial</v>
          </cell>
          <cell r="R17" t="str">
            <v>Residencial</v>
          </cell>
        </row>
        <row r="18">
          <cell r="A18" t="str">
            <v>17 - LOS ANGELES</v>
          </cell>
          <cell r="B18" t="str">
            <v>Compra Vivienda Vacacional</v>
          </cell>
          <cell r="C18">
            <v>3</v>
          </cell>
          <cell r="D18" t="str">
            <v>CAMBIO DUEÑO / DEUDOR</v>
          </cell>
          <cell r="E18" t="str">
            <v>CAMBIO DUEÑO / DEUDOR</v>
          </cell>
          <cell r="F18">
            <v>5</v>
          </cell>
          <cell r="H18" t="str">
            <v>SUCURSALES</v>
          </cell>
        </row>
        <row r="19">
          <cell r="A19" t="str">
            <v>18 - VILLA LUCRE</v>
          </cell>
          <cell r="B19" t="str">
            <v>Traspaso de Otro Banco</v>
          </cell>
          <cell r="C19">
            <v>4</v>
          </cell>
          <cell r="D19" t="str">
            <v>COPA</v>
          </cell>
          <cell r="E19" t="str">
            <v>COPA</v>
          </cell>
          <cell r="F19">
            <v>4</v>
          </cell>
          <cell r="H19" t="str">
            <v>VENTAS INTERIOR</v>
          </cell>
        </row>
        <row r="20">
          <cell r="A20" t="str">
            <v>19 - LOS ANDES</v>
          </cell>
          <cell r="B20" t="str">
            <v>Traspaso por compra de vivienda (Ley Preferencial en BG)</v>
          </cell>
          <cell r="C20">
            <v>5</v>
          </cell>
          <cell r="H20" t="str">
            <v>SEGMENTO HIGH END</v>
          </cell>
        </row>
        <row r="21">
          <cell r="A21" t="str">
            <v>20 - VIA ESPANA</v>
          </cell>
          <cell r="B21" t="str">
            <v>Cambio de Dueño y Deudor</v>
          </cell>
          <cell r="C21">
            <v>6</v>
          </cell>
          <cell r="H21" t="str">
            <v>RECURSOS HUMANOS</v>
          </cell>
        </row>
        <row r="22">
          <cell r="A22" t="str">
            <v>21 - AVENIDA CUBA</v>
          </cell>
          <cell r="B22" t="str">
            <v>Extensión Plazo</v>
          </cell>
          <cell r="C22">
            <v>7</v>
          </cell>
          <cell r="D22" t="str">
            <v>NO</v>
          </cell>
          <cell r="E22">
            <v>1</v>
          </cell>
          <cell r="H22" t="str">
            <v>PROMOTORES WALK-IN</v>
          </cell>
        </row>
        <row r="23">
          <cell r="A23" t="str">
            <v>22 - CHITRE</v>
          </cell>
          <cell r="B23" t="str">
            <v>Construcción</v>
          </cell>
          <cell r="C23">
            <v>8</v>
          </cell>
          <cell r="D23" t="str">
            <v>SI</v>
          </cell>
          <cell r="E23">
            <v>2</v>
          </cell>
          <cell r="H23" t="str">
            <v>RETENCION</v>
          </cell>
        </row>
        <row r="24">
          <cell r="A24" t="str">
            <v>23 - LOS PUEBLOS</v>
          </cell>
          <cell r="B24" t="str">
            <v>Cambio de Dueño</v>
          </cell>
          <cell r="C24">
            <v>9</v>
          </cell>
          <cell r="H24" t="str">
            <v>TELEMERCADEO</v>
          </cell>
        </row>
        <row r="25">
          <cell r="A25" t="str">
            <v>24 - CALLE 50</v>
          </cell>
          <cell r="B25" t="str">
            <v>Cambio de Deudor</v>
          </cell>
          <cell r="C25">
            <v>10</v>
          </cell>
          <cell r="H25" t="str">
            <v>BIENES REPOSEIDOS</v>
          </cell>
        </row>
        <row r="26">
          <cell r="A26" t="str">
            <v>25 - SUCURSAL DISPONIBLE</v>
          </cell>
          <cell r="B26" t="str">
            <v>Cambio de Fiador Solidario</v>
          </cell>
          <cell r="C26">
            <v>11</v>
          </cell>
          <cell r="H26" t="str">
            <v>VENTAS CONSUMO</v>
          </cell>
        </row>
        <row r="27">
          <cell r="A27" t="str">
            <v>26 - TRANSISTMICA</v>
          </cell>
          <cell r="B27" t="str">
            <v>Compra Venta de Acciones</v>
          </cell>
          <cell r="C27">
            <v>12</v>
          </cell>
          <cell r="D27" t="str">
            <v>SI</v>
          </cell>
          <cell r="E27">
            <v>1</v>
          </cell>
          <cell r="H27" t="str">
            <v>CENTRO DE ATENCION AL CLIENTE</v>
          </cell>
        </row>
        <row r="28">
          <cell r="A28" t="str">
            <v>27 - ZONA LIBRE</v>
          </cell>
          <cell r="D28" t="str">
            <v>NO</v>
          </cell>
          <cell r="E28">
            <v>2</v>
          </cell>
        </row>
        <row r="29">
          <cell r="A29" t="str">
            <v>28 - PLAZA GALAPAGOS</v>
          </cell>
        </row>
        <row r="30">
          <cell r="A30" t="str">
            <v>29 - PARQUE LEFEVRE</v>
          </cell>
          <cell r="B30" t="str">
            <v>Descuento Directo</v>
          </cell>
          <cell r="C30" t="str">
            <v>Descuento Directo</v>
          </cell>
          <cell r="D30">
            <v>1</v>
          </cell>
        </row>
        <row r="31">
          <cell r="A31" t="str">
            <v>30 - DAVID</v>
          </cell>
          <cell r="B31" t="str">
            <v>Cargo a Cuenta Ahorro</v>
          </cell>
          <cell r="C31" t="str">
            <v>Cargo a Cuenta Ahorro</v>
          </cell>
          <cell r="D31">
            <v>2</v>
          </cell>
          <cell r="H31" t="str">
            <v>Abona</v>
          </cell>
        </row>
        <row r="32">
          <cell r="A32" t="str">
            <v>31 - BANCA PRIVADA - BANCO GENERAL</v>
          </cell>
          <cell r="B32" t="str">
            <v>Cargo a Cuenta Corriente</v>
          </cell>
          <cell r="C32" t="str">
            <v>Cargo a Cuenta Corriente</v>
          </cell>
          <cell r="D32">
            <v>3</v>
          </cell>
          <cell r="H32" t="str">
            <v>Cancela</v>
          </cell>
        </row>
        <row r="33">
          <cell r="A33" t="str">
            <v>32 - PLAZA LAS AMERICAS</v>
          </cell>
          <cell r="B33" t="str">
            <v>Pago Voluntario</v>
          </cell>
          <cell r="C33" t="str">
            <v>Cargo a Interes Plazo Fijo</v>
          </cell>
          <cell r="D33">
            <v>4</v>
          </cell>
        </row>
        <row r="34">
          <cell r="A34" t="str">
            <v>33 - CORONADO</v>
          </cell>
          <cell r="C34" t="str">
            <v>Pago Voluntario</v>
          </cell>
          <cell r="D34">
            <v>5</v>
          </cell>
        </row>
        <row r="35">
          <cell r="A35" t="str">
            <v>34 - ALBROOK MALL</v>
          </cell>
        </row>
        <row r="36">
          <cell r="A36" t="str">
            <v>35 - PANAMA PACIFICO</v>
          </cell>
        </row>
        <row r="37">
          <cell r="A37" t="str">
            <v>37 - PENONOME</v>
          </cell>
        </row>
        <row r="38">
          <cell r="A38" t="str">
            <v>38 - ALBROOK</v>
          </cell>
          <cell r="B38" t="str">
            <v>Primera Residencia</v>
          </cell>
          <cell r="C38" t="str">
            <v>SI</v>
          </cell>
          <cell r="E38" t="str">
            <v>SI</v>
          </cell>
          <cell r="F38">
            <v>1</v>
          </cell>
          <cell r="H38" t="str">
            <v/>
          </cell>
        </row>
        <row r="39">
          <cell r="A39" t="str">
            <v>39 - SUCURSAL DE VISTA ALEGRE</v>
          </cell>
          <cell r="B39" t="str">
            <v>Segunda Residencia</v>
          </cell>
          <cell r="C39" t="str">
            <v>NO</v>
          </cell>
          <cell r="E39" t="str">
            <v>NO</v>
          </cell>
          <cell r="F39">
            <v>2</v>
          </cell>
          <cell r="H39" t="str">
            <v/>
          </cell>
        </row>
        <row r="40">
          <cell r="A40" t="str">
            <v>40 - LAS TABLAS</v>
          </cell>
          <cell r="B40" t="str">
            <v>Inversión</v>
          </cell>
          <cell r="H40" t="str">
            <v/>
          </cell>
        </row>
        <row r="41">
          <cell r="A41" t="str">
            <v>41 - 24 DE DICIEMBRE</v>
          </cell>
          <cell r="H41" t="str">
            <v/>
          </cell>
        </row>
        <row r="42">
          <cell r="A42" t="str">
            <v>42 - DAVID - TERRONAL</v>
          </cell>
          <cell r="H42" t="str">
            <v>Otros</v>
          </cell>
        </row>
        <row r="43">
          <cell r="A43" t="str">
            <v>43 - COSTA DEL ESTE</v>
          </cell>
          <cell r="B43" t="str">
            <v>Comisiones y  Servicios Legales</v>
          </cell>
          <cell r="E43" t="str">
            <v>Objetivo</v>
          </cell>
        </row>
        <row r="44">
          <cell r="A44" t="str">
            <v>44 - MULTI PLAZA</v>
          </cell>
          <cell r="B44" t="str">
            <v>Prest. de Auto</v>
          </cell>
          <cell r="E44" t="str">
            <v>Indefinido revisado</v>
          </cell>
        </row>
        <row r="45">
          <cell r="A45" t="str">
            <v>45 - HOSPITAL PUNTA PACIFICA</v>
          </cell>
          <cell r="B45" t="str">
            <v>Alquiler</v>
          </cell>
          <cell r="E45" t="str">
            <v>No objetivo</v>
          </cell>
        </row>
        <row r="46">
          <cell r="A46" t="str">
            <v>46 - TERMINAL DE ALBROOK</v>
          </cell>
          <cell r="B46" t="str">
            <v>Factoring</v>
          </cell>
          <cell r="E46" t="str">
            <v>Indefinido no revisado</v>
          </cell>
        </row>
        <row r="47">
          <cell r="A47" t="str">
            <v>47 - CONCEPCION</v>
          </cell>
          <cell r="B47" t="str">
            <v>Facilidades de Crédito</v>
          </cell>
        </row>
        <row r="48">
          <cell r="A48" t="str">
            <v>48 - BOQUETE</v>
          </cell>
          <cell r="B48" t="str">
            <v xml:space="preserve">Hipoteca </v>
          </cell>
          <cell r="H48" t="str">
            <v>SI</v>
          </cell>
          <cell r="I48">
            <v>1</v>
          </cell>
        </row>
        <row r="49">
          <cell r="A49" t="str">
            <v>49 - BRISAS DEL GOLF</v>
          </cell>
          <cell r="B49" t="str">
            <v>Línea Rotativa</v>
          </cell>
          <cell r="E49" t="str">
            <v>Compra de Vivienda</v>
          </cell>
          <cell r="H49" t="str">
            <v>NO</v>
          </cell>
          <cell r="I49">
            <v>2</v>
          </cell>
        </row>
        <row r="50">
          <cell r="A50" t="str">
            <v>51 - PUENTE CENTENARIO</v>
          </cell>
          <cell r="B50" t="str">
            <v>Línea de Crédito</v>
          </cell>
          <cell r="E50" t="str">
            <v>Casa Cash</v>
          </cell>
        </row>
        <row r="51">
          <cell r="A51" t="str">
            <v>53 - AGUADULCE</v>
          </cell>
          <cell r="B51" t="str">
            <v>Leasing</v>
          </cell>
          <cell r="E51" t="str">
            <v>Compra Vivienda Vacacional</v>
          </cell>
        </row>
        <row r="52">
          <cell r="A52" t="str">
            <v>54 - SABANITAS</v>
          </cell>
          <cell r="B52" t="str">
            <v>Prest. Personal</v>
          </cell>
          <cell r="E52" t="str">
            <v>Traspaso de Otro Banco</v>
          </cell>
        </row>
        <row r="53">
          <cell r="A53" t="str">
            <v>66 - METROMALL</v>
          </cell>
          <cell r="B53" t="str">
            <v>Prest. Agropecuario</v>
          </cell>
          <cell r="E53" t="str">
            <v>Traspaso por compra de vivienda (Ley Preferencial en BG)</v>
          </cell>
        </row>
        <row r="54">
          <cell r="A54" t="str">
            <v>68 - ALTOS DE PANAMA</v>
          </cell>
          <cell r="B54" t="str">
            <v>Prest. Comercial</v>
          </cell>
          <cell r="E54" t="str">
            <v>Construcción</v>
          </cell>
        </row>
        <row r="55">
          <cell r="A55" t="str">
            <v>69 - VERSALLES</v>
          </cell>
          <cell r="B55" t="str">
            <v>Prest. Prendario</v>
          </cell>
          <cell r="E55" t="str">
            <v>Compra Venta de Acciones</v>
          </cell>
        </row>
        <row r="56">
          <cell r="A56" t="str">
            <v>70 - BUSINESS PARK</v>
          </cell>
          <cell r="B56" t="str">
            <v>Prest. Educativo</v>
          </cell>
        </row>
        <row r="57">
          <cell r="A57" t="str">
            <v>71 - SAN FRANCISCO</v>
          </cell>
          <cell r="B57" t="str">
            <v>Servicios</v>
          </cell>
        </row>
        <row r="58">
          <cell r="A58" t="str">
            <v>72 - PLAZA BANCO GENERAL</v>
          </cell>
          <cell r="B58" t="str">
            <v>Tarjeta de Crédito</v>
          </cell>
          <cell r="E58" t="str">
            <v>Cambio de Dueño y Deudor</v>
          </cell>
        </row>
        <row r="59">
          <cell r="A59" t="str">
            <v>73 - LA CHORRERA - PARQUE 10 DE NOV.</v>
          </cell>
          <cell r="B59" t="str">
            <v>Excedente</v>
          </cell>
          <cell r="E59" t="str">
            <v>Cambio de Dueño</v>
          </cell>
        </row>
        <row r="60">
          <cell r="A60" t="str">
            <v>74 - COSTA DEL ESTE - CENTENARIO</v>
          </cell>
          <cell r="B60" t="str">
            <v>Aplicar Préstamo BG</v>
          </cell>
          <cell r="E60" t="str">
            <v>Cambio de Deudor</v>
          </cell>
        </row>
        <row r="61">
          <cell r="A61" t="str">
            <v>76 - CLAYTON</v>
          </cell>
          <cell r="B61" t="str">
            <v>Promotor/Vendedor</v>
          </cell>
          <cell r="E61" t="str">
            <v>Cambio de Fiador Solidario</v>
          </cell>
        </row>
        <row r="62">
          <cell r="A62" t="str">
            <v>77 - MARBELLA</v>
          </cell>
          <cell r="B62" t="str">
            <v>Intereses</v>
          </cell>
        </row>
        <row r="63">
          <cell r="A63" t="str">
            <v>78 - PLAZA CAROLINA</v>
          </cell>
          <cell r="B63" t="str">
            <v>Adjudicado</v>
          </cell>
        </row>
        <row r="64">
          <cell r="A64" t="str">
            <v>79 - PLAZA CORDOBA</v>
          </cell>
          <cell r="B64" t="str">
            <v>Interino</v>
          </cell>
        </row>
        <row r="65">
          <cell r="A65" t="str">
            <v>80 - VIA SIMON BOLIVAR</v>
          </cell>
          <cell r="B65" t="str">
            <v>Interino BG</v>
          </cell>
        </row>
        <row r="66">
          <cell r="A66" t="str">
            <v>89 - JUSTO AROSEMENA</v>
          </cell>
          <cell r="B66" t="str">
            <v>Fideicomiso BG</v>
          </cell>
        </row>
        <row r="67">
          <cell r="A67" t="str">
            <v>91 - NEGOCIOS</v>
          </cell>
        </row>
        <row r="68">
          <cell r="A68" t="str">
            <v>95 - BOULEVARD EL DORADO</v>
          </cell>
          <cell r="E68" t="str">
            <v>A - Asalariado</v>
          </cell>
          <cell r="F68">
            <v>1</v>
          </cell>
          <cell r="G68" t="str">
            <v>A</v>
          </cell>
        </row>
        <row r="69">
          <cell r="A69" t="str">
            <v>97 - SAN SEBASTIAN</v>
          </cell>
          <cell r="E69" t="str">
            <v>A-1 Independiente</v>
          </cell>
          <cell r="F69">
            <v>2</v>
          </cell>
          <cell r="G69" t="str">
            <v>A-1</v>
          </cell>
        </row>
        <row r="70">
          <cell r="A70" t="str">
            <v>98 - SANTIAGO INTERAMERICANA</v>
          </cell>
          <cell r="E70" t="str">
            <v>B - Panameños ingresos en el exterior</v>
          </cell>
          <cell r="F70">
            <v>3</v>
          </cell>
          <cell r="G70" t="str">
            <v>B</v>
          </cell>
        </row>
        <row r="71">
          <cell r="A71" t="str">
            <v>99 - CIUDAD DEL SABER</v>
          </cell>
          <cell r="E71" t="str">
            <v>C - Extranjeros ingresos en el exterior</v>
          </cell>
          <cell r="F71">
            <v>4</v>
          </cell>
          <cell r="G71" t="str">
            <v>C</v>
          </cell>
        </row>
        <row r="72">
          <cell r="A72" t="str">
            <v>BIENES REPOSEÍDOS</v>
          </cell>
          <cell r="E72" t="str">
            <v>D - Extranjeros ingresos en Panamá</v>
          </cell>
          <cell r="F72">
            <v>5</v>
          </cell>
          <cell r="G72" t="str">
            <v>D</v>
          </cell>
        </row>
        <row r="73">
          <cell r="A73" t="str">
            <v>F.V. CONSUMO</v>
          </cell>
        </row>
        <row r="74">
          <cell r="A74" t="str">
            <v>F.V. CONSUMO INTERIOR</v>
          </cell>
        </row>
        <row r="75">
          <cell r="A75" t="str">
            <v>RETENCIÓN</v>
          </cell>
          <cell r="E75" t="str">
            <v>Asalariado</v>
          </cell>
          <cell r="F75">
            <v>1</v>
          </cell>
        </row>
        <row r="76">
          <cell r="A76" t="str">
            <v>CAPITAL HUMANO</v>
          </cell>
          <cell r="E76" t="str">
            <v>Independiente</v>
          </cell>
          <cell r="F76">
            <v>2</v>
          </cell>
        </row>
        <row r="77">
          <cell r="A77" t="str">
            <v>CENTRO DE ATENCIÓN AL CLIENTE</v>
          </cell>
          <cell r="E77" t="str">
            <v>Jubilado / Pensionado</v>
          </cell>
          <cell r="F77">
            <v>3</v>
          </cell>
        </row>
        <row r="78">
          <cell r="A78" t="str">
            <v>SERVICIOS HIPOTECARIOS</v>
          </cell>
          <cell r="E78" t="str">
            <v>Fundaciones</v>
          </cell>
          <cell r="F78">
            <v>4</v>
          </cell>
        </row>
        <row r="79">
          <cell r="A79" t="str">
            <v>TELEMERCADEO</v>
          </cell>
          <cell r="E79" t="str">
            <v>Sociedades</v>
          </cell>
          <cell r="F79">
            <v>5</v>
          </cell>
        </row>
        <row r="80">
          <cell r="A80" t="str">
            <v>125 - COSTA VERDE</v>
          </cell>
          <cell r="E80" t="str">
            <v>Panameños ingresos en el exterior</v>
          </cell>
          <cell r="F80">
            <v>6</v>
          </cell>
        </row>
        <row r="81">
          <cell r="A81" t="str">
            <v>131 - PLAZA LOS ANGELES</v>
          </cell>
          <cell r="E81" t="str">
            <v>Extranjeros ingresos en el exterior</v>
          </cell>
          <cell r="F81">
            <v>7</v>
          </cell>
        </row>
        <row r="82">
          <cell r="A82" t="str">
            <v>157- SAN MATEO</v>
          </cell>
          <cell r="E82" t="str">
            <v>Extranjeros ingresos en Panamá</v>
          </cell>
          <cell r="F82">
            <v>8</v>
          </cell>
        </row>
        <row r="83">
          <cell r="A83" t="str">
            <v>162 - BRISAS DEL GOLF - ARRAIJAN</v>
          </cell>
        </row>
        <row r="84">
          <cell r="A84" t="str">
            <v>102 - AZUERO TERMINAL PLAZA</v>
          </cell>
        </row>
        <row r="85">
          <cell r="A85" t="str">
            <v xml:space="preserve">164 - PASEO ARRAIJAN
</v>
          </cell>
        </row>
        <row r="86">
          <cell r="A86" t="str">
            <v>101 - VILLA ZAITA</v>
          </cell>
        </row>
        <row r="87">
          <cell r="A87" t="str">
            <v>196 - SANTA MARIA</v>
          </cell>
        </row>
        <row r="88">
          <cell r="A88" t="str">
            <v>103 - TOWER CENTER COSTA DEL ESTE</v>
          </cell>
        </row>
        <row r="89">
          <cell r="A89" t="str">
            <v>RECUPERACIÓN DE CARTERA</v>
          </cell>
        </row>
        <row r="95">
          <cell r="E95" t="str">
            <v>SI</v>
          </cell>
          <cell r="F95">
            <v>1</v>
          </cell>
        </row>
        <row r="96">
          <cell r="E96" t="str">
            <v>NO</v>
          </cell>
          <cell r="F96">
            <v>2</v>
          </cell>
        </row>
        <row r="99">
          <cell r="E99" t="str">
            <v>Individual</v>
          </cell>
          <cell r="F99">
            <v>1</v>
          </cell>
        </row>
        <row r="100">
          <cell r="E100" t="str">
            <v>Casco Antiguo</v>
          </cell>
          <cell r="F100">
            <v>2</v>
          </cell>
        </row>
        <row r="104">
          <cell r="E104" t="str">
            <v>Panamá</v>
          </cell>
          <cell r="F104">
            <v>2</v>
          </cell>
        </row>
        <row r="105">
          <cell r="E105" t="str">
            <v>Interior</v>
          </cell>
          <cell r="F105">
            <v>1</v>
          </cell>
        </row>
        <row r="126">
          <cell r="E126" t="str">
            <v>SI</v>
          </cell>
        </row>
        <row r="127">
          <cell r="E127" t="str">
            <v>NO</v>
          </cell>
        </row>
        <row r="132">
          <cell r="E132" t="str">
            <v>Patrimonial</v>
          </cell>
        </row>
        <row r="133">
          <cell r="E133" t="str">
            <v>Diamante</v>
          </cell>
        </row>
        <row r="134">
          <cell r="E134" t="str">
            <v>Platino</v>
          </cell>
        </row>
        <row r="135">
          <cell r="E135" t="str">
            <v>Dorado</v>
          </cell>
        </row>
        <row r="136">
          <cell r="E136" t="str">
            <v>Plateado</v>
          </cell>
        </row>
        <row r="137">
          <cell r="E137" t="str">
            <v>Estrella</v>
          </cell>
        </row>
        <row r="141">
          <cell r="E141" t="str">
            <v>Fuerte</v>
          </cell>
        </row>
        <row r="142">
          <cell r="E142" t="str">
            <v>Medio</v>
          </cell>
        </row>
        <row r="143">
          <cell r="E143" t="str">
            <v>Bajo</v>
          </cell>
        </row>
      </sheetData>
      <sheetData sheetId="6">
        <row r="74">
          <cell r="A74">
            <v>1</v>
          </cell>
          <cell r="B74">
            <v>5</v>
          </cell>
        </row>
        <row r="75">
          <cell r="A75">
            <v>50001</v>
          </cell>
          <cell r="B75">
            <v>8</v>
          </cell>
        </row>
        <row r="76">
          <cell r="A76">
            <v>80001</v>
          </cell>
          <cell r="B76">
            <v>10</v>
          </cell>
        </row>
        <row r="77">
          <cell r="A77">
            <v>100001</v>
          </cell>
          <cell r="B77">
            <v>15</v>
          </cell>
        </row>
        <row r="78">
          <cell r="A78">
            <v>150001</v>
          </cell>
          <cell r="B78">
            <v>20</v>
          </cell>
        </row>
        <row r="79">
          <cell r="A79">
            <v>200001</v>
          </cell>
          <cell r="B79">
            <v>30</v>
          </cell>
        </row>
        <row r="80">
          <cell r="A80">
            <v>250001</v>
          </cell>
          <cell r="B80">
            <v>40</v>
          </cell>
        </row>
        <row r="81">
          <cell r="A81">
            <v>300001</v>
          </cell>
          <cell r="B81">
            <v>50</v>
          </cell>
        </row>
        <row r="82">
          <cell r="A82">
            <v>350001</v>
          </cell>
          <cell r="B82">
            <v>60</v>
          </cell>
        </row>
        <row r="83">
          <cell r="A83">
            <v>400001</v>
          </cell>
          <cell r="B83">
            <v>70</v>
          </cell>
        </row>
        <row r="84">
          <cell r="A84">
            <v>450001</v>
          </cell>
          <cell r="B84">
            <v>80</v>
          </cell>
        </row>
        <row r="85">
          <cell r="A85">
            <v>500001</v>
          </cell>
          <cell r="B85">
            <v>90</v>
          </cell>
        </row>
        <row r="86">
          <cell r="A86">
            <v>550001</v>
          </cell>
          <cell r="B86">
            <v>100</v>
          </cell>
        </row>
      </sheetData>
      <sheetData sheetId="7">
        <row r="2">
          <cell r="J2" t="str">
            <v>A-1Cambio de DeudorIndividualResidencialUsadaApartamentoBG000000005000.00</v>
          </cell>
          <cell r="K2">
            <v>5000</v>
          </cell>
          <cell r="L2">
            <v>50000000</v>
          </cell>
          <cell r="M2">
            <v>100</v>
          </cell>
          <cell r="N2">
            <v>30</v>
          </cell>
          <cell r="O2">
            <v>0</v>
          </cell>
          <cell r="P2">
            <v>0</v>
          </cell>
        </row>
        <row r="3">
          <cell r="J3" t="str">
            <v>A-1Cambio de DeudorIndividualResidencialUsadaApartamentoCOPA000000005000.00</v>
          </cell>
          <cell r="K3">
            <v>5000</v>
          </cell>
          <cell r="L3">
            <v>50000000</v>
          </cell>
          <cell r="M3">
            <v>100</v>
          </cell>
          <cell r="N3">
            <v>30</v>
          </cell>
          <cell r="O3">
            <v>0</v>
          </cell>
          <cell r="P3">
            <v>0</v>
          </cell>
        </row>
        <row r="4">
          <cell r="J4" t="str">
            <v>A-1Cambio de DeudorIndividualResidencialUsadaApartamentoFERIA000000005000.00</v>
          </cell>
          <cell r="K4">
            <v>5000</v>
          </cell>
          <cell r="L4">
            <v>50000000</v>
          </cell>
          <cell r="M4">
            <v>100</v>
          </cell>
          <cell r="N4">
            <v>30</v>
          </cell>
          <cell r="O4">
            <v>0</v>
          </cell>
          <cell r="P4">
            <v>0</v>
          </cell>
        </row>
        <row r="5">
          <cell r="J5" t="str">
            <v>A-1Cambio de DeudorIndividualResidencialUsadaCasaBG000000005000.00</v>
          </cell>
          <cell r="K5">
            <v>5000</v>
          </cell>
          <cell r="L5">
            <v>50000000</v>
          </cell>
          <cell r="M5">
            <v>100</v>
          </cell>
          <cell r="N5">
            <v>30</v>
          </cell>
          <cell r="O5">
            <v>0</v>
          </cell>
          <cell r="P5">
            <v>0</v>
          </cell>
        </row>
        <row r="6">
          <cell r="J6" t="str">
            <v>A-1Cambio de DeudorIndividualResidencialUsadaCasaCOPA000000005000.00</v>
          </cell>
          <cell r="K6">
            <v>5000</v>
          </cell>
          <cell r="L6">
            <v>50000000</v>
          </cell>
          <cell r="M6">
            <v>100</v>
          </cell>
          <cell r="N6">
            <v>30</v>
          </cell>
          <cell r="O6">
            <v>0</v>
          </cell>
          <cell r="P6">
            <v>0</v>
          </cell>
        </row>
        <row r="7">
          <cell r="J7" t="str">
            <v>A-1Cambio de DeudorIndividualResidencialUsadaCasaFERIA000000005000.00</v>
          </cell>
          <cell r="K7">
            <v>5000</v>
          </cell>
          <cell r="L7">
            <v>50000000</v>
          </cell>
          <cell r="M7">
            <v>100</v>
          </cell>
          <cell r="N7">
            <v>30</v>
          </cell>
          <cell r="O7">
            <v>0</v>
          </cell>
          <cell r="P7">
            <v>0</v>
          </cell>
        </row>
        <row r="8">
          <cell r="J8" t="str">
            <v>A-1Cambio de DeudorLey PreferencialResidencialUsadaApartamentoBG000000005000.00</v>
          </cell>
          <cell r="K8">
            <v>5000</v>
          </cell>
          <cell r="L8">
            <v>120000</v>
          </cell>
          <cell r="M8">
            <v>100</v>
          </cell>
          <cell r="N8">
            <v>30</v>
          </cell>
          <cell r="O8">
            <v>0</v>
          </cell>
          <cell r="P8">
            <v>4.28</v>
          </cell>
        </row>
        <row r="9">
          <cell r="J9" t="str">
            <v>A-1Cambio de DeudorLey PreferencialResidencialUsadaApartamentoCOPA000000005000.00</v>
          </cell>
          <cell r="K9">
            <v>5000</v>
          </cell>
          <cell r="L9">
            <v>120000</v>
          </cell>
          <cell r="M9">
            <v>100</v>
          </cell>
          <cell r="N9">
            <v>30</v>
          </cell>
          <cell r="O9">
            <v>0</v>
          </cell>
          <cell r="P9">
            <v>8.56</v>
          </cell>
        </row>
        <row r="10">
          <cell r="J10" t="str">
            <v>A-1Cambio de DeudorLey PreferencialResidencialUsadaApartamentoFERIA000000005000.00</v>
          </cell>
          <cell r="K10">
            <v>5000</v>
          </cell>
          <cell r="L10">
            <v>120000</v>
          </cell>
          <cell r="M10">
            <v>100</v>
          </cell>
          <cell r="N10">
            <v>30</v>
          </cell>
          <cell r="O10">
            <v>0</v>
          </cell>
          <cell r="P10">
            <v>4.28</v>
          </cell>
        </row>
        <row r="11">
          <cell r="J11" t="str">
            <v>A-1Cambio de DeudorLey PreferencialResidencialUsadaCasaBG000000005000.00</v>
          </cell>
          <cell r="K11">
            <v>5000</v>
          </cell>
          <cell r="L11">
            <v>120000</v>
          </cell>
          <cell r="M11">
            <v>100</v>
          </cell>
          <cell r="N11">
            <v>30</v>
          </cell>
          <cell r="O11">
            <v>0</v>
          </cell>
          <cell r="P11">
            <v>4.28</v>
          </cell>
        </row>
        <row r="12">
          <cell r="J12" t="str">
            <v>A-1Cambio de DeudorLey PreferencialResidencialUsadaCasaCOPA000000005000.00</v>
          </cell>
          <cell r="K12">
            <v>5000</v>
          </cell>
          <cell r="L12">
            <v>120000</v>
          </cell>
          <cell r="M12">
            <v>100</v>
          </cell>
          <cell r="N12">
            <v>30</v>
          </cell>
          <cell r="O12">
            <v>0</v>
          </cell>
          <cell r="P12">
            <v>8.56</v>
          </cell>
        </row>
        <row r="13">
          <cell r="J13" t="str">
            <v>A-1Cambio de DeudorLey PreferencialResidencialUsadaCasaFERIA000000005000.00</v>
          </cell>
          <cell r="K13">
            <v>5000</v>
          </cell>
          <cell r="L13">
            <v>120000</v>
          </cell>
          <cell r="M13">
            <v>100</v>
          </cell>
          <cell r="N13">
            <v>30</v>
          </cell>
          <cell r="O13">
            <v>0</v>
          </cell>
          <cell r="P13">
            <v>4.28</v>
          </cell>
        </row>
        <row r="14">
          <cell r="J14" t="str">
            <v>A-1Cambio de Dueño y DeudorIndividualResidencialUsadaApartamentoBG000000005000.00</v>
          </cell>
          <cell r="K14">
            <v>5000</v>
          </cell>
          <cell r="L14">
            <v>50000000</v>
          </cell>
          <cell r="M14">
            <v>100</v>
          </cell>
          <cell r="N14">
            <v>30</v>
          </cell>
          <cell r="O14">
            <v>0</v>
          </cell>
          <cell r="P14">
            <v>0</v>
          </cell>
        </row>
        <row r="15">
          <cell r="J15" t="str">
            <v>A-1Cambio de Dueño y DeudorIndividualResidencialUsadaApartamentoCOPA000000005000.00</v>
          </cell>
          <cell r="K15">
            <v>5000</v>
          </cell>
          <cell r="L15">
            <v>50000000</v>
          </cell>
          <cell r="M15">
            <v>100</v>
          </cell>
          <cell r="N15">
            <v>30</v>
          </cell>
          <cell r="O15">
            <v>0</v>
          </cell>
          <cell r="P15">
            <v>0</v>
          </cell>
        </row>
        <row r="16">
          <cell r="J16" t="str">
            <v>A-1Cambio de Dueño y DeudorIndividualResidencialUsadaApartamentoFERIA000000005000.00</v>
          </cell>
          <cell r="K16">
            <v>5000</v>
          </cell>
          <cell r="L16">
            <v>50000000</v>
          </cell>
          <cell r="M16">
            <v>100</v>
          </cell>
          <cell r="N16">
            <v>30</v>
          </cell>
          <cell r="O16">
            <v>0</v>
          </cell>
          <cell r="P16">
            <v>0</v>
          </cell>
        </row>
        <row r="17">
          <cell r="J17" t="str">
            <v>A-1Cambio de Dueño y DeudorIndividualResidencialUsadaCasaBG000000005000.00</v>
          </cell>
          <cell r="K17">
            <v>5000</v>
          </cell>
          <cell r="L17">
            <v>50000000</v>
          </cell>
          <cell r="M17">
            <v>100</v>
          </cell>
          <cell r="N17">
            <v>30</v>
          </cell>
          <cell r="O17">
            <v>0</v>
          </cell>
          <cell r="P17">
            <v>0</v>
          </cell>
        </row>
        <row r="18">
          <cell r="J18" t="str">
            <v>A-1Cambio de Dueño y DeudorIndividualResidencialUsadaCasaCOPA000000005000.00</v>
          </cell>
          <cell r="K18">
            <v>5000</v>
          </cell>
          <cell r="L18">
            <v>50000000</v>
          </cell>
          <cell r="M18">
            <v>100</v>
          </cell>
          <cell r="N18">
            <v>30</v>
          </cell>
          <cell r="O18">
            <v>0</v>
          </cell>
          <cell r="P18">
            <v>0</v>
          </cell>
        </row>
        <row r="19">
          <cell r="J19" t="str">
            <v>A-1Cambio de Dueño y DeudorIndividualResidencialUsadaCasaFERIA000000005000.00</v>
          </cell>
          <cell r="K19">
            <v>5000</v>
          </cell>
          <cell r="L19">
            <v>50000000</v>
          </cell>
          <cell r="M19">
            <v>100</v>
          </cell>
          <cell r="N19">
            <v>30</v>
          </cell>
          <cell r="O19">
            <v>0</v>
          </cell>
          <cell r="P19">
            <v>0</v>
          </cell>
        </row>
        <row r="20">
          <cell r="J20" t="str">
            <v>A-1Cambio de Dueño y DeudorLey PreferencialResidencialUsadaApartamentoBG000000005000.00</v>
          </cell>
          <cell r="K20">
            <v>5000</v>
          </cell>
          <cell r="L20">
            <v>120000</v>
          </cell>
          <cell r="M20">
            <v>100</v>
          </cell>
          <cell r="N20">
            <v>30</v>
          </cell>
          <cell r="O20">
            <v>0</v>
          </cell>
          <cell r="P20">
            <v>4.28</v>
          </cell>
        </row>
        <row r="21">
          <cell r="J21" t="str">
            <v>A-1Cambio de Dueño y DeudorLey PreferencialResidencialUsadaApartamentoCOPA000000005000.00</v>
          </cell>
          <cell r="K21">
            <v>5000</v>
          </cell>
          <cell r="L21">
            <v>120000</v>
          </cell>
          <cell r="M21">
            <v>100</v>
          </cell>
          <cell r="N21">
            <v>30</v>
          </cell>
          <cell r="O21">
            <v>0</v>
          </cell>
          <cell r="P21">
            <v>8.56</v>
          </cell>
        </row>
        <row r="22">
          <cell r="J22" t="str">
            <v>A-1Cambio de Dueño y DeudorLey PreferencialResidencialUsadaApartamentoFERIA000000005000.00</v>
          </cell>
          <cell r="K22">
            <v>5000</v>
          </cell>
          <cell r="L22">
            <v>120000</v>
          </cell>
          <cell r="M22">
            <v>100</v>
          </cell>
          <cell r="N22">
            <v>30</v>
          </cell>
          <cell r="O22">
            <v>0</v>
          </cell>
          <cell r="P22">
            <v>4.28</v>
          </cell>
        </row>
        <row r="23">
          <cell r="J23" t="str">
            <v>A-1Cambio de Dueño y DeudorLey PreferencialResidencialUsadaCasaBG000000005000.00</v>
          </cell>
          <cell r="K23">
            <v>5000</v>
          </cell>
          <cell r="L23">
            <v>120000</v>
          </cell>
          <cell r="M23">
            <v>100</v>
          </cell>
          <cell r="N23">
            <v>30</v>
          </cell>
          <cell r="O23">
            <v>0</v>
          </cell>
          <cell r="P23">
            <v>4.28</v>
          </cell>
        </row>
        <row r="24">
          <cell r="J24" t="str">
            <v>A-1Cambio de Dueño y DeudorLey PreferencialResidencialUsadaCasaCOPA000000005000.00</v>
          </cell>
          <cell r="K24">
            <v>5000</v>
          </cell>
          <cell r="L24">
            <v>120000</v>
          </cell>
          <cell r="M24">
            <v>100</v>
          </cell>
          <cell r="N24">
            <v>30</v>
          </cell>
          <cell r="O24">
            <v>0</v>
          </cell>
          <cell r="P24">
            <v>8.56</v>
          </cell>
        </row>
        <row r="25">
          <cell r="J25" t="str">
            <v>A-1Cambio de Dueño y DeudorLey PreferencialResidencialUsadaCasaFERIA000000005000.00</v>
          </cell>
          <cell r="K25">
            <v>5000</v>
          </cell>
          <cell r="L25">
            <v>120000</v>
          </cell>
          <cell r="M25">
            <v>100</v>
          </cell>
          <cell r="N25">
            <v>30</v>
          </cell>
          <cell r="O25">
            <v>0</v>
          </cell>
          <cell r="P25">
            <v>4.28</v>
          </cell>
        </row>
        <row r="26">
          <cell r="J26" t="str">
            <v>A-1Cambio de DueñoIndividualResidencialUsadaApartamentoBG000000005000.00</v>
          </cell>
          <cell r="K26">
            <v>5000</v>
          </cell>
          <cell r="L26">
            <v>50000000</v>
          </cell>
          <cell r="M26">
            <v>100</v>
          </cell>
          <cell r="N26">
            <v>30</v>
          </cell>
          <cell r="O26">
            <v>0</v>
          </cell>
          <cell r="P26">
            <v>0</v>
          </cell>
        </row>
        <row r="27">
          <cell r="J27" t="str">
            <v>A-1Cambio de DueñoIndividualResidencialUsadaApartamentoCOPA000000005000.00</v>
          </cell>
          <cell r="K27">
            <v>5000</v>
          </cell>
          <cell r="L27">
            <v>50000000</v>
          </cell>
          <cell r="M27">
            <v>100</v>
          </cell>
          <cell r="N27">
            <v>30</v>
          </cell>
          <cell r="O27">
            <v>0</v>
          </cell>
          <cell r="P27">
            <v>0</v>
          </cell>
        </row>
        <row r="28">
          <cell r="J28" t="str">
            <v>A-1Cambio de DueñoIndividualResidencialUsadaApartamentoFERIA000000005000.00</v>
          </cell>
          <cell r="K28">
            <v>5000</v>
          </cell>
          <cell r="L28">
            <v>50000000</v>
          </cell>
          <cell r="M28">
            <v>100</v>
          </cell>
          <cell r="N28">
            <v>30</v>
          </cell>
          <cell r="O28">
            <v>0</v>
          </cell>
          <cell r="P28">
            <v>0</v>
          </cell>
        </row>
        <row r="29">
          <cell r="J29" t="str">
            <v>A-1Cambio de DueñoIndividualResidencialUsadaCasaBG000000005000.00</v>
          </cell>
          <cell r="K29">
            <v>5000</v>
          </cell>
          <cell r="L29">
            <v>50000000</v>
          </cell>
          <cell r="M29">
            <v>100</v>
          </cell>
          <cell r="N29">
            <v>30</v>
          </cell>
          <cell r="O29">
            <v>0</v>
          </cell>
          <cell r="P29">
            <v>0</v>
          </cell>
        </row>
        <row r="30">
          <cell r="J30" t="str">
            <v>A-1Cambio de DueñoIndividualResidencialUsadaCasaCOPA000000005000.00</v>
          </cell>
          <cell r="K30">
            <v>5000</v>
          </cell>
          <cell r="L30">
            <v>50000000</v>
          </cell>
          <cell r="M30">
            <v>100</v>
          </cell>
          <cell r="N30">
            <v>30</v>
          </cell>
          <cell r="O30">
            <v>0</v>
          </cell>
          <cell r="P30">
            <v>0</v>
          </cell>
        </row>
        <row r="31">
          <cell r="J31" t="str">
            <v>A-1Cambio de DueñoIndividualResidencialUsadaCasaFERIA000000005000.00</v>
          </cell>
          <cell r="K31">
            <v>5000</v>
          </cell>
          <cell r="L31">
            <v>50000000</v>
          </cell>
          <cell r="M31">
            <v>100</v>
          </cell>
          <cell r="N31">
            <v>30</v>
          </cell>
          <cell r="O31">
            <v>0</v>
          </cell>
          <cell r="P31">
            <v>0</v>
          </cell>
        </row>
        <row r="32">
          <cell r="J32" t="str">
            <v>A-1Cambio de DueñoLey PreferencialResidencialUsadaApartamentoBG000000005000.00</v>
          </cell>
          <cell r="K32">
            <v>5000</v>
          </cell>
          <cell r="L32">
            <v>120000</v>
          </cell>
          <cell r="M32">
            <v>100</v>
          </cell>
          <cell r="N32">
            <v>30</v>
          </cell>
          <cell r="O32">
            <v>0</v>
          </cell>
          <cell r="P32">
            <v>4.28</v>
          </cell>
        </row>
        <row r="33">
          <cell r="J33" t="str">
            <v>A-1Cambio de DueñoLey PreferencialResidencialUsadaApartamentoCOPA000000005000.00</v>
          </cell>
          <cell r="K33">
            <v>5000</v>
          </cell>
          <cell r="L33">
            <v>120000</v>
          </cell>
          <cell r="M33">
            <v>100</v>
          </cell>
          <cell r="N33">
            <v>30</v>
          </cell>
          <cell r="O33">
            <v>0</v>
          </cell>
          <cell r="P33">
            <v>8.56</v>
          </cell>
        </row>
        <row r="34">
          <cell r="J34" t="str">
            <v>A-1Cambio de DueñoLey PreferencialResidencialUsadaApartamentoFERIA000000005000.00</v>
          </cell>
          <cell r="K34">
            <v>5000</v>
          </cell>
          <cell r="L34">
            <v>120000</v>
          </cell>
          <cell r="M34">
            <v>100</v>
          </cell>
          <cell r="N34">
            <v>30</v>
          </cell>
          <cell r="O34">
            <v>0</v>
          </cell>
          <cell r="P34">
            <v>4.28</v>
          </cell>
        </row>
        <row r="35">
          <cell r="J35" t="str">
            <v>A-1Cambio de DueñoLey PreferencialResidencialUsadaCasaBG000000005000.00</v>
          </cell>
          <cell r="K35">
            <v>5000</v>
          </cell>
          <cell r="L35">
            <v>120000</v>
          </cell>
          <cell r="M35">
            <v>100</v>
          </cell>
          <cell r="N35">
            <v>30</v>
          </cell>
          <cell r="O35">
            <v>0</v>
          </cell>
          <cell r="P35">
            <v>4.28</v>
          </cell>
        </row>
        <row r="36">
          <cell r="J36" t="str">
            <v>A-1Cambio de DueñoLey PreferencialResidencialUsadaCasaCOPA000000005000.00</v>
          </cell>
          <cell r="K36">
            <v>5000</v>
          </cell>
          <cell r="L36">
            <v>120000</v>
          </cell>
          <cell r="M36">
            <v>100</v>
          </cell>
          <cell r="N36">
            <v>30</v>
          </cell>
          <cell r="O36">
            <v>0</v>
          </cell>
          <cell r="P36">
            <v>8.56</v>
          </cell>
        </row>
        <row r="37">
          <cell r="J37" t="str">
            <v>A-1Cambio de DueñoLey PreferencialResidencialUsadaCasaFERIA000000005000.00</v>
          </cell>
          <cell r="K37">
            <v>5000</v>
          </cell>
          <cell r="L37">
            <v>120000</v>
          </cell>
          <cell r="M37">
            <v>100</v>
          </cell>
          <cell r="N37">
            <v>30</v>
          </cell>
          <cell r="O37">
            <v>0</v>
          </cell>
          <cell r="P37">
            <v>4.28</v>
          </cell>
        </row>
        <row r="38">
          <cell r="J38" t="str">
            <v>A-1Cambio de Fiador SolidarioIndividualResidencialUsadaApartamentoBG000000005000.00</v>
          </cell>
          <cell r="K38">
            <v>5000</v>
          </cell>
          <cell r="L38">
            <v>50000000</v>
          </cell>
          <cell r="M38">
            <v>100</v>
          </cell>
          <cell r="N38">
            <v>30</v>
          </cell>
          <cell r="O38">
            <v>0</v>
          </cell>
          <cell r="P38">
            <v>0</v>
          </cell>
        </row>
        <row r="39">
          <cell r="J39" t="str">
            <v>A-1Cambio de Fiador SolidarioIndividualResidencialUsadaApartamentoCOPA000000005000.00</v>
          </cell>
          <cell r="K39">
            <v>5000</v>
          </cell>
          <cell r="L39">
            <v>50000000</v>
          </cell>
          <cell r="M39">
            <v>100</v>
          </cell>
          <cell r="N39">
            <v>30</v>
          </cell>
          <cell r="O39">
            <v>0</v>
          </cell>
          <cell r="P39">
            <v>0</v>
          </cell>
        </row>
        <row r="40">
          <cell r="J40" t="str">
            <v>A-1Cambio de Fiador SolidarioIndividualResidencialUsadaApartamentoFERIA000000005000.00</v>
          </cell>
          <cell r="K40">
            <v>5000</v>
          </cell>
          <cell r="L40">
            <v>50000000</v>
          </cell>
          <cell r="M40">
            <v>100</v>
          </cell>
          <cell r="N40">
            <v>30</v>
          </cell>
          <cell r="O40">
            <v>0</v>
          </cell>
          <cell r="P40">
            <v>0</v>
          </cell>
        </row>
        <row r="41">
          <cell r="J41" t="str">
            <v>A-1Cambio de Fiador SolidarioIndividualResidencialUsadaCasaBG000000005000.00</v>
          </cell>
          <cell r="K41">
            <v>5000</v>
          </cell>
          <cell r="L41">
            <v>50000000</v>
          </cell>
          <cell r="M41">
            <v>100</v>
          </cell>
          <cell r="N41">
            <v>30</v>
          </cell>
          <cell r="O41">
            <v>0</v>
          </cell>
          <cell r="P41">
            <v>0</v>
          </cell>
        </row>
        <row r="42">
          <cell r="J42" t="str">
            <v>A-1Cambio de Fiador SolidarioIndividualResidencialUsadaCasaCOPA000000005000.00</v>
          </cell>
          <cell r="K42">
            <v>5000</v>
          </cell>
          <cell r="L42">
            <v>50000000</v>
          </cell>
          <cell r="M42">
            <v>100</v>
          </cell>
          <cell r="N42">
            <v>30</v>
          </cell>
          <cell r="O42">
            <v>0</v>
          </cell>
          <cell r="P42">
            <v>0</v>
          </cell>
        </row>
        <row r="43">
          <cell r="J43" t="str">
            <v>A-1Cambio de Fiador SolidarioIndividualResidencialUsadaCasaFERIA000000005000.00</v>
          </cell>
          <cell r="K43">
            <v>5000</v>
          </cell>
          <cell r="L43">
            <v>50000000</v>
          </cell>
          <cell r="M43">
            <v>100</v>
          </cell>
          <cell r="N43">
            <v>30</v>
          </cell>
          <cell r="O43">
            <v>0</v>
          </cell>
          <cell r="P43">
            <v>0</v>
          </cell>
        </row>
        <row r="44">
          <cell r="J44" t="str">
            <v>A-1Cambio de Fiador SolidarioLey PreferencialResidencialUsadaApartamentoBG000000005000.00</v>
          </cell>
          <cell r="K44">
            <v>5000</v>
          </cell>
          <cell r="L44">
            <v>120000</v>
          </cell>
          <cell r="M44">
            <v>100</v>
          </cell>
          <cell r="N44">
            <v>30</v>
          </cell>
          <cell r="O44">
            <v>0</v>
          </cell>
          <cell r="P44">
            <v>4.28</v>
          </cell>
        </row>
        <row r="45">
          <cell r="J45" t="str">
            <v>A-1Cambio de Fiador SolidarioLey PreferencialResidencialUsadaApartamentoCOPA000000005000.00</v>
          </cell>
          <cell r="K45">
            <v>5000</v>
          </cell>
          <cell r="L45">
            <v>120000</v>
          </cell>
          <cell r="M45">
            <v>100</v>
          </cell>
          <cell r="N45">
            <v>30</v>
          </cell>
          <cell r="O45">
            <v>0</v>
          </cell>
          <cell r="P45">
            <v>8.56</v>
          </cell>
        </row>
        <row r="46">
          <cell r="J46" t="str">
            <v>A-1Cambio de Fiador SolidarioLey PreferencialResidencialUsadaApartamentoFERIA000000005000.00</v>
          </cell>
          <cell r="K46">
            <v>5000</v>
          </cell>
          <cell r="L46">
            <v>120000</v>
          </cell>
          <cell r="M46">
            <v>100</v>
          </cell>
          <cell r="N46">
            <v>30</v>
          </cell>
          <cell r="O46">
            <v>0</v>
          </cell>
          <cell r="P46">
            <v>4.28</v>
          </cell>
        </row>
        <row r="47">
          <cell r="J47" t="str">
            <v>A-1Cambio de Fiador SolidarioLey PreferencialResidencialUsadaCasaBG000000005000.00</v>
          </cell>
          <cell r="K47">
            <v>5000</v>
          </cell>
          <cell r="L47">
            <v>120000</v>
          </cell>
          <cell r="M47">
            <v>100</v>
          </cell>
          <cell r="N47">
            <v>30</v>
          </cell>
          <cell r="O47">
            <v>0</v>
          </cell>
          <cell r="P47">
            <v>4.28</v>
          </cell>
        </row>
        <row r="48">
          <cell r="J48" t="str">
            <v>A-1Cambio de Fiador SolidarioLey PreferencialResidencialUsadaCasaCOPA000000005000.00</v>
          </cell>
          <cell r="K48">
            <v>5000</v>
          </cell>
          <cell r="L48">
            <v>120000</v>
          </cell>
          <cell r="M48">
            <v>100</v>
          </cell>
          <cell r="N48">
            <v>30</v>
          </cell>
          <cell r="O48">
            <v>0</v>
          </cell>
          <cell r="P48">
            <v>8.56</v>
          </cell>
        </row>
        <row r="49">
          <cell r="J49" t="str">
            <v>A-1Cambio de Fiador SolidarioLey PreferencialResidencialUsadaCasaFERIA000000005000.00</v>
          </cell>
          <cell r="K49">
            <v>5000</v>
          </cell>
          <cell r="L49">
            <v>120000</v>
          </cell>
          <cell r="M49">
            <v>100</v>
          </cell>
          <cell r="N49">
            <v>30</v>
          </cell>
          <cell r="O49">
            <v>0</v>
          </cell>
          <cell r="P49">
            <v>4.28</v>
          </cell>
        </row>
        <row r="50">
          <cell r="J50" t="str">
            <v>A-1Casa CashIndividualRefinanciamientoUsadaApartamentoBG000000030000.00</v>
          </cell>
          <cell r="K50">
            <v>30000</v>
          </cell>
          <cell r="L50">
            <v>250000</v>
          </cell>
          <cell r="M50">
            <v>90</v>
          </cell>
          <cell r="N50">
            <v>20</v>
          </cell>
          <cell r="O50">
            <v>6.25</v>
          </cell>
          <cell r="P50">
            <v>0</v>
          </cell>
        </row>
        <row r="51">
          <cell r="J51" t="str">
            <v>A-1Casa CashIndividualRefinanciamientoUsadaApartamentoBG000000250000.01</v>
          </cell>
          <cell r="K51">
            <v>250000.01</v>
          </cell>
          <cell r="L51">
            <v>500000</v>
          </cell>
          <cell r="M51">
            <v>80</v>
          </cell>
          <cell r="N51">
            <v>20</v>
          </cell>
          <cell r="O51">
            <v>6</v>
          </cell>
          <cell r="P51">
            <v>0</v>
          </cell>
        </row>
        <row r="52">
          <cell r="J52" t="str">
            <v>A-1Casa CashIndividualRefinanciamientoUsadaApartamentoBG000000500000.01</v>
          </cell>
          <cell r="K52">
            <v>500000.01</v>
          </cell>
          <cell r="L52">
            <v>99999999</v>
          </cell>
          <cell r="M52">
            <v>70</v>
          </cell>
          <cell r="N52">
            <v>20</v>
          </cell>
          <cell r="O52">
            <v>6</v>
          </cell>
          <cell r="P52">
            <v>0</v>
          </cell>
        </row>
        <row r="53">
          <cell r="J53" t="str">
            <v>A-1Casa CashIndividualRefinanciamientoUsadaApartamentoCOPA000000030000.00</v>
          </cell>
          <cell r="K53">
            <v>30000</v>
          </cell>
          <cell r="L53">
            <v>250000</v>
          </cell>
          <cell r="M53">
            <v>90</v>
          </cell>
          <cell r="N53">
            <v>20</v>
          </cell>
          <cell r="O53">
            <v>6.25</v>
          </cell>
          <cell r="P53">
            <v>0</v>
          </cell>
        </row>
        <row r="54">
          <cell r="J54" t="str">
            <v>A-1Casa CashIndividualRefinanciamientoUsadaApartamentoCOPA000000250000.01</v>
          </cell>
          <cell r="K54">
            <v>250000.01</v>
          </cell>
          <cell r="L54">
            <v>500000</v>
          </cell>
          <cell r="M54">
            <v>80</v>
          </cell>
          <cell r="N54">
            <v>20</v>
          </cell>
          <cell r="O54">
            <v>6</v>
          </cell>
          <cell r="P54">
            <v>0</v>
          </cell>
        </row>
        <row r="55">
          <cell r="J55" t="str">
            <v>A-1Casa CashIndividualRefinanciamientoUsadaApartamentoCOPA000000500000.01</v>
          </cell>
          <cell r="K55">
            <v>500000.01</v>
          </cell>
          <cell r="L55">
            <v>99999999</v>
          </cell>
          <cell r="M55">
            <v>70</v>
          </cell>
          <cell r="N55">
            <v>20</v>
          </cell>
          <cell r="O55">
            <v>6</v>
          </cell>
          <cell r="P55">
            <v>0</v>
          </cell>
        </row>
        <row r="56">
          <cell r="J56" t="str">
            <v>A-1Casa CashIndividualRefinanciamientoUsadaApartamentoFERIA000000030000.00</v>
          </cell>
          <cell r="K56">
            <v>30000</v>
          </cell>
          <cell r="L56">
            <v>250000</v>
          </cell>
          <cell r="M56">
            <v>90</v>
          </cell>
          <cell r="N56">
            <v>20</v>
          </cell>
          <cell r="O56">
            <v>6.25</v>
          </cell>
          <cell r="P56">
            <v>0</v>
          </cell>
        </row>
        <row r="57">
          <cell r="J57" t="str">
            <v>A-1Casa CashIndividualRefinanciamientoUsadaApartamentoFERIA000000250000.01</v>
          </cell>
          <cell r="K57">
            <v>250000.01</v>
          </cell>
          <cell r="L57">
            <v>500000</v>
          </cell>
          <cell r="M57">
            <v>90</v>
          </cell>
          <cell r="N57">
            <v>20</v>
          </cell>
          <cell r="O57">
            <v>6</v>
          </cell>
          <cell r="P57">
            <v>0</v>
          </cell>
        </row>
        <row r="58">
          <cell r="J58" t="str">
            <v>A-1Casa CashIndividualRefinanciamientoUsadaApartamentoFERIA000000500000.01</v>
          </cell>
          <cell r="K58">
            <v>500000.01</v>
          </cell>
          <cell r="L58">
            <v>99999999</v>
          </cell>
          <cell r="M58">
            <v>90</v>
          </cell>
          <cell r="N58">
            <v>20</v>
          </cell>
          <cell r="O58">
            <v>6</v>
          </cell>
          <cell r="P58">
            <v>0</v>
          </cell>
        </row>
        <row r="59">
          <cell r="J59" t="str">
            <v>A-1Casa CashIndividualRefinanciamientoUsadaCasaBG000000030000.00</v>
          </cell>
          <cell r="K59">
            <v>30000</v>
          </cell>
          <cell r="L59">
            <v>250000</v>
          </cell>
          <cell r="M59">
            <v>90</v>
          </cell>
          <cell r="N59">
            <v>20</v>
          </cell>
          <cell r="O59">
            <v>6.25</v>
          </cell>
          <cell r="P59">
            <v>0</v>
          </cell>
        </row>
        <row r="60">
          <cell r="J60" t="str">
            <v>A-1Casa CashIndividualRefinanciamientoUsadaCasaBG000000250000.01</v>
          </cell>
          <cell r="K60">
            <v>250000.01</v>
          </cell>
          <cell r="L60">
            <v>500000</v>
          </cell>
          <cell r="M60">
            <v>80</v>
          </cell>
          <cell r="N60">
            <v>20</v>
          </cell>
          <cell r="O60">
            <v>6</v>
          </cell>
          <cell r="P60">
            <v>0</v>
          </cell>
        </row>
        <row r="61">
          <cell r="J61" t="str">
            <v>A-1Casa CashIndividualRefinanciamientoUsadaCasaBG000000500000.01</v>
          </cell>
          <cell r="K61">
            <v>500000.01</v>
          </cell>
          <cell r="L61">
            <v>99999999</v>
          </cell>
          <cell r="M61">
            <v>70</v>
          </cell>
          <cell r="N61">
            <v>20</v>
          </cell>
          <cell r="O61">
            <v>6</v>
          </cell>
          <cell r="P61">
            <v>0</v>
          </cell>
        </row>
        <row r="62">
          <cell r="J62" t="str">
            <v>A-1Casa CashIndividualRefinanciamientoUsadaCasaCOPA000000030000.00</v>
          </cell>
          <cell r="K62">
            <v>30000</v>
          </cell>
          <cell r="L62">
            <v>250000</v>
          </cell>
          <cell r="M62">
            <v>90</v>
          </cell>
          <cell r="N62">
            <v>20</v>
          </cell>
          <cell r="O62">
            <v>6.25</v>
          </cell>
          <cell r="P62">
            <v>0</v>
          </cell>
        </row>
        <row r="63">
          <cell r="J63" t="str">
            <v>A-1Casa CashIndividualRefinanciamientoUsadaCasaCOPA000000250000.01</v>
          </cell>
          <cell r="K63">
            <v>250000.01</v>
          </cell>
          <cell r="L63">
            <v>500000</v>
          </cell>
          <cell r="M63">
            <v>80</v>
          </cell>
          <cell r="N63">
            <v>20</v>
          </cell>
          <cell r="O63">
            <v>6</v>
          </cell>
          <cell r="P63">
            <v>0</v>
          </cell>
        </row>
        <row r="64">
          <cell r="J64" t="str">
            <v>A-1Casa CashIndividualRefinanciamientoUsadaCasaCOPA000000500000.01</v>
          </cell>
          <cell r="K64">
            <v>500000.01</v>
          </cell>
          <cell r="L64">
            <v>99999999</v>
          </cell>
          <cell r="M64">
            <v>70</v>
          </cell>
          <cell r="N64">
            <v>20</v>
          </cell>
          <cell r="O64">
            <v>6</v>
          </cell>
          <cell r="P64">
            <v>0</v>
          </cell>
        </row>
        <row r="65">
          <cell r="J65" t="str">
            <v>A-1Casa CashIndividualRefinanciamientoUsadaCasaFERIA000000030000.00</v>
          </cell>
          <cell r="K65">
            <v>30000</v>
          </cell>
          <cell r="L65">
            <v>250000</v>
          </cell>
          <cell r="M65">
            <v>90</v>
          </cell>
          <cell r="N65">
            <v>20</v>
          </cell>
          <cell r="O65">
            <v>6.25</v>
          </cell>
          <cell r="P65">
            <v>0</v>
          </cell>
        </row>
        <row r="66">
          <cell r="J66" t="str">
            <v>A-1Casa CashIndividualRefinanciamientoUsadaCasaFERIA000000250000.01</v>
          </cell>
          <cell r="K66">
            <v>250000.01</v>
          </cell>
          <cell r="L66">
            <v>500000</v>
          </cell>
          <cell r="M66">
            <v>90</v>
          </cell>
          <cell r="N66">
            <v>20</v>
          </cell>
          <cell r="O66">
            <v>6</v>
          </cell>
          <cell r="P66">
            <v>0</v>
          </cell>
        </row>
        <row r="67">
          <cell r="J67" t="str">
            <v>A-1Casa CashIndividualRefinanciamientoUsadaCasaFERIA000000500000.01</v>
          </cell>
          <cell r="K67">
            <v>500000.01</v>
          </cell>
          <cell r="L67">
            <v>99999999</v>
          </cell>
          <cell r="M67">
            <v>90</v>
          </cell>
          <cell r="N67">
            <v>20</v>
          </cell>
          <cell r="O67">
            <v>6</v>
          </cell>
          <cell r="P67">
            <v>0</v>
          </cell>
        </row>
        <row r="68">
          <cell r="J68" t="str">
            <v>A-1Casa CashIndividualResidencialUsadaApartamentoBG000000030000.00</v>
          </cell>
          <cell r="K68">
            <v>30000</v>
          </cell>
          <cell r="L68">
            <v>250000</v>
          </cell>
          <cell r="M68">
            <v>90</v>
          </cell>
          <cell r="N68">
            <v>20</v>
          </cell>
          <cell r="O68">
            <v>6.25</v>
          </cell>
          <cell r="P68">
            <v>0</v>
          </cell>
        </row>
        <row r="69">
          <cell r="J69" t="str">
            <v>A-1Casa CashIndividualResidencialUsadaApartamentoBG000000250000.01</v>
          </cell>
          <cell r="K69">
            <v>250000.01</v>
          </cell>
          <cell r="L69">
            <v>500000</v>
          </cell>
          <cell r="M69">
            <v>80</v>
          </cell>
          <cell r="N69">
            <v>20</v>
          </cell>
          <cell r="O69">
            <v>6</v>
          </cell>
          <cell r="P69">
            <v>0</v>
          </cell>
        </row>
        <row r="70">
          <cell r="J70" t="str">
            <v>A-1Casa CashIndividualResidencialUsadaApartamentoBG000000500000.01</v>
          </cell>
          <cell r="K70">
            <v>500000.01</v>
          </cell>
          <cell r="L70">
            <v>99999999</v>
          </cell>
          <cell r="M70">
            <v>70</v>
          </cell>
          <cell r="N70">
            <v>20</v>
          </cell>
          <cell r="O70">
            <v>6</v>
          </cell>
          <cell r="P70">
            <v>0</v>
          </cell>
        </row>
        <row r="71">
          <cell r="J71" t="str">
            <v>A-1Casa CashIndividualResidencialUsadaApartamentoCOPA000000030000.00</v>
          </cell>
          <cell r="K71">
            <v>30000</v>
          </cell>
          <cell r="L71">
            <v>250000</v>
          </cell>
          <cell r="M71">
            <v>90</v>
          </cell>
          <cell r="N71">
            <v>20</v>
          </cell>
          <cell r="O71">
            <v>6.25</v>
          </cell>
          <cell r="P71">
            <v>0</v>
          </cell>
        </row>
        <row r="72">
          <cell r="J72" t="str">
            <v>A-1Casa CashIndividualResidencialUsadaApartamentoCOPA000000250000.01</v>
          </cell>
          <cell r="K72">
            <v>250000.01</v>
          </cell>
          <cell r="L72">
            <v>500000</v>
          </cell>
          <cell r="M72">
            <v>80</v>
          </cell>
          <cell r="N72">
            <v>20</v>
          </cell>
          <cell r="O72">
            <v>6</v>
          </cell>
          <cell r="P72">
            <v>0</v>
          </cell>
        </row>
        <row r="73">
          <cell r="J73" t="str">
            <v>A-1Casa CashIndividualResidencialUsadaApartamentoCOPA000000500000.01</v>
          </cell>
          <cell r="K73">
            <v>500000.01</v>
          </cell>
          <cell r="L73">
            <v>99999999</v>
          </cell>
          <cell r="M73">
            <v>70</v>
          </cell>
          <cell r="N73">
            <v>20</v>
          </cell>
          <cell r="O73">
            <v>6</v>
          </cell>
          <cell r="P73">
            <v>0</v>
          </cell>
        </row>
        <row r="74">
          <cell r="J74" t="str">
            <v>A-1Casa CashIndividualResidencialUsadaApartamentoFERIA000000030000.00</v>
          </cell>
          <cell r="K74">
            <v>30000</v>
          </cell>
          <cell r="L74">
            <v>250000</v>
          </cell>
          <cell r="M74">
            <v>90</v>
          </cell>
          <cell r="N74">
            <v>20</v>
          </cell>
          <cell r="O74">
            <v>6.25</v>
          </cell>
          <cell r="P74">
            <v>0</v>
          </cell>
        </row>
        <row r="75">
          <cell r="J75" t="str">
            <v>A-1Casa CashIndividualResidencialUsadaApartamentoFERIA000000250000.01</v>
          </cell>
          <cell r="K75">
            <v>250000.01</v>
          </cell>
          <cell r="L75">
            <v>500000</v>
          </cell>
          <cell r="M75">
            <v>90</v>
          </cell>
          <cell r="N75">
            <v>20</v>
          </cell>
          <cell r="O75">
            <v>6</v>
          </cell>
          <cell r="P75">
            <v>0</v>
          </cell>
        </row>
        <row r="76">
          <cell r="J76" t="str">
            <v>A-1Casa CashIndividualResidencialUsadaApartamentoFERIA000000500000.01</v>
          </cell>
          <cell r="K76">
            <v>500000.01</v>
          </cell>
          <cell r="L76">
            <v>99999999</v>
          </cell>
          <cell r="M76">
            <v>90</v>
          </cell>
          <cell r="N76">
            <v>20</v>
          </cell>
          <cell r="O76">
            <v>6</v>
          </cell>
          <cell r="P76">
            <v>0</v>
          </cell>
        </row>
        <row r="77">
          <cell r="J77" t="str">
            <v>A-1Casa CashIndividualResidencialUsadaCasaBG000000030000.00</v>
          </cell>
          <cell r="K77">
            <v>30000</v>
          </cell>
          <cell r="L77">
            <v>250000</v>
          </cell>
          <cell r="M77">
            <v>90</v>
          </cell>
          <cell r="N77">
            <v>20</v>
          </cell>
          <cell r="O77">
            <v>6.25</v>
          </cell>
          <cell r="P77">
            <v>0</v>
          </cell>
        </row>
        <row r="78">
          <cell r="J78" t="str">
            <v>A-1Casa CashIndividualResidencialUsadaCasaBG000000250000.01</v>
          </cell>
          <cell r="K78">
            <v>250000.01</v>
          </cell>
          <cell r="L78">
            <v>500000</v>
          </cell>
          <cell r="M78">
            <v>80</v>
          </cell>
          <cell r="N78">
            <v>20</v>
          </cell>
          <cell r="O78">
            <v>6</v>
          </cell>
          <cell r="P78">
            <v>0</v>
          </cell>
        </row>
        <row r="79">
          <cell r="J79" t="str">
            <v>A-1Casa CashIndividualResidencialUsadaCasaBG000000500000.01</v>
          </cell>
          <cell r="K79">
            <v>500000.01</v>
          </cell>
          <cell r="L79">
            <v>99999999</v>
          </cell>
          <cell r="M79">
            <v>70</v>
          </cell>
          <cell r="N79">
            <v>20</v>
          </cell>
          <cell r="O79">
            <v>6</v>
          </cell>
          <cell r="P79">
            <v>0</v>
          </cell>
        </row>
        <row r="80">
          <cell r="J80" t="str">
            <v>A-1Casa CashIndividualResidencialUsadaCasaCOPA000000030000.00</v>
          </cell>
          <cell r="K80">
            <v>30000</v>
          </cell>
          <cell r="L80">
            <v>250000</v>
          </cell>
          <cell r="M80">
            <v>90</v>
          </cell>
          <cell r="N80">
            <v>20</v>
          </cell>
          <cell r="O80">
            <v>6.25</v>
          </cell>
          <cell r="P80">
            <v>0</v>
          </cell>
        </row>
        <row r="81">
          <cell r="J81" t="str">
            <v>A-1Casa CashIndividualResidencialUsadaCasaCOPA000000250000.01</v>
          </cell>
          <cell r="K81">
            <v>250000.01</v>
          </cell>
          <cell r="L81">
            <v>500000</v>
          </cell>
          <cell r="M81">
            <v>80</v>
          </cell>
          <cell r="N81">
            <v>20</v>
          </cell>
          <cell r="O81">
            <v>6</v>
          </cell>
          <cell r="P81">
            <v>0</v>
          </cell>
        </row>
        <row r="82">
          <cell r="J82" t="str">
            <v>A-1Casa CashIndividualResidencialUsadaCasaCOPA000000500000.01</v>
          </cell>
          <cell r="K82">
            <v>500000.01</v>
          </cell>
          <cell r="L82">
            <v>99999999</v>
          </cell>
          <cell r="M82">
            <v>70</v>
          </cell>
          <cell r="N82">
            <v>20</v>
          </cell>
          <cell r="O82">
            <v>6</v>
          </cell>
          <cell r="P82">
            <v>0</v>
          </cell>
        </row>
        <row r="83">
          <cell r="J83" t="str">
            <v>A-1Casa CashIndividualResidencialUsadaCasaFERIA000000030000.00</v>
          </cell>
          <cell r="K83">
            <v>30000</v>
          </cell>
          <cell r="L83">
            <v>250000</v>
          </cell>
          <cell r="M83">
            <v>90</v>
          </cell>
          <cell r="N83">
            <v>20</v>
          </cell>
          <cell r="O83">
            <v>6.25</v>
          </cell>
          <cell r="P83">
            <v>0</v>
          </cell>
        </row>
        <row r="84">
          <cell r="J84" t="str">
            <v>A-1Casa CashIndividualResidencialUsadaCasaFERIA000000250000.01</v>
          </cell>
          <cell r="K84">
            <v>250000.01</v>
          </cell>
          <cell r="L84">
            <v>500000</v>
          </cell>
          <cell r="M84">
            <v>90</v>
          </cell>
          <cell r="N84">
            <v>20</v>
          </cell>
          <cell r="O84">
            <v>6</v>
          </cell>
          <cell r="P84">
            <v>0</v>
          </cell>
        </row>
        <row r="85">
          <cell r="J85" t="str">
            <v>A-1Casa CashIndividualResidencialUsadaCasaFERIA000000500000.01</v>
          </cell>
          <cell r="K85">
            <v>500000.01</v>
          </cell>
          <cell r="L85">
            <v>99999999</v>
          </cell>
          <cell r="M85">
            <v>90</v>
          </cell>
          <cell r="N85">
            <v>20</v>
          </cell>
          <cell r="O85">
            <v>6</v>
          </cell>
          <cell r="P85">
            <v>0</v>
          </cell>
        </row>
        <row r="86">
          <cell r="J86" t="str">
            <v>A-1Casa CashIndividualSegunda HipotecaUsadaApartamentoBG000000030000.00</v>
          </cell>
          <cell r="K86">
            <v>30000</v>
          </cell>
          <cell r="L86">
            <v>250000</v>
          </cell>
          <cell r="M86">
            <v>90</v>
          </cell>
          <cell r="N86">
            <v>20</v>
          </cell>
          <cell r="O86">
            <v>6.25</v>
          </cell>
          <cell r="P86">
            <v>0</v>
          </cell>
        </row>
        <row r="87">
          <cell r="J87" t="str">
            <v>A-1Casa CashIndividualSegunda HipotecaUsadaApartamentoBG000000250000.01</v>
          </cell>
          <cell r="K87">
            <v>250000.01</v>
          </cell>
          <cell r="L87">
            <v>500000</v>
          </cell>
          <cell r="M87">
            <v>80</v>
          </cell>
          <cell r="N87">
            <v>20</v>
          </cell>
          <cell r="O87">
            <v>6</v>
          </cell>
          <cell r="P87">
            <v>0</v>
          </cell>
        </row>
        <row r="88">
          <cell r="J88" t="str">
            <v>A-1Casa CashIndividualSegunda HipotecaUsadaApartamentoBG000000500000.01</v>
          </cell>
          <cell r="K88">
            <v>500000.01</v>
          </cell>
          <cell r="L88">
            <v>99999999</v>
          </cell>
          <cell r="M88">
            <v>70</v>
          </cell>
          <cell r="N88">
            <v>20</v>
          </cell>
          <cell r="O88">
            <v>6</v>
          </cell>
          <cell r="P88">
            <v>0</v>
          </cell>
        </row>
        <row r="89">
          <cell r="J89" t="str">
            <v>A-1Casa CashIndividualSegunda HipotecaUsadaApartamentoCOPA000000030000.00</v>
          </cell>
          <cell r="K89">
            <v>30000</v>
          </cell>
          <cell r="L89">
            <v>250000</v>
          </cell>
          <cell r="M89">
            <v>90</v>
          </cell>
          <cell r="N89">
            <v>20</v>
          </cell>
          <cell r="O89">
            <v>6.25</v>
          </cell>
          <cell r="P89">
            <v>0</v>
          </cell>
        </row>
        <row r="90">
          <cell r="J90" t="str">
            <v>A-1Casa CashIndividualSegunda HipotecaUsadaApartamentoCOPA000000250000.01</v>
          </cell>
          <cell r="K90">
            <v>250000.01</v>
          </cell>
          <cell r="L90">
            <v>500000</v>
          </cell>
          <cell r="M90">
            <v>80</v>
          </cell>
          <cell r="N90">
            <v>20</v>
          </cell>
          <cell r="O90">
            <v>6</v>
          </cell>
          <cell r="P90">
            <v>0</v>
          </cell>
        </row>
        <row r="91">
          <cell r="J91" t="str">
            <v>A-1Casa CashIndividualSegunda HipotecaUsadaApartamentoCOPA000000500000.01</v>
          </cell>
          <cell r="K91">
            <v>500000.01</v>
          </cell>
          <cell r="L91">
            <v>99999999</v>
          </cell>
          <cell r="M91">
            <v>70</v>
          </cell>
          <cell r="N91">
            <v>20</v>
          </cell>
          <cell r="O91">
            <v>6</v>
          </cell>
          <cell r="P91">
            <v>0</v>
          </cell>
        </row>
        <row r="92">
          <cell r="J92" t="str">
            <v>A-1Casa CashIndividualSegunda HipotecaUsadaApartamentoFERIA000000030000.00</v>
          </cell>
          <cell r="K92">
            <v>30000</v>
          </cell>
          <cell r="L92">
            <v>250000</v>
          </cell>
          <cell r="M92">
            <v>90</v>
          </cell>
          <cell r="N92">
            <v>20</v>
          </cell>
          <cell r="O92">
            <v>6.25</v>
          </cell>
          <cell r="P92">
            <v>0</v>
          </cell>
        </row>
        <row r="93">
          <cell r="J93" t="str">
            <v>A-1Casa CashIndividualSegunda HipotecaUsadaApartamentoFERIA000000250000.01</v>
          </cell>
          <cell r="K93">
            <v>250000.01</v>
          </cell>
          <cell r="L93">
            <v>500000</v>
          </cell>
          <cell r="M93">
            <v>90</v>
          </cell>
          <cell r="N93">
            <v>20</v>
          </cell>
          <cell r="O93">
            <v>6</v>
          </cell>
          <cell r="P93">
            <v>0</v>
          </cell>
        </row>
        <row r="94">
          <cell r="J94" t="str">
            <v>A-1Casa CashIndividualSegunda HipotecaUsadaApartamentoFERIA000000500000.01</v>
          </cell>
          <cell r="K94">
            <v>500000.01</v>
          </cell>
          <cell r="L94">
            <v>99999999</v>
          </cell>
          <cell r="M94">
            <v>90</v>
          </cell>
          <cell r="N94">
            <v>20</v>
          </cell>
          <cell r="O94">
            <v>6</v>
          </cell>
          <cell r="P94">
            <v>0</v>
          </cell>
        </row>
        <row r="95">
          <cell r="J95" t="str">
            <v>A-1Casa CashIndividualSegunda HipotecaUsadaCasaBG000000030000.00</v>
          </cell>
          <cell r="K95">
            <v>30000</v>
          </cell>
          <cell r="L95">
            <v>250000</v>
          </cell>
          <cell r="M95">
            <v>90</v>
          </cell>
          <cell r="N95">
            <v>20</v>
          </cell>
          <cell r="O95">
            <v>6.25</v>
          </cell>
          <cell r="P95">
            <v>0</v>
          </cell>
        </row>
        <row r="96">
          <cell r="J96" t="str">
            <v>A-1Casa CashIndividualSegunda HipotecaUsadaCasaBG000000250000.01</v>
          </cell>
          <cell r="K96">
            <v>250000.01</v>
          </cell>
          <cell r="L96">
            <v>500000</v>
          </cell>
          <cell r="M96">
            <v>80</v>
          </cell>
          <cell r="N96">
            <v>20</v>
          </cell>
          <cell r="O96">
            <v>6</v>
          </cell>
          <cell r="P96">
            <v>0</v>
          </cell>
        </row>
        <row r="97">
          <cell r="J97" t="str">
            <v>A-1Casa CashIndividualSegunda HipotecaUsadaCasaBG000000500000.01</v>
          </cell>
          <cell r="K97">
            <v>500000.01</v>
          </cell>
          <cell r="L97">
            <v>99999999</v>
          </cell>
          <cell r="M97">
            <v>70</v>
          </cell>
          <cell r="N97">
            <v>20</v>
          </cell>
          <cell r="O97">
            <v>6</v>
          </cell>
          <cell r="P97">
            <v>0</v>
          </cell>
        </row>
        <row r="98">
          <cell r="J98" t="str">
            <v>A-1Casa CashIndividualSegunda HipotecaUsadaCasaCOPA000000030000.00</v>
          </cell>
          <cell r="K98">
            <v>30000</v>
          </cell>
          <cell r="L98">
            <v>250000</v>
          </cell>
          <cell r="M98">
            <v>90</v>
          </cell>
          <cell r="N98">
            <v>20</v>
          </cell>
          <cell r="O98">
            <v>6.25</v>
          </cell>
          <cell r="P98">
            <v>0</v>
          </cell>
        </row>
        <row r="99">
          <cell r="J99" t="str">
            <v>A-1Casa CashIndividualSegunda HipotecaUsadaCasaCOPA000000250000.01</v>
          </cell>
          <cell r="K99">
            <v>250000.01</v>
          </cell>
          <cell r="L99">
            <v>500000</v>
          </cell>
          <cell r="M99">
            <v>80</v>
          </cell>
          <cell r="N99">
            <v>20</v>
          </cell>
          <cell r="O99">
            <v>6</v>
          </cell>
          <cell r="P99">
            <v>0</v>
          </cell>
        </row>
        <row r="100">
          <cell r="J100" t="str">
            <v>A-1Casa CashIndividualSegunda HipotecaUsadaCasaCOPA000000500000.01</v>
          </cell>
          <cell r="K100">
            <v>500000.01</v>
          </cell>
          <cell r="L100">
            <v>99999999</v>
          </cell>
          <cell r="M100">
            <v>70</v>
          </cell>
          <cell r="N100">
            <v>20</v>
          </cell>
          <cell r="O100">
            <v>6</v>
          </cell>
          <cell r="P100">
            <v>0</v>
          </cell>
        </row>
        <row r="101">
          <cell r="J101" t="str">
            <v>A-1Casa CashIndividualSegunda HipotecaUsadaCasaFERIA000000030000.00</v>
          </cell>
          <cell r="K101">
            <v>30000</v>
          </cell>
          <cell r="L101">
            <v>250000</v>
          </cell>
          <cell r="M101">
            <v>90</v>
          </cell>
          <cell r="N101">
            <v>20</v>
          </cell>
          <cell r="O101">
            <v>6.25</v>
          </cell>
          <cell r="P101">
            <v>0</v>
          </cell>
        </row>
        <row r="102">
          <cell r="J102" t="str">
            <v>A-1Casa CashIndividualSegunda HipotecaUsadaCasaFERIA000000250000.01</v>
          </cell>
          <cell r="K102">
            <v>250000.01</v>
          </cell>
          <cell r="L102">
            <v>500000</v>
          </cell>
          <cell r="M102">
            <v>90</v>
          </cell>
          <cell r="N102">
            <v>20</v>
          </cell>
          <cell r="O102">
            <v>6</v>
          </cell>
          <cell r="P102">
            <v>0</v>
          </cell>
        </row>
        <row r="103">
          <cell r="J103" t="str">
            <v>A-1Casa CashIndividualSegunda HipotecaUsadaCasaFERIA000000500000.01</v>
          </cell>
          <cell r="K103">
            <v>500000.01</v>
          </cell>
          <cell r="L103">
            <v>99999999</v>
          </cell>
          <cell r="M103">
            <v>90</v>
          </cell>
          <cell r="N103">
            <v>20</v>
          </cell>
          <cell r="O103">
            <v>6</v>
          </cell>
          <cell r="P103">
            <v>0</v>
          </cell>
        </row>
        <row r="104">
          <cell r="J104" t="str">
            <v>A-1Compra de ViviendaCasco AntiguoResidencialNuevaApartamentoBG000000030000.00</v>
          </cell>
          <cell r="K104">
            <v>30000</v>
          </cell>
          <cell r="L104">
            <v>99999999</v>
          </cell>
          <cell r="M104">
            <v>80</v>
          </cell>
          <cell r="N104">
            <v>30</v>
          </cell>
          <cell r="O104">
            <v>3.25</v>
          </cell>
          <cell r="P104">
            <v>8.56</v>
          </cell>
        </row>
        <row r="105">
          <cell r="J105" t="str">
            <v>A-1Compra de ViviendaCasco AntiguoResidencialNuevaApartamentoCOPA000000030000.00</v>
          </cell>
          <cell r="K105">
            <v>30000</v>
          </cell>
          <cell r="L105">
            <v>99999999</v>
          </cell>
          <cell r="M105">
            <v>80</v>
          </cell>
          <cell r="N105">
            <v>30</v>
          </cell>
          <cell r="O105">
            <v>3.25</v>
          </cell>
          <cell r="P105">
            <v>4.28</v>
          </cell>
        </row>
        <row r="106">
          <cell r="J106" t="str">
            <v>A-1Compra de ViviendaCasco AntiguoResidencialNuevaApartamentoFERIA000000030000.00</v>
          </cell>
          <cell r="K106">
            <v>30000</v>
          </cell>
          <cell r="L106">
            <v>99999999</v>
          </cell>
          <cell r="M106">
            <v>80</v>
          </cell>
          <cell r="N106">
            <v>30</v>
          </cell>
          <cell r="O106">
            <v>3.25</v>
          </cell>
          <cell r="P106">
            <v>4.28</v>
          </cell>
        </row>
        <row r="107">
          <cell r="J107" t="str">
            <v>A-1Compra de ViviendaCasco AntiguoResidencialNuevaCasaBG000000030000.00</v>
          </cell>
          <cell r="K107">
            <v>30000</v>
          </cell>
          <cell r="L107">
            <v>99999999</v>
          </cell>
          <cell r="M107">
            <v>80</v>
          </cell>
          <cell r="N107">
            <v>30</v>
          </cell>
          <cell r="O107">
            <v>3.25</v>
          </cell>
          <cell r="P107">
            <v>8.56</v>
          </cell>
        </row>
        <row r="108">
          <cell r="J108" t="str">
            <v>A-1Compra de ViviendaCasco AntiguoResidencialNuevaCasaCOPA000000030000.00</v>
          </cell>
          <cell r="K108">
            <v>30000</v>
          </cell>
          <cell r="L108">
            <v>99999999</v>
          </cell>
          <cell r="M108">
            <v>80</v>
          </cell>
          <cell r="N108">
            <v>30</v>
          </cell>
          <cell r="O108">
            <v>3.25</v>
          </cell>
          <cell r="P108">
            <v>4.28</v>
          </cell>
        </row>
        <row r="109">
          <cell r="J109" t="str">
            <v>A-1Compra de ViviendaCasco AntiguoResidencialNuevaCasaFERIA000000030000.00</v>
          </cell>
          <cell r="K109">
            <v>30000</v>
          </cell>
          <cell r="L109">
            <v>99999999</v>
          </cell>
          <cell r="M109">
            <v>80</v>
          </cell>
          <cell r="N109">
            <v>30</v>
          </cell>
          <cell r="O109">
            <v>3.25</v>
          </cell>
          <cell r="P109">
            <v>4.28</v>
          </cell>
        </row>
        <row r="110">
          <cell r="J110" t="str">
            <v>A-1Compra de ViviendaCasco AntiguoResidencialUsadaApartamentoBG000000030000.00</v>
          </cell>
          <cell r="K110">
            <v>30000</v>
          </cell>
          <cell r="L110">
            <v>99999999</v>
          </cell>
          <cell r="M110">
            <v>80</v>
          </cell>
          <cell r="N110">
            <v>30</v>
          </cell>
          <cell r="O110">
            <v>3.25</v>
          </cell>
          <cell r="P110">
            <v>8.56</v>
          </cell>
        </row>
        <row r="111">
          <cell r="J111" t="str">
            <v>A-1Compra de ViviendaCasco AntiguoResidencialUsadaApartamentoCOPA000000030000.00</v>
          </cell>
          <cell r="K111">
            <v>30000</v>
          </cell>
          <cell r="L111">
            <v>99999999</v>
          </cell>
          <cell r="M111">
            <v>80</v>
          </cell>
          <cell r="N111">
            <v>30</v>
          </cell>
          <cell r="O111">
            <v>3.25</v>
          </cell>
          <cell r="P111">
            <v>4.28</v>
          </cell>
        </row>
        <row r="112">
          <cell r="J112" t="str">
            <v>A-1Compra de ViviendaCasco AntiguoResidencialUsadaApartamentoFERIA000000030000.00</v>
          </cell>
          <cell r="K112">
            <v>30000</v>
          </cell>
          <cell r="L112">
            <v>99999999</v>
          </cell>
          <cell r="M112">
            <v>80</v>
          </cell>
          <cell r="N112">
            <v>30</v>
          </cell>
          <cell r="O112">
            <v>3.25</v>
          </cell>
          <cell r="P112">
            <v>4.28</v>
          </cell>
        </row>
        <row r="113">
          <cell r="J113" t="str">
            <v>A-1Compra de ViviendaCasco AntiguoResidencialUsadaCasaBG000000030000.00</v>
          </cell>
          <cell r="K113">
            <v>30000</v>
          </cell>
          <cell r="L113">
            <v>99999999</v>
          </cell>
          <cell r="M113">
            <v>80</v>
          </cell>
          <cell r="N113">
            <v>30</v>
          </cell>
          <cell r="O113">
            <v>3.25</v>
          </cell>
          <cell r="P113">
            <v>8.56</v>
          </cell>
        </row>
        <row r="114">
          <cell r="J114" t="str">
            <v>A-1Compra de ViviendaCasco AntiguoResidencialUsadaCasaCOPA000000030000.00</v>
          </cell>
          <cell r="K114">
            <v>30000</v>
          </cell>
          <cell r="L114">
            <v>99999999</v>
          </cell>
          <cell r="M114">
            <v>80</v>
          </cell>
          <cell r="N114">
            <v>30</v>
          </cell>
          <cell r="O114">
            <v>3.25</v>
          </cell>
          <cell r="P114">
            <v>4.28</v>
          </cell>
        </row>
        <row r="115">
          <cell r="J115" t="str">
            <v>A-1Compra de ViviendaCasco AntiguoResidencialUsadaCasaFERIA000000030000.00</v>
          </cell>
          <cell r="K115">
            <v>30000</v>
          </cell>
          <cell r="L115">
            <v>99999999</v>
          </cell>
          <cell r="M115">
            <v>80</v>
          </cell>
          <cell r="N115">
            <v>30</v>
          </cell>
          <cell r="O115">
            <v>3.25</v>
          </cell>
          <cell r="P115">
            <v>4.28</v>
          </cell>
        </row>
        <row r="116">
          <cell r="J116" t="str">
            <v>A-1Compra de ViviendaIndividualReposeído (BG)UsadaApartamentoBG000000030000.00</v>
          </cell>
          <cell r="K116">
            <v>30000</v>
          </cell>
          <cell r="L116">
            <v>250000</v>
          </cell>
          <cell r="M116">
            <v>98</v>
          </cell>
          <cell r="N116">
            <v>30</v>
          </cell>
          <cell r="O116">
            <v>5.5</v>
          </cell>
          <cell r="P116">
            <v>0</v>
          </cell>
        </row>
        <row r="117">
          <cell r="J117" t="str">
            <v>A-1Compra de ViviendaIndividualReposeído (BG)UsadaApartamentoBG000000250000.01</v>
          </cell>
          <cell r="K117">
            <v>250000.01</v>
          </cell>
          <cell r="L117">
            <v>500000</v>
          </cell>
          <cell r="M117">
            <v>90</v>
          </cell>
          <cell r="N117">
            <v>30</v>
          </cell>
          <cell r="O117">
            <v>5.5</v>
          </cell>
          <cell r="P117">
            <v>0</v>
          </cell>
        </row>
        <row r="118">
          <cell r="J118" t="str">
            <v>A-1Compra de ViviendaIndividualReposeído (BG)UsadaApartamentoBG000000500000.01</v>
          </cell>
          <cell r="K118">
            <v>500000.01</v>
          </cell>
          <cell r="L118">
            <v>99999999</v>
          </cell>
          <cell r="M118">
            <v>70</v>
          </cell>
          <cell r="N118">
            <v>30</v>
          </cell>
          <cell r="O118">
            <v>5.25</v>
          </cell>
          <cell r="P118">
            <v>0</v>
          </cell>
        </row>
        <row r="119">
          <cell r="J119" t="str">
            <v>A-1Compra de ViviendaIndividualReposeído (BG)UsadaApartamentoCOPA000000030000.00</v>
          </cell>
          <cell r="K119">
            <v>30000</v>
          </cell>
          <cell r="L119">
            <v>250000</v>
          </cell>
          <cell r="M119">
            <v>98</v>
          </cell>
          <cell r="N119">
            <v>30</v>
          </cell>
          <cell r="O119">
            <v>5.5</v>
          </cell>
          <cell r="P119">
            <v>0</v>
          </cell>
        </row>
        <row r="120">
          <cell r="J120" t="str">
            <v>A-1Compra de ViviendaIndividualReposeído (BG)UsadaApartamentoCOPA000000250000.01</v>
          </cell>
          <cell r="K120">
            <v>250000.01</v>
          </cell>
          <cell r="L120">
            <v>500000</v>
          </cell>
          <cell r="M120">
            <v>90</v>
          </cell>
          <cell r="N120">
            <v>30</v>
          </cell>
          <cell r="O120">
            <v>5.5</v>
          </cell>
          <cell r="P120">
            <v>0</v>
          </cell>
        </row>
        <row r="121">
          <cell r="J121" t="str">
            <v>A-1Compra de ViviendaIndividualReposeído (BG)UsadaApartamentoCOPA000000500000.01</v>
          </cell>
          <cell r="K121">
            <v>500000.01</v>
          </cell>
          <cell r="L121">
            <v>99999999</v>
          </cell>
          <cell r="M121">
            <v>70</v>
          </cell>
          <cell r="N121">
            <v>30</v>
          </cell>
          <cell r="O121">
            <v>5.25</v>
          </cell>
          <cell r="P121">
            <v>0</v>
          </cell>
        </row>
        <row r="122">
          <cell r="J122" t="str">
            <v>A-1Compra de ViviendaIndividualReposeído (BG)UsadaApartamentoFERIA000000030000.00</v>
          </cell>
          <cell r="K122">
            <v>30000</v>
          </cell>
          <cell r="L122">
            <v>250000</v>
          </cell>
          <cell r="M122">
            <v>98</v>
          </cell>
          <cell r="N122">
            <v>30</v>
          </cell>
          <cell r="O122">
            <v>5.5</v>
          </cell>
          <cell r="P122">
            <v>0</v>
          </cell>
        </row>
        <row r="123">
          <cell r="J123" t="str">
            <v>A-1Compra de ViviendaIndividualReposeído (BG)UsadaApartamentoFERIA000000250000.01</v>
          </cell>
          <cell r="K123">
            <v>250000.01</v>
          </cell>
          <cell r="L123">
            <v>500000</v>
          </cell>
          <cell r="M123">
            <v>95</v>
          </cell>
          <cell r="N123">
            <v>30</v>
          </cell>
          <cell r="O123">
            <v>5</v>
          </cell>
          <cell r="P123">
            <v>0</v>
          </cell>
        </row>
        <row r="124">
          <cell r="J124" t="str">
            <v>A-1Compra de ViviendaIndividualReposeído (BG)UsadaApartamentoFERIA000000500000.01</v>
          </cell>
          <cell r="K124">
            <v>500000.01</v>
          </cell>
          <cell r="L124">
            <v>99999999</v>
          </cell>
          <cell r="M124">
            <v>95</v>
          </cell>
          <cell r="N124">
            <v>30</v>
          </cell>
          <cell r="O124">
            <v>5</v>
          </cell>
          <cell r="P124">
            <v>0</v>
          </cell>
        </row>
        <row r="125">
          <cell r="J125" t="str">
            <v>A-1Compra de ViviendaIndividualReposeído (BG)UsadaCasaBG000000030000.00</v>
          </cell>
          <cell r="K125">
            <v>30000</v>
          </cell>
          <cell r="L125">
            <v>250000</v>
          </cell>
          <cell r="M125">
            <v>98</v>
          </cell>
          <cell r="N125">
            <v>30</v>
          </cell>
          <cell r="O125">
            <v>5.5</v>
          </cell>
          <cell r="P125">
            <v>0</v>
          </cell>
        </row>
        <row r="126">
          <cell r="J126" t="str">
            <v>A-1Compra de ViviendaIndividualReposeído (BG)UsadaCasaBG000000250000.01</v>
          </cell>
          <cell r="K126">
            <v>250000.01</v>
          </cell>
          <cell r="L126">
            <v>500000</v>
          </cell>
          <cell r="M126">
            <v>90</v>
          </cell>
          <cell r="N126">
            <v>30</v>
          </cell>
          <cell r="O126">
            <v>5.5</v>
          </cell>
          <cell r="P126">
            <v>0</v>
          </cell>
        </row>
        <row r="127">
          <cell r="J127" t="str">
            <v>A-1Compra de ViviendaIndividualReposeído (BG)UsadaCasaBG000000500000.01</v>
          </cell>
          <cell r="K127">
            <v>500000.01</v>
          </cell>
          <cell r="L127">
            <v>99999999</v>
          </cell>
          <cell r="M127">
            <v>70</v>
          </cell>
          <cell r="N127">
            <v>30</v>
          </cell>
          <cell r="O127">
            <v>5.25</v>
          </cell>
          <cell r="P127">
            <v>0</v>
          </cell>
        </row>
        <row r="128">
          <cell r="J128" t="str">
            <v>A-1Compra de ViviendaIndividualReposeído (BG)UsadaCasaCOPA000000030000.00</v>
          </cell>
          <cell r="K128">
            <v>30000</v>
          </cell>
          <cell r="L128">
            <v>250000</v>
          </cell>
          <cell r="M128">
            <v>98</v>
          </cell>
          <cell r="N128">
            <v>30</v>
          </cell>
          <cell r="O128">
            <v>5.5</v>
          </cell>
          <cell r="P128">
            <v>0</v>
          </cell>
        </row>
        <row r="129">
          <cell r="J129" t="str">
            <v>A-1Compra de ViviendaIndividualReposeído (BG)UsadaCasaCOPA000000250000.01</v>
          </cell>
          <cell r="K129">
            <v>250000.01</v>
          </cell>
          <cell r="L129">
            <v>500000</v>
          </cell>
          <cell r="M129">
            <v>90</v>
          </cell>
          <cell r="N129">
            <v>30</v>
          </cell>
          <cell r="O129">
            <v>5.5</v>
          </cell>
          <cell r="P129">
            <v>0</v>
          </cell>
        </row>
        <row r="130">
          <cell r="J130" t="str">
            <v>A-1Compra de ViviendaIndividualReposeído (BG)UsadaCasaCOPA000000500000.01</v>
          </cell>
          <cell r="K130">
            <v>500000.01</v>
          </cell>
          <cell r="L130">
            <v>99999999</v>
          </cell>
          <cell r="M130">
            <v>70</v>
          </cell>
          <cell r="N130">
            <v>30</v>
          </cell>
          <cell r="O130">
            <v>5.25</v>
          </cell>
          <cell r="P130">
            <v>0</v>
          </cell>
        </row>
        <row r="131">
          <cell r="J131" t="str">
            <v>A-1Compra de ViviendaIndividualReposeído (BG)UsadaCasaFERIA000000030000.00</v>
          </cell>
          <cell r="K131">
            <v>30000</v>
          </cell>
          <cell r="L131">
            <v>250000</v>
          </cell>
          <cell r="M131">
            <v>98</v>
          </cell>
          <cell r="N131">
            <v>30</v>
          </cell>
          <cell r="O131">
            <v>5.5</v>
          </cell>
          <cell r="P131">
            <v>0</v>
          </cell>
        </row>
        <row r="132">
          <cell r="J132" t="str">
            <v>A-1Compra de ViviendaIndividualReposeído (BG)UsadaCasaFERIA000000250000.01</v>
          </cell>
          <cell r="K132">
            <v>250000.01</v>
          </cell>
          <cell r="L132">
            <v>500000</v>
          </cell>
          <cell r="M132">
            <v>95</v>
          </cell>
          <cell r="N132">
            <v>30</v>
          </cell>
          <cell r="O132">
            <v>5.5</v>
          </cell>
          <cell r="P132">
            <v>0</v>
          </cell>
        </row>
        <row r="133">
          <cell r="J133" t="str">
            <v>A-1Compra de ViviendaIndividualReposeído (BG)UsadaCasaFERIA000000500000.01</v>
          </cell>
          <cell r="K133">
            <v>500000.01</v>
          </cell>
          <cell r="L133">
            <v>99999999</v>
          </cell>
          <cell r="M133">
            <v>95</v>
          </cell>
          <cell r="N133">
            <v>30</v>
          </cell>
          <cell r="O133">
            <v>5.25</v>
          </cell>
          <cell r="P133">
            <v>0</v>
          </cell>
        </row>
        <row r="134">
          <cell r="J134" t="str">
            <v>A-1Compra de ViviendaIndividualResidencialNuevaApartamentoBG000000030000.00</v>
          </cell>
          <cell r="K134">
            <v>30000</v>
          </cell>
          <cell r="L134">
            <v>100000</v>
          </cell>
          <cell r="M134">
            <v>95</v>
          </cell>
          <cell r="N134">
            <v>30</v>
          </cell>
          <cell r="O134">
            <v>5.75</v>
          </cell>
          <cell r="P134">
            <v>0</v>
          </cell>
        </row>
        <row r="135">
          <cell r="J135" t="str">
            <v>A-1Compra de ViviendaIndividualResidencialNuevaApartamentoBG000000100000.01</v>
          </cell>
          <cell r="K135">
            <v>100000.01</v>
          </cell>
          <cell r="L135">
            <v>250000</v>
          </cell>
          <cell r="M135">
            <v>90</v>
          </cell>
          <cell r="N135">
            <v>30</v>
          </cell>
          <cell r="O135">
            <v>5.75</v>
          </cell>
          <cell r="P135">
            <v>0</v>
          </cell>
        </row>
        <row r="136">
          <cell r="J136" t="str">
            <v>A-1Compra de ViviendaIndividualResidencialNuevaApartamentoBG000000250000.01</v>
          </cell>
          <cell r="K136">
            <v>250000.01</v>
          </cell>
          <cell r="L136">
            <v>600000</v>
          </cell>
          <cell r="M136">
            <v>80</v>
          </cell>
          <cell r="N136">
            <v>30</v>
          </cell>
          <cell r="O136">
            <v>5.5</v>
          </cell>
          <cell r="P136">
            <v>0</v>
          </cell>
        </row>
        <row r="137">
          <cell r="J137" t="str">
            <v>A-1Compra de ViviendaIndividualResidencialNuevaApartamentoBG000000600000.01</v>
          </cell>
          <cell r="K137">
            <v>600000.01</v>
          </cell>
          <cell r="L137">
            <v>99999999</v>
          </cell>
          <cell r="M137">
            <v>70</v>
          </cell>
          <cell r="N137">
            <v>30</v>
          </cell>
          <cell r="O137">
            <v>5.25</v>
          </cell>
          <cell r="P137">
            <v>0</v>
          </cell>
        </row>
        <row r="138">
          <cell r="J138" t="str">
            <v>A-1Compra de ViviendaIndividualResidencialNuevaApartamentoCOPA000000030000.00</v>
          </cell>
          <cell r="K138">
            <v>30000</v>
          </cell>
          <cell r="L138">
            <v>100000</v>
          </cell>
          <cell r="M138">
            <v>95</v>
          </cell>
          <cell r="N138">
            <v>30</v>
          </cell>
          <cell r="O138">
            <v>5.75</v>
          </cell>
          <cell r="P138">
            <v>0</v>
          </cell>
        </row>
        <row r="139">
          <cell r="J139" t="str">
            <v>A-1Compra de ViviendaIndividualResidencialNuevaApartamentoCOPA000000100000.01</v>
          </cell>
          <cell r="K139">
            <v>100000.01</v>
          </cell>
          <cell r="L139">
            <v>200000</v>
          </cell>
          <cell r="M139">
            <v>90</v>
          </cell>
          <cell r="N139">
            <v>30</v>
          </cell>
          <cell r="O139">
            <v>5.75</v>
          </cell>
          <cell r="P139">
            <v>0</v>
          </cell>
        </row>
        <row r="140">
          <cell r="J140" t="str">
            <v>A-1Compra de ViviendaIndividualResidencialNuevaApartamentoCOPA000000200000.01</v>
          </cell>
          <cell r="K140">
            <v>200000.01</v>
          </cell>
          <cell r="L140">
            <v>600000</v>
          </cell>
          <cell r="M140">
            <v>80</v>
          </cell>
          <cell r="N140">
            <v>30</v>
          </cell>
          <cell r="O140">
            <v>5.5</v>
          </cell>
          <cell r="P140">
            <v>0</v>
          </cell>
        </row>
        <row r="141">
          <cell r="J141" t="str">
            <v>A-1Compra de ViviendaIndividualResidencialNuevaApartamentoCOPA000000600000.01</v>
          </cell>
          <cell r="K141">
            <v>600000.01</v>
          </cell>
          <cell r="L141">
            <v>99999999</v>
          </cell>
          <cell r="M141">
            <v>70</v>
          </cell>
          <cell r="N141">
            <v>30</v>
          </cell>
          <cell r="O141">
            <v>5.25</v>
          </cell>
          <cell r="P141">
            <v>0</v>
          </cell>
        </row>
        <row r="142">
          <cell r="J142" t="str">
            <v>A-1Compra de ViviendaIndividualResidencialNuevaApartamentoFERIA000000030000.00</v>
          </cell>
          <cell r="K142">
            <v>30000</v>
          </cell>
          <cell r="L142">
            <v>100000</v>
          </cell>
          <cell r="M142">
            <v>95</v>
          </cell>
          <cell r="N142">
            <v>30</v>
          </cell>
          <cell r="O142">
            <v>5.75</v>
          </cell>
          <cell r="P142">
            <v>0</v>
          </cell>
        </row>
        <row r="143">
          <cell r="J143" t="str">
            <v>A-1Compra de ViviendaIndividualResidencialNuevaApartamentoFERIA000000100000.01</v>
          </cell>
          <cell r="K143">
            <v>100000.01</v>
          </cell>
          <cell r="L143">
            <v>250000</v>
          </cell>
          <cell r="M143">
            <v>90</v>
          </cell>
          <cell r="N143">
            <v>30</v>
          </cell>
          <cell r="O143">
            <v>5.75</v>
          </cell>
          <cell r="P143">
            <v>0</v>
          </cell>
        </row>
        <row r="144">
          <cell r="J144" t="str">
            <v>A-1Compra de ViviendaIndividualResidencialNuevaApartamentoFERIA000000250000.01</v>
          </cell>
          <cell r="K144">
            <v>250000.01</v>
          </cell>
          <cell r="L144">
            <v>600000</v>
          </cell>
          <cell r="M144">
            <v>80</v>
          </cell>
          <cell r="N144">
            <v>30</v>
          </cell>
          <cell r="O144">
            <v>5.5</v>
          </cell>
          <cell r="P144">
            <v>0</v>
          </cell>
        </row>
        <row r="145">
          <cell r="J145" t="str">
            <v>A-1Compra de ViviendaIndividualResidencialNuevaApartamentoFERIA000000600000.01</v>
          </cell>
          <cell r="K145">
            <v>600000.01</v>
          </cell>
          <cell r="L145">
            <v>99999999</v>
          </cell>
          <cell r="M145">
            <v>70</v>
          </cell>
          <cell r="N145">
            <v>30</v>
          </cell>
          <cell r="O145">
            <v>5.25</v>
          </cell>
          <cell r="P145">
            <v>0</v>
          </cell>
        </row>
        <row r="146">
          <cell r="J146" t="str">
            <v>A-1Compra de ViviendaIndividualResidencialNuevaCasaBG000000018000.00</v>
          </cell>
          <cell r="K146">
            <v>18000</v>
          </cell>
          <cell r="L146">
            <v>100000</v>
          </cell>
          <cell r="M146">
            <v>95</v>
          </cell>
          <cell r="N146">
            <v>30</v>
          </cell>
          <cell r="O146">
            <v>5.75</v>
          </cell>
          <cell r="P146">
            <v>0</v>
          </cell>
        </row>
        <row r="147">
          <cell r="J147" t="str">
            <v>A-1Compra de ViviendaIndividualResidencialNuevaCasaBG000000100000.01</v>
          </cell>
          <cell r="K147">
            <v>100000.01</v>
          </cell>
          <cell r="L147">
            <v>250000</v>
          </cell>
          <cell r="M147">
            <v>90</v>
          </cell>
          <cell r="N147">
            <v>30</v>
          </cell>
          <cell r="O147">
            <v>5.75</v>
          </cell>
          <cell r="P147">
            <v>0</v>
          </cell>
        </row>
        <row r="148">
          <cell r="J148" t="str">
            <v>A-1Compra de ViviendaIndividualResidencialNuevaCasaBG000000250000.01</v>
          </cell>
          <cell r="K148">
            <v>250000.01</v>
          </cell>
          <cell r="L148">
            <v>600000</v>
          </cell>
          <cell r="M148">
            <v>80</v>
          </cell>
          <cell r="N148">
            <v>30</v>
          </cell>
          <cell r="O148">
            <v>5.5</v>
          </cell>
          <cell r="P148">
            <v>0</v>
          </cell>
        </row>
        <row r="149">
          <cell r="J149" t="str">
            <v>A-1Compra de ViviendaIndividualResidencialNuevaCasaBG000000600000.01</v>
          </cell>
          <cell r="K149">
            <v>600000.01</v>
          </cell>
          <cell r="L149">
            <v>99999999</v>
          </cell>
          <cell r="M149">
            <v>70</v>
          </cell>
          <cell r="N149">
            <v>30</v>
          </cell>
          <cell r="O149">
            <v>5.25</v>
          </cell>
          <cell r="P149">
            <v>0</v>
          </cell>
        </row>
        <row r="150">
          <cell r="J150" t="str">
            <v>A-1Compra de ViviendaIndividualResidencialNuevaCasaCOPA000000018000.00</v>
          </cell>
          <cell r="K150">
            <v>18000</v>
          </cell>
          <cell r="L150">
            <v>100000</v>
          </cell>
          <cell r="M150">
            <v>95</v>
          </cell>
          <cell r="N150">
            <v>30</v>
          </cell>
          <cell r="O150">
            <v>5.75</v>
          </cell>
          <cell r="P150">
            <v>0</v>
          </cell>
        </row>
        <row r="151">
          <cell r="J151" t="str">
            <v>A-1Compra de ViviendaIndividualResidencialNuevaCasaCOPA000000100000.01</v>
          </cell>
          <cell r="K151">
            <v>100000.01</v>
          </cell>
          <cell r="L151">
            <v>200000.01</v>
          </cell>
          <cell r="M151">
            <v>90</v>
          </cell>
          <cell r="N151">
            <v>30</v>
          </cell>
          <cell r="O151">
            <v>5.75</v>
          </cell>
          <cell r="P151">
            <v>0</v>
          </cell>
        </row>
        <row r="152">
          <cell r="J152" t="str">
            <v>A-1Compra de ViviendaIndividualResidencialNuevaCasaCOPA000000200000.01</v>
          </cell>
          <cell r="K152">
            <v>200000.01</v>
          </cell>
          <cell r="L152">
            <v>600000</v>
          </cell>
          <cell r="M152">
            <v>80</v>
          </cell>
          <cell r="N152">
            <v>30</v>
          </cell>
          <cell r="O152">
            <v>5.5</v>
          </cell>
          <cell r="P152">
            <v>0</v>
          </cell>
        </row>
        <row r="153">
          <cell r="J153" t="str">
            <v>A-1Compra de ViviendaIndividualResidencialNuevaCasaCOPA000000600000.01</v>
          </cell>
          <cell r="K153">
            <v>600000.01</v>
          </cell>
          <cell r="L153">
            <v>99999999</v>
          </cell>
          <cell r="M153">
            <v>70</v>
          </cell>
          <cell r="N153">
            <v>30</v>
          </cell>
          <cell r="O153">
            <v>5.25</v>
          </cell>
          <cell r="P153">
            <v>0</v>
          </cell>
        </row>
        <row r="154">
          <cell r="J154" t="str">
            <v>A-1Compra de ViviendaIndividualResidencialNuevaCasaFERIA000000000000.00</v>
          </cell>
          <cell r="O154">
            <v>0</v>
          </cell>
          <cell r="P154">
            <v>0</v>
          </cell>
        </row>
        <row r="155">
          <cell r="J155" t="str">
            <v>A-1Compra de ViviendaIndividualResidencialNuevaCasaFERIA000000018000.00</v>
          </cell>
          <cell r="K155">
            <v>18000</v>
          </cell>
          <cell r="L155">
            <v>100000</v>
          </cell>
          <cell r="M155">
            <v>95</v>
          </cell>
          <cell r="N155">
            <v>30</v>
          </cell>
          <cell r="O155">
            <v>5.75</v>
          </cell>
          <cell r="P155">
            <v>0</v>
          </cell>
        </row>
        <row r="156">
          <cell r="J156" t="str">
            <v>A-1Compra de ViviendaIndividualResidencialNuevaCasaFERIA000000100000.01</v>
          </cell>
          <cell r="K156">
            <v>100000.01</v>
          </cell>
          <cell r="L156">
            <v>250000</v>
          </cell>
          <cell r="M156">
            <v>90</v>
          </cell>
          <cell r="N156">
            <v>30</v>
          </cell>
          <cell r="O156">
            <v>5.75</v>
          </cell>
          <cell r="P156">
            <v>0</v>
          </cell>
        </row>
        <row r="157">
          <cell r="J157" t="str">
            <v>A-1Compra de ViviendaIndividualResidencialNuevaCasaFERIA000000250000.01</v>
          </cell>
          <cell r="K157">
            <v>250000.01</v>
          </cell>
          <cell r="L157">
            <v>600000</v>
          </cell>
          <cell r="M157">
            <v>80</v>
          </cell>
          <cell r="N157">
            <v>30</v>
          </cell>
          <cell r="O157">
            <v>5.5</v>
          </cell>
          <cell r="P157">
            <v>0</v>
          </cell>
        </row>
        <row r="158">
          <cell r="J158" t="str">
            <v>A-1Compra de ViviendaIndividualResidencialNuevaCasaFERIA000000600000.01</v>
          </cell>
          <cell r="K158">
            <v>600000.01</v>
          </cell>
          <cell r="L158">
            <v>99999999</v>
          </cell>
          <cell r="M158">
            <v>70</v>
          </cell>
          <cell r="N158">
            <v>30</v>
          </cell>
          <cell r="O158">
            <v>5.25</v>
          </cell>
          <cell r="P158">
            <v>0</v>
          </cell>
        </row>
        <row r="159">
          <cell r="J159" t="str">
            <v>A-1Compra de ViviendaIndividualResidencialUsadaApartamentoBG000000030000.00</v>
          </cell>
          <cell r="K159">
            <v>30000</v>
          </cell>
          <cell r="L159">
            <v>200000</v>
          </cell>
          <cell r="M159">
            <v>90</v>
          </cell>
          <cell r="N159">
            <v>25</v>
          </cell>
          <cell r="O159">
            <v>5.5</v>
          </cell>
          <cell r="P159">
            <v>0</v>
          </cell>
        </row>
        <row r="160">
          <cell r="J160" t="str">
            <v>A-1Compra de ViviendaIndividualResidencialUsadaApartamentoBG000000200000.01</v>
          </cell>
          <cell r="K160">
            <v>200000.01</v>
          </cell>
          <cell r="L160">
            <v>500000</v>
          </cell>
          <cell r="M160">
            <v>80</v>
          </cell>
          <cell r="N160">
            <v>25</v>
          </cell>
          <cell r="O160">
            <v>5.5</v>
          </cell>
          <cell r="P160">
            <v>0</v>
          </cell>
        </row>
        <row r="161">
          <cell r="J161" t="str">
            <v>A-1Compra de ViviendaIndividualResidencialUsadaApartamentoBG000000500000.01</v>
          </cell>
          <cell r="K161">
            <v>500000.01</v>
          </cell>
          <cell r="L161">
            <v>99999999</v>
          </cell>
          <cell r="M161">
            <v>70</v>
          </cell>
          <cell r="N161">
            <v>25</v>
          </cell>
          <cell r="O161">
            <v>5.25</v>
          </cell>
          <cell r="P161">
            <v>0</v>
          </cell>
        </row>
        <row r="162">
          <cell r="J162" t="str">
            <v>A-1Compra de ViviendaIndividualResidencialUsadaApartamentoCOPA000000030000.00</v>
          </cell>
          <cell r="K162">
            <v>30000</v>
          </cell>
          <cell r="L162">
            <v>250000</v>
          </cell>
          <cell r="M162">
            <v>90</v>
          </cell>
          <cell r="N162">
            <v>25</v>
          </cell>
          <cell r="O162">
            <v>5.5</v>
          </cell>
          <cell r="P162">
            <v>0</v>
          </cell>
        </row>
        <row r="163">
          <cell r="J163" t="str">
            <v>A-1Compra de ViviendaIndividualResidencialUsadaApartamentoCOPA000000250000.01</v>
          </cell>
          <cell r="K163">
            <v>250000.01</v>
          </cell>
          <cell r="L163">
            <v>500000</v>
          </cell>
          <cell r="M163">
            <v>80</v>
          </cell>
          <cell r="N163">
            <v>25</v>
          </cell>
          <cell r="O163">
            <v>5.5</v>
          </cell>
          <cell r="P163">
            <v>0</v>
          </cell>
        </row>
        <row r="164">
          <cell r="J164" t="str">
            <v>A-1Compra de ViviendaIndividualResidencialUsadaApartamentoCOPA000000500000.01</v>
          </cell>
          <cell r="K164">
            <v>500000.01</v>
          </cell>
          <cell r="L164">
            <v>99999999</v>
          </cell>
          <cell r="M164">
            <v>70</v>
          </cell>
          <cell r="N164">
            <v>25</v>
          </cell>
          <cell r="O164">
            <v>5.25</v>
          </cell>
          <cell r="P164">
            <v>0</v>
          </cell>
        </row>
        <row r="165">
          <cell r="J165" t="str">
            <v>A-1Compra de ViviendaIndividualResidencialUsadaApartamentoFERIA000000030000.00</v>
          </cell>
          <cell r="K165">
            <v>30000</v>
          </cell>
          <cell r="L165">
            <v>200000</v>
          </cell>
          <cell r="M165">
            <v>90</v>
          </cell>
          <cell r="N165">
            <v>25</v>
          </cell>
          <cell r="O165">
            <v>5.5</v>
          </cell>
          <cell r="P165">
            <v>0</v>
          </cell>
        </row>
        <row r="166">
          <cell r="J166" t="str">
            <v>A-1Compra de ViviendaIndividualResidencialUsadaApartamentoFERIA000000200000.01</v>
          </cell>
          <cell r="K166">
            <v>200000.01</v>
          </cell>
          <cell r="L166">
            <v>400000</v>
          </cell>
          <cell r="M166">
            <v>80</v>
          </cell>
          <cell r="N166">
            <v>25</v>
          </cell>
          <cell r="O166">
            <v>5.5</v>
          </cell>
          <cell r="P166">
            <v>0</v>
          </cell>
        </row>
        <row r="167">
          <cell r="J167" t="str">
            <v>A-1Compra de ViviendaIndividualResidencialUsadaApartamentoFERIA000000400000.01</v>
          </cell>
          <cell r="K167">
            <v>400000.01</v>
          </cell>
          <cell r="L167">
            <v>99999999</v>
          </cell>
          <cell r="M167">
            <v>70</v>
          </cell>
          <cell r="N167">
            <v>25</v>
          </cell>
          <cell r="O167">
            <v>5.25</v>
          </cell>
          <cell r="P167">
            <v>0</v>
          </cell>
        </row>
        <row r="168">
          <cell r="J168" t="str">
            <v>A-1Compra de ViviendaIndividualResidencialUsadaCasaBG000000030000.00</v>
          </cell>
          <cell r="K168">
            <v>30000</v>
          </cell>
          <cell r="L168">
            <v>200000</v>
          </cell>
          <cell r="M168">
            <v>90</v>
          </cell>
          <cell r="N168">
            <v>30</v>
          </cell>
          <cell r="O168">
            <v>5.5</v>
          </cell>
          <cell r="P168">
            <v>0</v>
          </cell>
        </row>
        <row r="169">
          <cell r="J169" t="str">
            <v>A-1Compra de ViviendaIndividualResidencialUsadaCasaBG000000250000.01</v>
          </cell>
          <cell r="K169">
            <v>250000.01</v>
          </cell>
          <cell r="L169">
            <v>500000</v>
          </cell>
          <cell r="M169">
            <v>80</v>
          </cell>
          <cell r="N169">
            <v>30</v>
          </cell>
          <cell r="O169">
            <v>5.5</v>
          </cell>
          <cell r="P169">
            <v>0</v>
          </cell>
        </row>
        <row r="170">
          <cell r="J170" t="str">
            <v>A-1Compra de ViviendaIndividualResidencialUsadaCasaBG000000500000.01</v>
          </cell>
          <cell r="K170">
            <v>500000.01</v>
          </cell>
          <cell r="L170">
            <v>99999999</v>
          </cell>
          <cell r="M170">
            <v>70</v>
          </cell>
          <cell r="N170">
            <v>30</v>
          </cell>
          <cell r="O170">
            <v>5.25</v>
          </cell>
          <cell r="P170">
            <v>0</v>
          </cell>
        </row>
        <row r="171">
          <cell r="J171" t="str">
            <v>A-1Compra de ViviendaIndividualResidencialUsadaCasaCOPA000000030000.00</v>
          </cell>
          <cell r="K171">
            <v>30000</v>
          </cell>
          <cell r="L171">
            <v>250000</v>
          </cell>
          <cell r="M171">
            <v>90</v>
          </cell>
          <cell r="N171">
            <v>30</v>
          </cell>
          <cell r="O171">
            <v>5.5</v>
          </cell>
          <cell r="P171">
            <v>0</v>
          </cell>
        </row>
        <row r="172">
          <cell r="J172" t="str">
            <v>A-1Compra de ViviendaIndividualResidencialUsadaCasaCOPA000000250000.01</v>
          </cell>
          <cell r="K172">
            <v>250000.01</v>
          </cell>
          <cell r="L172">
            <v>500000</v>
          </cell>
          <cell r="M172">
            <v>80</v>
          </cell>
          <cell r="N172">
            <v>30</v>
          </cell>
          <cell r="O172">
            <v>5.5</v>
          </cell>
          <cell r="P172">
            <v>0</v>
          </cell>
        </row>
        <row r="173">
          <cell r="J173" t="str">
            <v>A-1Compra de ViviendaIndividualResidencialUsadaCasaCOPA000000500000.01</v>
          </cell>
          <cell r="K173">
            <v>500000.01</v>
          </cell>
          <cell r="L173">
            <v>99999999</v>
          </cell>
          <cell r="M173">
            <v>70</v>
          </cell>
          <cell r="N173">
            <v>30</v>
          </cell>
          <cell r="O173">
            <v>5.25</v>
          </cell>
          <cell r="P173">
            <v>0</v>
          </cell>
        </row>
        <row r="174">
          <cell r="J174" t="str">
            <v>A-1Compra de ViviendaIndividualResidencialUsadaCasaFERIA000000030000.00</v>
          </cell>
          <cell r="K174">
            <v>30000</v>
          </cell>
          <cell r="L174">
            <v>200000</v>
          </cell>
          <cell r="M174">
            <v>90</v>
          </cell>
          <cell r="N174">
            <v>30</v>
          </cell>
          <cell r="O174">
            <v>5.5</v>
          </cell>
          <cell r="P174">
            <v>0</v>
          </cell>
        </row>
        <row r="175">
          <cell r="J175" t="str">
            <v>A-1Compra de ViviendaIndividualResidencialUsadaCasaFERIA000000200000.01</v>
          </cell>
          <cell r="K175">
            <v>200000.01</v>
          </cell>
          <cell r="L175">
            <v>400000</v>
          </cell>
          <cell r="M175">
            <v>80</v>
          </cell>
          <cell r="N175">
            <v>30</v>
          </cell>
          <cell r="O175">
            <v>5.5</v>
          </cell>
          <cell r="P175">
            <v>0</v>
          </cell>
        </row>
        <row r="176">
          <cell r="J176" t="str">
            <v>A-1Compra de ViviendaIndividualResidencialUsadaCasaFERIA000000400000.01</v>
          </cell>
          <cell r="K176">
            <v>400000.01</v>
          </cell>
          <cell r="L176">
            <v>99999999</v>
          </cell>
          <cell r="M176">
            <v>70</v>
          </cell>
          <cell r="N176">
            <v>30</v>
          </cell>
          <cell r="O176">
            <v>5.25</v>
          </cell>
          <cell r="P176">
            <v>0</v>
          </cell>
        </row>
        <row r="177">
          <cell r="J177" t="str">
            <v>A-1Compra de ViviendaLey PreferencialReposeído (BG)UsadaApartamentoBG000000015000.00</v>
          </cell>
          <cell r="K177">
            <v>15000</v>
          </cell>
          <cell r="L177">
            <v>40000</v>
          </cell>
          <cell r="M177">
            <v>98</v>
          </cell>
          <cell r="N177">
            <v>30</v>
          </cell>
          <cell r="O177">
            <v>0</v>
          </cell>
          <cell r="P177">
            <v>8.56</v>
          </cell>
        </row>
        <row r="178">
          <cell r="J178" t="str">
            <v>A-1Compra de ViviendaLey PreferencialReposeído (BG)UsadaApartamentoBG000000040000.01</v>
          </cell>
          <cell r="K178">
            <v>40000.01</v>
          </cell>
          <cell r="L178">
            <v>80000</v>
          </cell>
          <cell r="M178">
            <v>98</v>
          </cell>
          <cell r="N178">
            <v>30</v>
          </cell>
          <cell r="O178">
            <v>1.5</v>
          </cell>
          <cell r="P178">
            <v>8.56</v>
          </cell>
        </row>
        <row r="179">
          <cell r="J179" t="str">
            <v>A-1Compra de ViviendaLey PreferencialReposeído (BG)UsadaApartamentoBG000000080000.01</v>
          </cell>
          <cell r="K179">
            <v>80000.009999999995</v>
          </cell>
          <cell r="L179">
            <v>120000</v>
          </cell>
          <cell r="M179">
            <v>98</v>
          </cell>
          <cell r="N179">
            <v>30</v>
          </cell>
          <cell r="O179">
            <v>1.5</v>
          </cell>
          <cell r="P179">
            <v>8.56</v>
          </cell>
        </row>
        <row r="180">
          <cell r="J180" t="str">
            <v>A-1Compra de ViviendaLey PreferencialReposeído (BG)UsadaApartamentoCOPA000000015000.00</v>
          </cell>
          <cell r="K180">
            <v>15000</v>
          </cell>
          <cell r="L180">
            <v>40000</v>
          </cell>
          <cell r="M180">
            <v>98</v>
          </cell>
          <cell r="N180">
            <v>30</v>
          </cell>
          <cell r="O180">
            <v>0</v>
          </cell>
          <cell r="P180">
            <v>4.28</v>
          </cell>
        </row>
        <row r="181">
          <cell r="J181" t="str">
            <v>A-1Compra de ViviendaLey PreferencialReposeído (BG)UsadaApartamentoCOPA000000040000.01</v>
          </cell>
          <cell r="K181">
            <v>40000.01</v>
          </cell>
          <cell r="L181">
            <v>80000</v>
          </cell>
          <cell r="M181">
            <v>98</v>
          </cell>
          <cell r="N181">
            <v>30</v>
          </cell>
          <cell r="O181">
            <v>1.5</v>
          </cell>
          <cell r="P181">
            <v>4.28</v>
          </cell>
        </row>
        <row r="182">
          <cell r="J182" t="str">
            <v>A-1Compra de ViviendaLey PreferencialReposeído (BG)UsadaApartamentoCOPA000000080000.01</v>
          </cell>
          <cell r="K182">
            <v>80000.009999999995</v>
          </cell>
          <cell r="L182">
            <v>120000</v>
          </cell>
          <cell r="M182">
            <v>98</v>
          </cell>
          <cell r="N182">
            <v>30</v>
          </cell>
          <cell r="O182">
            <v>1.5</v>
          </cell>
          <cell r="P182">
            <v>4.28</v>
          </cell>
        </row>
        <row r="183">
          <cell r="J183" t="str">
            <v>A-1Compra de ViviendaLey PreferencialReposeído (BG)UsadaApartamentoFERIA000000015000.00</v>
          </cell>
          <cell r="K183">
            <v>15000</v>
          </cell>
          <cell r="L183">
            <v>40000</v>
          </cell>
          <cell r="M183">
            <v>95</v>
          </cell>
          <cell r="N183">
            <v>30</v>
          </cell>
          <cell r="O183">
            <v>0</v>
          </cell>
          <cell r="P183">
            <v>4.28</v>
          </cell>
        </row>
        <row r="184">
          <cell r="J184" t="str">
            <v>A-1Compra de ViviendaLey PreferencialReposeído (BG)UsadaApartamentoFERIA000000040000.01</v>
          </cell>
          <cell r="K184">
            <v>40000.01</v>
          </cell>
          <cell r="L184">
            <v>80000</v>
          </cell>
          <cell r="M184">
            <v>95</v>
          </cell>
          <cell r="N184">
            <v>30</v>
          </cell>
          <cell r="O184">
            <v>1.5</v>
          </cell>
          <cell r="P184">
            <v>4.28</v>
          </cell>
        </row>
        <row r="185">
          <cell r="J185" t="str">
            <v>A-1Compra de ViviendaLey PreferencialReposeído (BG)UsadaApartamentoFERIA000000080000.01</v>
          </cell>
          <cell r="K185">
            <v>80000.009999999995</v>
          </cell>
          <cell r="L185">
            <v>120000</v>
          </cell>
          <cell r="M185">
            <v>95</v>
          </cell>
          <cell r="N185">
            <v>30</v>
          </cell>
          <cell r="O185">
            <v>1.5</v>
          </cell>
          <cell r="P185">
            <v>4.28</v>
          </cell>
        </row>
        <row r="186">
          <cell r="J186" t="str">
            <v>A-1Compra de ViviendaLey PreferencialReposeído (BG)UsadaCasaBG000000015000.00</v>
          </cell>
          <cell r="K186">
            <v>15000</v>
          </cell>
          <cell r="L186">
            <v>40000</v>
          </cell>
          <cell r="M186">
            <v>98</v>
          </cell>
          <cell r="N186">
            <v>30</v>
          </cell>
          <cell r="O186">
            <v>0</v>
          </cell>
          <cell r="P186">
            <v>8.56</v>
          </cell>
        </row>
        <row r="187">
          <cell r="J187" t="str">
            <v>A-1Compra de ViviendaLey PreferencialReposeído (BG)UsadaCasaBG000000040000.01</v>
          </cell>
          <cell r="K187">
            <v>40000.01</v>
          </cell>
          <cell r="L187">
            <v>80000</v>
          </cell>
          <cell r="M187">
            <v>98</v>
          </cell>
          <cell r="N187">
            <v>30</v>
          </cell>
          <cell r="O187">
            <v>1.5</v>
          </cell>
          <cell r="P187">
            <v>8.56</v>
          </cell>
        </row>
        <row r="188">
          <cell r="J188" t="str">
            <v>A-1Compra de ViviendaLey PreferencialReposeído (BG)UsadaCasaBG000000080000.01</v>
          </cell>
          <cell r="K188">
            <v>80000.009999999995</v>
          </cell>
          <cell r="L188">
            <v>120000</v>
          </cell>
          <cell r="M188">
            <v>98</v>
          </cell>
          <cell r="N188">
            <v>30</v>
          </cell>
          <cell r="O188">
            <v>1.5</v>
          </cell>
          <cell r="P188">
            <v>8.56</v>
          </cell>
        </row>
        <row r="189">
          <cell r="J189" t="str">
            <v>A-1Compra de ViviendaLey PreferencialReposeído (BG)UsadaCasaCOPA000000015000.00</v>
          </cell>
          <cell r="K189">
            <v>15000</v>
          </cell>
          <cell r="L189">
            <v>40000</v>
          </cell>
          <cell r="M189">
            <v>98</v>
          </cell>
          <cell r="N189">
            <v>30</v>
          </cell>
          <cell r="O189">
            <v>0</v>
          </cell>
          <cell r="P189">
            <v>4.28</v>
          </cell>
        </row>
        <row r="190">
          <cell r="J190" t="str">
            <v>A-1Compra de ViviendaLey PreferencialReposeído (BG)UsadaCasaCOPA000000040000.01</v>
          </cell>
          <cell r="K190">
            <v>40000.01</v>
          </cell>
          <cell r="L190">
            <v>80000</v>
          </cell>
          <cell r="M190">
            <v>98</v>
          </cell>
          <cell r="N190">
            <v>30</v>
          </cell>
          <cell r="O190">
            <v>1.5</v>
          </cell>
          <cell r="P190">
            <v>4.28</v>
          </cell>
        </row>
        <row r="191">
          <cell r="J191" t="str">
            <v>A-1Compra de ViviendaLey PreferencialReposeído (BG)UsadaCasaCOPA000000080000.01</v>
          </cell>
          <cell r="K191">
            <v>80000.009999999995</v>
          </cell>
          <cell r="L191">
            <v>120000</v>
          </cell>
          <cell r="M191">
            <v>98</v>
          </cell>
          <cell r="N191">
            <v>30</v>
          </cell>
          <cell r="O191">
            <v>1.5</v>
          </cell>
          <cell r="P191">
            <v>4.28</v>
          </cell>
        </row>
        <row r="192">
          <cell r="J192" t="str">
            <v>A-1Compra de ViviendaLey PreferencialReposeído (BG)UsadaCasaFERIA000000015000.00</v>
          </cell>
          <cell r="K192">
            <v>15000</v>
          </cell>
          <cell r="L192">
            <v>40000</v>
          </cell>
          <cell r="M192">
            <v>95</v>
          </cell>
          <cell r="N192">
            <v>30</v>
          </cell>
          <cell r="O192">
            <v>0</v>
          </cell>
          <cell r="P192">
            <v>4.28</v>
          </cell>
        </row>
        <row r="193">
          <cell r="J193" t="str">
            <v>A-1Compra de ViviendaLey PreferencialReposeído (BG)UsadaCasaFERIA000000040000.01</v>
          </cell>
          <cell r="K193">
            <v>40000.01</v>
          </cell>
          <cell r="L193">
            <v>80000</v>
          </cell>
          <cell r="M193">
            <v>95</v>
          </cell>
          <cell r="N193">
            <v>30</v>
          </cell>
          <cell r="O193">
            <v>1.5</v>
          </cell>
          <cell r="P193">
            <v>4.28</v>
          </cell>
        </row>
        <row r="194">
          <cell r="J194" t="str">
            <v>A-1Compra de ViviendaLey PreferencialReposeído (BG)UsadaCasaFERIA000000080000.01</v>
          </cell>
          <cell r="K194">
            <v>80000.009999999995</v>
          </cell>
          <cell r="L194">
            <v>120000</v>
          </cell>
          <cell r="M194">
            <v>95</v>
          </cell>
          <cell r="N194">
            <v>30</v>
          </cell>
          <cell r="O194">
            <v>1.5</v>
          </cell>
          <cell r="P194">
            <v>4.28</v>
          </cell>
        </row>
        <row r="195">
          <cell r="J195" t="str">
            <v>A-1Compra de ViviendaLey PreferencialResidencialNuevaApartamentoBG000000030000.00</v>
          </cell>
          <cell r="K195">
            <v>30000</v>
          </cell>
          <cell r="L195">
            <v>40000</v>
          </cell>
          <cell r="M195">
            <v>95</v>
          </cell>
          <cell r="N195">
            <v>30</v>
          </cell>
          <cell r="O195">
            <v>0</v>
          </cell>
          <cell r="P195">
            <v>8.56</v>
          </cell>
        </row>
        <row r="196">
          <cell r="J196" t="str">
            <v>A-1Compra de ViviendaLey PreferencialResidencialNuevaApartamentoBG000000040000.01</v>
          </cell>
          <cell r="K196">
            <v>40000.01</v>
          </cell>
          <cell r="L196">
            <v>80000</v>
          </cell>
          <cell r="M196">
            <v>95</v>
          </cell>
          <cell r="N196">
            <v>30</v>
          </cell>
          <cell r="O196">
            <v>1.5</v>
          </cell>
          <cell r="P196">
            <v>8.56</v>
          </cell>
        </row>
        <row r="197">
          <cell r="J197" t="str">
            <v>A-1Compra de ViviendaLey PreferencialResidencialNuevaApartamentoBG000000080000.01</v>
          </cell>
          <cell r="K197">
            <v>80000.009999999995</v>
          </cell>
          <cell r="L197">
            <v>120000</v>
          </cell>
          <cell r="M197">
            <v>95</v>
          </cell>
          <cell r="N197">
            <v>30</v>
          </cell>
          <cell r="O197">
            <v>1.5</v>
          </cell>
          <cell r="P197">
            <v>8.56</v>
          </cell>
        </row>
        <row r="198">
          <cell r="J198" t="str">
            <v>A-1Compra de ViviendaLey PreferencialResidencialNuevaApartamentoCOPA000000030000.00</v>
          </cell>
          <cell r="K198">
            <v>30000</v>
          </cell>
          <cell r="L198">
            <v>40000</v>
          </cell>
          <cell r="M198">
            <v>95</v>
          </cell>
          <cell r="N198">
            <v>30</v>
          </cell>
          <cell r="O198">
            <v>0</v>
          </cell>
          <cell r="P198">
            <v>4.28</v>
          </cell>
        </row>
        <row r="199">
          <cell r="J199" t="str">
            <v>A-1Compra de ViviendaLey PreferencialResidencialNuevaApartamentoCOPA000000040000.01</v>
          </cell>
          <cell r="K199">
            <v>40000.01</v>
          </cell>
          <cell r="L199">
            <v>80000</v>
          </cell>
          <cell r="M199">
            <v>95</v>
          </cell>
          <cell r="N199">
            <v>30</v>
          </cell>
          <cell r="O199">
            <v>1.5</v>
          </cell>
          <cell r="P199">
            <v>4.28</v>
          </cell>
        </row>
        <row r="200">
          <cell r="J200" t="str">
            <v>A-1Compra de ViviendaLey PreferencialResidencialNuevaApartamentoCOPA000000080000.01</v>
          </cell>
          <cell r="K200">
            <v>80000.009999999995</v>
          </cell>
          <cell r="L200">
            <v>120000</v>
          </cell>
          <cell r="M200">
            <v>95</v>
          </cell>
          <cell r="N200">
            <v>30</v>
          </cell>
          <cell r="O200">
            <v>1.5</v>
          </cell>
          <cell r="P200">
            <v>4.28</v>
          </cell>
        </row>
        <row r="201">
          <cell r="J201" t="str">
            <v>A-1Compra de ViviendaLey PreferencialResidencialNuevaApartamentoFERIA000000030000.00</v>
          </cell>
          <cell r="K201">
            <v>30000</v>
          </cell>
          <cell r="L201">
            <v>40000</v>
          </cell>
          <cell r="M201">
            <v>95</v>
          </cell>
          <cell r="N201">
            <v>30</v>
          </cell>
          <cell r="O201">
            <v>0</v>
          </cell>
          <cell r="P201">
            <v>4.28</v>
          </cell>
        </row>
        <row r="202">
          <cell r="J202" t="str">
            <v>A-1Compra de ViviendaLey PreferencialResidencialNuevaApartamentoFERIA000000040000.01</v>
          </cell>
          <cell r="K202">
            <v>40000.01</v>
          </cell>
          <cell r="L202">
            <v>80000</v>
          </cell>
          <cell r="M202">
            <v>95</v>
          </cell>
          <cell r="N202">
            <v>30</v>
          </cell>
          <cell r="O202">
            <v>1.5</v>
          </cell>
          <cell r="P202">
            <v>4.28</v>
          </cell>
        </row>
        <row r="203">
          <cell r="J203" t="str">
            <v>A-1Compra de ViviendaLey PreferencialResidencialNuevaApartamentoFERIA000000080000.01</v>
          </cell>
          <cell r="K203">
            <v>80000.009999999995</v>
          </cell>
          <cell r="L203">
            <v>120000</v>
          </cell>
          <cell r="M203">
            <v>95</v>
          </cell>
          <cell r="N203">
            <v>30</v>
          </cell>
          <cell r="O203">
            <v>1.5</v>
          </cell>
          <cell r="P203">
            <v>4.28</v>
          </cell>
        </row>
        <row r="204">
          <cell r="J204" t="str">
            <v>A-1Compra de ViviendaLey PreferencialResidencialNuevaCasaBG000000000000.00</v>
          </cell>
          <cell r="O204">
            <v>0</v>
          </cell>
          <cell r="P204">
            <v>8.56</v>
          </cell>
        </row>
        <row r="205">
          <cell r="J205" t="str">
            <v>A-1Compra de ViviendaLey PreferencialResidencialNuevaCasaBG000000018000.00</v>
          </cell>
          <cell r="K205">
            <v>18000</v>
          </cell>
          <cell r="L205">
            <v>40000</v>
          </cell>
          <cell r="M205">
            <v>98</v>
          </cell>
          <cell r="N205">
            <v>30</v>
          </cell>
          <cell r="O205">
            <v>0</v>
          </cell>
          <cell r="P205">
            <v>8.56</v>
          </cell>
        </row>
        <row r="206">
          <cell r="J206" t="str">
            <v>A-1Compra de ViviendaLey PreferencialResidencialNuevaCasaBG000000040000.01</v>
          </cell>
          <cell r="K206">
            <v>40000.01</v>
          </cell>
          <cell r="L206">
            <v>80000</v>
          </cell>
          <cell r="M206">
            <v>98</v>
          </cell>
          <cell r="N206">
            <v>30</v>
          </cell>
          <cell r="O206">
            <v>1.5</v>
          </cell>
          <cell r="P206">
            <v>8.56</v>
          </cell>
        </row>
        <row r="207">
          <cell r="J207" t="str">
            <v>A-1Compra de ViviendaLey PreferencialResidencialNuevaCasaBG000000080000.01</v>
          </cell>
          <cell r="K207">
            <v>80000.009999999995</v>
          </cell>
          <cell r="L207">
            <v>120000</v>
          </cell>
          <cell r="M207">
            <v>98</v>
          </cell>
          <cell r="N207">
            <v>30</v>
          </cell>
          <cell r="O207">
            <v>1.5</v>
          </cell>
          <cell r="P207">
            <v>8.56</v>
          </cell>
        </row>
        <row r="208">
          <cell r="J208" t="str">
            <v>A-1Compra de ViviendaLey PreferencialResidencialNuevaCasaCOPA000000018000.00</v>
          </cell>
          <cell r="K208">
            <v>18000</v>
          </cell>
          <cell r="L208">
            <v>40000</v>
          </cell>
          <cell r="M208">
            <v>98</v>
          </cell>
          <cell r="N208">
            <v>30</v>
          </cell>
          <cell r="O208">
            <v>0</v>
          </cell>
          <cell r="P208">
            <v>4.28</v>
          </cell>
        </row>
        <row r="209">
          <cell r="J209" t="str">
            <v>A-1Compra de ViviendaLey PreferencialResidencialNuevaCasaCOPA000000040000.01</v>
          </cell>
          <cell r="K209">
            <v>40000.01</v>
          </cell>
          <cell r="L209">
            <v>80000</v>
          </cell>
          <cell r="M209">
            <v>98</v>
          </cell>
          <cell r="N209">
            <v>30</v>
          </cell>
          <cell r="O209">
            <v>1.5</v>
          </cell>
          <cell r="P209">
            <v>4.28</v>
          </cell>
        </row>
        <row r="210">
          <cell r="J210" t="str">
            <v>A-1Compra de ViviendaLey PreferencialResidencialNuevaCasaCOPA000000080000.01</v>
          </cell>
          <cell r="K210">
            <v>80000.009999999995</v>
          </cell>
          <cell r="L210">
            <v>120000</v>
          </cell>
          <cell r="M210">
            <v>98</v>
          </cell>
          <cell r="N210">
            <v>30</v>
          </cell>
          <cell r="O210">
            <v>1.5</v>
          </cell>
          <cell r="P210">
            <v>4.28</v>
          </cell>
        </row>
        <row r="211">
          <cell r="J211" t="str">
            <v>A-1Compra de ViviendaLey PreferencialResidencialNuevaCasaFERIA000000018000.00</v>
          </cell>
          <cell r="K211">
            <v>18000</v>
          </cell>
          <cell r="L211">
            <v>40000</v>
          </cell>
          <cell r="M211">
            <v>98</v>
          </cell>
          <cell r="N211">
            <v>30</v>
          </cell>
          <cell r="O211">
            <v>0</v>
          </cell>
          <cell r="P211">
            <v>4.28</v>
          </cell>
        </row>
        <row r="212">
          <cell r="J212" t="str">
            <v>A-1Compra de ViviendaLey PreferencialResidencialNuevaCasaFERIA000000040000.01</v>
          </cell>
          <cell r="K212">
            <v>40000.01</v>
          </cell>
          <cell r="L212">
            <v>80000</v>
          </cell>
          <cell r="M212">
            <v>98</v>
          </cell>
          <cell r="N212">
            <v>30</v>
          </cell>
          <cell r="O212">
            <v>1.5</v>
          </cell>
          <cell r="P212">
            <v>4.28</v>
          </cell>
        </row>
        <row r="213">
          <cell r="J213" t="str">
            <v>A-1Compra de ViviendaLey PreferencialResidencialNuevaCasaFERIA000000080000.01</v>
          </cell>
          <cell r="K213">
            <v>80000.009999999995</v>
          </cell>
          <cell r="L213">
            <v>120000</v>
          </cell>
          <cell r="M213">
            <v>98</v>
          </cell>
          <cell r="N213">
            <v>30</v>
          </cell>
          <cell r="O213">
            <v>1.5</v>
          </cell>
          <cell r="P213">
            <v>4.28</v>
          </cell>
        </row>
        <row r="214">
          <cell r="J214" t="str">
            <v>A-1Compra Venta de AccionesCasco AntiguoResidencialNuevaApartamentoBG000000030000.00</v>
          </cell>
          <cell r="K214">
            <v>30000</v>
          </cell>
          <cell r="L214">
            <v>99999999</v>
          </cell>
          <cell r="M214">
            <v>80</v>
          </cell>
          <cell r="N214">
            <v>30</v>
          </cell>
          <cell r="O214">
            <v>3.25</v>
          </cell>
          <cell r="P214">
            <v>4.28</v>
          </cell>
        </row>
        <row r="215">
          <cell r="J215" t="str">
            <v>A-1Compra Venta de AccionesCasco AntiguoResidencialNuevaCasaBG000000030000.00</v>
          </cell>
          <cell r="K215">
            <v>30000</v>
          </cell>
          <cell r="L215">
            <v>99999999</v>
          </cell>
          <cell r="M215">
            <v>80</v>
          </cell>
          <cell r="N215">
            <v>30</v>
          </cell>
          <cell r="O215">
            <v>3.25</v>
          </cell>
          <cell r="P215">
            <v>4.28</v>
          </cell>
        </row>
        <row r="216">
          <cell r="J216" t="str">
            <v>A-1Compra Venta de AccionesCasco AntiguoResidencialUsadaApartamentoBG000000030000.00</v>
          </cell>
          <cell r="K216">
            <v>30000</v>
          </cell>
          <cell r="L216">
            <v>99999999</v>
          </cell>
          <cell r="M216">
            <v>80</v>
          </cell>
          <cell r="N216">
            <v>30</v>
          </cell>
          <cell r="O216">
            <v>3.25</v>
          </cell>
          <cell r="P216">
            <v>4.28</v>
          </cell>
        </row>
        <row r="217">
          <cell r="J217" t="str">
            <v>A-1Compra Venta de AccionesCasco AntiguoResidencialUsadaCasaBG000000030000.00</v>
          </cell>
          <cell r="K217">
            <v>30000</v>
          </cell>
          <cell r="L217">
            <v>99999999</v>
          </cell>
          <cell r="M217">
            <v>80</v>
          </cell>
          <cell r="N217">
            <v>30</v>
          </cell>
          <cell r="O217">
            <v>3.25</v>
          </cell>
          <cell r="P217">
            <v>4.28</v>
          </cell>
        </row>
        <row r="218">
          <cell r="J218" t="str">
            <v>A-1Compra Venta de AccionesIndividualResidencialNuevaApartamentoBG000000030000.00</v>
          </cell>
          <cell r="K218">
            <v>30000</v>
          </cell>
          <cell r="L218">
            <v>100000</v>
          </cell>
          <cell r="M218">
            <v>95</v>
          </cell>
          <cell r="N218">
            <v>30</v>
          </cell>
          <cell r="O218">
            <v>5</v>
          </cell>
          <cell r="P218">
            <v>0</v>
          </cell>
        </row>
        <row r="219">
          <cell r="J219" t="str">
            <v>A-1Compra Venta de AccionesIndividualResidencialNuevaApartamentoBG000000100000.01</v>
          </cell>
          <cell r="K219">
            <v>100000.01</v>
          </cell>
          <cell r="L219">
            <v>250000</v>
          </cell>
          <cell r="M219">
            <v>90</v>
          </cell>
          <cell r="N219">
            <v>30</v>
          </cell>
          <cell r="O219">
            <v>5</v>
          </cell>
          <cell r="P219">
            <v>0</v>
          </cell>
        </row>
        <row r="220">
          <cell r="J220" t="str">
            <v>A-1Compra Venta de AccionesIndividualResidencialNuevaApartamentoBG000000250000.01</v>
          </cell>
          <cell r="K220">
            <v>250000.01</v>
          </cell>
          <cell r="L220">
            <v>600000</v>
          </cell>
          <cell r="M220">
            <v>80</v>
          </cell>
          <cell r="N220">
            <v>30</v>
          </cell>
          <cell r="O220">
            <v>5</v>
          </cell>
          <cell r="P220">
            <v>0</v>
          </cell>
        </row>
        <row r="221">
          <cell r="J221" t="str">
            <v>A-1Compra Venta de AccionesIndividualResidencialNuevaApartamentoBG000000600000.01</v>
          </cell>
          <cell r="K221">
            <v>600000.01</v>
          </cell>
          <cell r="L221">
            <v>99999999</v>
          </cell>
          <cell r="M221">
            <v>70</v>
          </cell>
          <cell r="N221">
            <v>30</v>
          </cell>
          <cell r="O221">
            <v>5</v>
          </cell>
          <cell r="P221">
            <v>0</v>
          </cell>
        </row>
        <row r="222">
          <cell r="J222" t="str">
            <v>A-1Compra Venta de AccionesIndividualResidencialNuevaCasaBG000000018000.00</v>
          </cell>
          <cell r="K222">
            <v>18000</v>
          </cell>
          <cell r="L222">
            <v>100000</v>
          </cell>
          <cell r="M222">
            <v>95</v>
          </cell>
          <cell r="N222">
            <v>30</v>
          </cell>
          <cell r="O222">
            <v>5</v>
          </cell>
          <cell r="P222">
            <v>0</v>
          </cell>
        </row>
        <row r="223">
          <cell r="J223" t="str">
            <v>A-1Compra Venta de AccionesIndividualResidencialNuevaCasaBG000000100000.01</v>
          </cell>
          <cell r="K223">
            <v>100000.01</v>
          </cell>
          <cell r="L223">
            <v>250000</v>
          </cell>
          <cell r="M223">
            <v>90</v>
          </cell>
          <cell r="N223">
            <v>30</v>
          </cell>
          <cell r="O223">
            <v>5</v>
          </cell>
          <cell r="P223">
            <v>0</v>
          </cell>
        </row>
        <row r="224">
          <cell r="J224" t="str">
            <v>A-1Compra Venta de AccionesIndividualResidencialNuevaCasaBG000000250000.01</v>
          </cell>
          <cell r="K224">
            <v>250000.01</v>
          </cell>
          <cell r="L224">
            <v>600000</v>
          </cell>
          <cell r="M224">
            <v>80</v>
          </cell>
          <cell r="N224">
            <v>30</v>
          </cell>
          <cell r="O224">
            <v>5</v>
          </cell>
          <cell r="P224">
            <v>0</v>
          </cell>
        </row>
        <row r="225">
          <cell r="J225" t="str">
            <v>A-1Compra Venta de AccionesIndividualResidencialNuevaCasaBG000000600000.01</v>
          </cell>
          <cell r="K225">
            <v>600000.01</v>
          </cell>
          <cell r="L225">
            <v>99999999</v>
          </cell>
          <cell r="M225">
            <v>70</v>
          </cell>
          <cell r="N225">
            <v>30</v>
          </cell>
          <cell r="O225">
            <v>5</v>
          </cell>
          <cell r="P225">
            <v>0</v>
          </cell>
        </row>
        <row r="226">
          <cell r="J226" t="str">
            <v>A-1Compra Venta de AccionesIndividualResidencialUsadaApartamentoBG000000030000.00</v>
          </cell>
          <cell r="K226">
            <v>30000</v>
          </cell>
          <cell r="L226">
            <v>250000</v>
          </cell>
          <cell r="M226">
            <v>90</v>
          </cell>
          <cell r="N226">
            <v>25</v>
          </cell>
          <cell r="O226">
            <v>5</v>
          </cell>
          <cell r="P226">
            <v>0</v>
          </cell>
        </row>
        <row r="227">
          <cell r="J227" t="str">
            <v>A-1Compra Venta de AccionesIndividualResidencialUsadaApartamentoBG000000250000.01</v>
          </cell>
          <cell r="K227">
            <v>250000.01</v>
          </cell>
          <cell r="L227">
            <v>500000</v>
          </cell>
          <cell r="M227">
            <v>80</v>
          </cell>
          <cell r="N227">
            <v>25</v>
          </cell>
          <cell r="O227">
            <v>5</v>
          </cell>
          <cell r="P227">
            <v>0</v>
          </cell>
        </row>
        <row r="228">
          <cell r="J228" t="str">
            <v>A-1Compra Venta de AccionesIndividualResidencialUsadaApartamentoBG000000500000.01</v>
          </cell>
          <cell r="K228">
            <v>500000.01</v>
          </cell>
          <cell r="L228">
            <v>99999999</v>
          </cell>
          <cell r="M228">
            <v>70</v>
          </cell>
          <cell r="N228">
            <v>25</v>
          </cell>
          <cell r="O228">
            <v>5</v>
          </cell>
          <cell r="P228">
            <v>0</v>
          </cell>
        </row>
        <row r="229">
          <cell r="J229" t="str">
            <v>A-1Compra Venta de AccionesIndividualResidencialUsadaCasaBG000000030000.00</v>
          </cell>
          <cell r="K229">
            <v>30000</v>
          </cell>
          <cell r="L229">
            <v>200000</v>
          </cell>
          <cell r="M229">
            <v>90</v>
          </cell>
          <cell r="N229">
            <v>30</v>
          </cell>
          <cell r="O229">
            <v>5</v>
          </cell>
          <cell r="P229">
            <v>0</v>
          </cell>
        </row>
        <row r="230">
          <cell r="J230" t="str">
            <v>A-1Compra Venta de AccionesIndividualResidencialUsadaCasaBG000000200000.01</v>
          </cell>
          <cell r="K230">
            <v>200000.01</v>
          </cell>
          <cell r="L230">
            <v>500000</v>
          </cell>
          <cell r="M230">
            <v>80</v>
          </cell>
          <cell r="N230">
            <v>30</v>
          </cell>
          <cell r="O230">
            <v>5</v>
          </cell>
          <cell r="P230">
            <v>0</v>
          </cell>
        </row>
        <row r="231">
          <cell r="J231" t="str">
            <v>A-1Compra Venta de AccionesIndividualResidencialUsadaCasaBG000000500000.01</v>
          </cell>
          <cell r="K231">
            <v>500000.01</v>
          </cell>
          <cell r="L231">
            <v>99999999</v>
          </cell>
          <cell r="M231">
            <v>70</v>
          </cell>
          <cell r="N231">
            <v>30</v>
          </cell>
          <cell r="O231">
            <v>5</v>
          </cell>
          <cell r="P231">
            <v>0</v>
          </cell>
        </row>
        <row r="232">
          <cell r="J232" t="str">
            <v>A-1Compra Vivienda VacacionalIndividualResidencialUsadaApartamentoBG000000030000.00</v>
          </cell>
          <cell r="K232">
            <v>30000</v>
          </cell>
          <cell r="L232">
            <v>250000</v>
          </cell>
          <cell r="M232">
            <v>90</v>
          </cell>
          <cell r="N232">
            <v>30</v>
          </cell>
          <cell r="O232">
            <v>6.5</v>
          </cell>
          <cell r="P232">
            <v>0</v>
          </cell>
        </row>
        <row r="233">
          <cell r="J233" t="str">
            <v>A-1Compra Vivienda VacacionalIndividualResidencialUsadaApartamentoBG000000250000.01</v>
          </cell>
          <cell r="K233">
            <v>250000.01</v>
          </cell>
          <cell r="L233">
            <v>500000</v>
          </cell>
          <cell r="M233">
            <v>80</v>
          </cell>
          <cell r="N233">
            <v>30</v>
          </cell>
          <cell r="O233">
            <v>6.5</v>
          </cell>
          <cell r="P233">
            <v>0</v>
          </cell>
        </row>
        <row r="234">
          <cell r="J234" t="str">
            <v>A-1Compra Vivienda VacacionalIndividualResidencialUsadaApartamentoBG000000500000.01</v>
          </cell>
          <cell r="K234">
            <v>500000.01</v>
          </cell>
          <cell r="L234">
            <v>99999999</v>
          </cell>
          <cell r="M234">
            <v>70</v>
          </cell>
          <cell r="N234">
            <v>30</v>
          </cell>
          <cell r="O234">
            <v>6.5</v>
          </cell>
          <cell r="P234">
            <v>0</v>
          </cell>
        </row>
        <row r="235">
          <cell r="J235" t="str">
            <v>A-1Compra Vivienda VacacionalIndividualResidencialUsadaApartamentoCOPA000000030000.00</v>
          </cell>
          <cell r="K235">
            <v>30000</v>
          </cell>
          <cell r="L235">
            <v>250000</v>
          </cell>
          <cell r="M235">
            <v>90</v>
          </cell>
          <cell r="N235">
            <v>30</v>
          </cell>
          <cell r="O235">
            <v>6.5</v>
          </cell>
          <cell r="P235">
            <v>0</v>
          </cell>
        </row>
        <row r="236">
          <cell r="J236" t="str">
            <v>A-1Compra Vivienda VacacionalIndividualResidencialUsadaApartamentoCOPA000000250000.01</v>
          </cell>
          <cell r="K236">
            <v>250000.01</v>
          </cell>
          <cell r="L236">
            <v>500000</v>
          </cell>
          <cell r="M236">
            <v>80</v>
          </cell>
          <cell r="N236">
            <v>30</v>
          </cell>
          <cell r="O236">
            <v>6.5</v>
          </cell>
          <cell r="P236">
            <v>0</v>
          </cell>
        </row>
        <row r="237">
          <cell r="J237" t="str">
            <v>A-1Compra Vivienda VacacionalIndividualResidencialUsadaApartamentoCOPA000000500000.01</v>
          </cell>
          <cell r="K237">
            <v>500000.01</v>
          </cell>
          <cell r="L237">
            <v>99999999</v>
          </cell>
          <cell r="M237">
            <v>70</v>
          </cell>
          <cell r="N237">
            <v>30</v>
          </cell>
          <cell r="O237">
            <v>6.5</v>
          </cell>
          <cell r="P237">
            <v>0</v>
          </cell>
        </row>
        <row r="238">
          <cell r="J238" t="str">
            <v>A-1Compra Vivienda VacacionalIndividualResidencialUsadaApartamentoFERIA000000030000.00</v>
          </cell>
          <cell r="K238">
            <v>30000</v>
          </cell>
          <cell r="L238">
            <v>250000</v>
          </cell>
          <cell r="M238">
            <v>90</v>
          </cell>
          <cell r="N238">
            <v>30</v>
          </cell>
          <cell r="O238">
            <v>6.5</v>
          </cell>
          <cell r="P238">
            <v>0</v>
          </cell>
        </row>
        <row r="239">
          <cell r="J239" t="str">
            <v>A-1Compra Vivienda VacacionalIndividualResidencialUsadaApartamentoFERIA000000250000.01</v>
          </cell>
          <cell r="K239">
            <v>250000.01</v>
          </cell>
          <cell r="L239">
            <v>500000</v>
          </cell>
          <cell r="M239">
            <v>80</v>
          </cell>
          <cell r="N239">
            <v>30</v>
          </cell>
          <cell r="O239">
            <v>6.5</v>
          </cell>
          <cell r="P239">
            <v>0</v>
          </cell>
        </row>
        <row r="240">
          <cell r="J240" t="str">
            <v>A-1Compra Vivienda VacacionalIndividualResidencialUsadaApartamentoFERIA000000500000.01</v>
          </cell>
          <cell r="K240">
            <v>500000.01</v>
          </cell>
          <cell r="L240">
            <v>99999999</v>
          </cell>
          <cell r="M240">
            <v>70</v>
          </cell>
          <cell r="N240">
            <v>30</v>
          </cell>
          <cell r="O240">
            <v>6.5</v>
          </cell>
          <cell r="P240">
            <v>0</v>
          </cell>
        </row>
        <row r="241">
          <cell r="J241" t="str">
            <v>A-1Compra Vivienda VacacionalIndividualVacacionalNuevaApartamentoBG000000050000.00</v>
          </cell>
          <cell r="K241">
            <v>50000</v>
          </cell>
          <cell r="L241">
            <v>99999999</v>
          </cell>
          <cell r="M241">
            <v>70</v>
          </cell>
          <cell r="N241">
            <v>20</v>
          </cell>
          <cell r="O241">
            <v>6.5</v>
          </cell>
          <cell r="P241">
            <v>0</v>
          </cell>
        </row>
        <row r="242">
          <cell r="J242" t="str">
            <v>A-1Compra Vivienda VacacionalIndividualVacacionalNuevaApartamentoCOPA000000050000.00</v>
          </cell>
          <cell r="K242">
            <v>50000</v>
          </cell>
          <cell r="L242">
            <v>99999999</v>
          </cell>
          <cell r="M242">
            <v>70</v>
          </cell>
          <cell r="N242">
            <v>20</v>
          </cell>
          <cell r="O242">
            <v>6.5</v>
          </cell>
          <cell r="P242">
            <v>0</v>
          </cell>
        </row>
        <row r="243">
          <cell r="J243" t="str">
            <v>A-1Compra Vivienda VacacionalIndividualVacacionalNuevaApartamentoFERIA000000050000.00</v>
          </cell>
          <cell r="K243">
            <v>50000</v>
          </cell>
          <cell r="L243">
            <v>99999999</v>
          </cell>
          <cell r="M243">
            <v>70</v>
          </cell>
          <cell r="N243">
            <v>20</v>
          </cell>
          <cell r="O243">
            <v>6.5</v>
          </cell>
          <cell r="P243">
            <v>0</v>
          </cell>
        </row>
        <row r="244">
          <cell r="J244" t="str">
            <v>A-1Compra Vivienda VacacionalIndividualVacacionalNuevaCasaBG000000050000.00</v>
          </cell>
          <cell r="K244">
            <v>50000</v>
          </cell>
          <cell r="L244">
            <v>99999999</v>
          </cell>
          <cell r="M244">
            <v>70</v>
          </cell>
          <cell r="N244">
            <v>20</v>
          </cell>
          <cell r="O244">
            <v>6.5</v>
          </cell>
          <cell r="P244">
            <v>0</v>
          </cell>
        </row>
        <row r="245">
          <cell r="J245" t="str">
            <v>A-1Compra Vivienda VacacionalIndividualVacacionalNuevaCasaCOPA000000050000.00</v>
          </cell>
          <cell r="K245">
            <v>50000</v>
          </cell>
          <cell r="L245">
            <v>99999999</v>
          </cell>
          <cell r="M245">
            <v>70</v>
          </cell>
          <cell r="N245">
            <v>20</v>
          </cell>
          <cell r="O245">
            <v>6.5</v>
          </cell>
          <cell r="P245">
            <v>0</v>
          </cell>
        </row>
        <row r="246">
          <cell r="J246" t="str">
            <v>A-1Compra Vivienda VacacionalIndividualVacacionalNuevaCasaFERIA000000050000.00</v>
          </cell>
          <cell r="K246">
            <v>50000</v>
          </cell>
          <cell r="L246">
            <v>99999999</v>
          </cell>
          <cell r="M246">
            <v>70</v>
          </cell>
          <cell r="N246">
            <v>20</v>
          </cell>
          <cell r="O246">
            <v>6.5</v>
          </cell>
          <cell r="P246">
            <v>0</v>
          </cell>
        </row>
        <row r="247">
          <cell r="J247" t="str">
            <v>A-1Compra Vivienda VacacionalIndividualVacacionalUsadaApartamentoBG000000050000.00</v>
          </cell>
          <cell r="K247">
            <v>50000</v>
          </cell>
          <cell r="L247">
            <v>99999999</v>
          </cell>
          <cell r="M247">
            <v>70</v>
          </cell>
          <cell r="N247">
            <v>20</v>
          </cell>
          <cell r="O247">
            <v>6.5</v>
          </cell>
          <cell r="P247">
            <v>0</v>
          </cell>
        </row>
        <row r="248">
          <cell r="J248" t="str">
            <v>A-1Compra Vivienda VacacionalIndividualVacacionalUsadaApartamentoCOPA000000050000.00</v>
          </cell>
          <cell r="K248">
            <v>50000</v>
          </cell>
          <cell r="L248">
            <v>99999999</v>
          </cell>
          <cell r="M248">
            <v>70</v>
          </cell>
          <cell r="N248">
            <v>20</v>
          </cell>
          <cell r="O248">
            <v>6.5</v>
          </cell>
          <cell r="P248">
            <v>0</v>
          </cell>
        </row>
        <row r="249">
          <cell r="J249" t="str">
            <v>A-1Compra Vivienda VacacionalIndividualVacacionalUsadaApartamentoFERIA000000050000.00</v>
          </cell>
          <cell r="K249">
            <v>50000</v>
          </cell>
          <cell r="L249">
            <v>99999999</v>
          </cell>
          <cell r="M249">
            <v>70</v>
          </cell>
          <cell r="N249">
            <v>20</v>
          </cell>
          <cell r="O249">
            <v>6.5</v>
          </cell>
          <cell r="P249">
            <v>0</v>
          </cell>
        </row>
        <row r="250">
          <cell r="J250" t="str">
            <v>A-1Compra Vivienda VacacionalIndividualVacacionalUsadaCasaBG000000050000.00</v>
          </cell>
          <cell r="K250">
            <v>50000</v>
          </cell>
          <cell r="L250">
            <v>99999999</v>
          </cell>
          <cell r="M250">
            <v>70</v>
          </cell>
          <cell r="N250">
            <v>20</v>
          </cell>
          <cell r="O250">
            <v>6.5</v>
          </cell>
          <cell r="P250">
            <v>0</v>
          </cell>
        </row>
        <row r="251">
          <cell r="J251" t="str">
            <v>A-1Compra Vivienda VacacionalIndividualVacacionalUsadaCasaCOPA000000050000.00</v>
          </cell>
          <cell r="K251">
            <v>50000</v>
          </cell>
          <cell r="L251">
            <v>99999999</v>
          </cell>
          <cell r="M251">
            <v>70</v>
          </cell>
          <cell r="N251">
            <v>20</v>
          </cell>
          <cell r="O251">
            <v>6.5</v>
          </cell>
          <cell r="P251">
            <v>0</v>
          </cell>
        </row>
        <row r="252">
          <cell r="J252" t="str">
            <v>A-1Compra Vivienda VacacionalIndividualVacacionalUsadaCasaFERIA000000050000.00</v>
          </cell>
          <cell r="K252">
            <v>50000</v>
          </cell>
          <cell r="L252">
            <v>99999999</v>
          </cell>
          <cell r="M252">
            <v>70</v>
          </cell>
          <cell r="N252">
            <v>20</v>
          </cell>
          <cell r="O252">
            <v>6.5</v>
          </cell>
          <cell r="P252">
            <v>0</v>
          </cell>
        </row>
        <row r="253">
          <cell r="J253" t="str">
            <v>A-1ConstrucciónIndividualInterinoNuevaApartamentoBG000000100000.00</v>
          </cell>
          <cell r="K253">
            <v>100000</v>
          </cell>
          <cell r="L253">
            <v>99999999</v>
          </cell>
          <cell r="M253">
            <v>90</v>
          </cell>
          <cell r="N253">
            <v>30</v>
          </cell>
          <cell r="O253">
            <v>6</v>
          </cell>
          <cell r="P253">
            <v>0</v>
          </cell>
        </row>
        <row r="254">
          <cell r="J254" t="str">
            <v>A-1ConstrucciónIndividualInterinoNuevaApartamentoCOPA000000100000.00</v>
          </cell>
          <cell r="K254">
            <v>100000</v>
          </cell>
          <cell r="L254">
            <v>99999999</v>
          </cell>
          <cell r="M254">
            <v>90</v>
          </cell>
          <cell r="N254">
            <v>30</v>
          </cell>
          <cell r="O254">
            <v>6</v>
          </cell>
          <cell r="P254">
            <v>0</v>
          </cell>
        </row>
        <row r="255">
          <cell r="J255" t="str">
            <v>A-1ConstrucciónIndividualInterinoNuevaApartamentoFERIA000000100000.00</v>
          </cell>
          <cell r="K255">
            <v>100000</v>
          </cell>
          <cell r="L255">
            <v>99999999</v>
          </cell>
          <cell r="M255">
            <v>90</v>
          </cell>
          <cell r="N255">
            <v>30</v>
          </cell>
          <cell r="O255">
            <v>6</v>
          </cell>
          <cell r="P255">
            <v>0</v>
          </cell>
        </row>
        <row r="256">
          <cell r="J256" t="str">
            <v>A-1ConstrucciónIndividualInterinoNuevaCasaBG000000100000.00</v>
          </cell>
          <cell r="K256">
            <v>100000</v>
          </cell>
          <cell r="L256">
            <v>99999999</v>
          </cell>
          <cell r="M256">
            <v>90</v>
          </cell>
          <cell r="N256">
            <v>30</v>
          </cell>
          <cell r="O256">
            <v>6</v>
          </cell>
          <cell r="P256">
            <v>0</v>
          </cell>
        </row>
        <row r="257">
          <cell r="J257" t="str">
            <v>A-1ConstrucciónIndividualInterinoNuevaCasaCOPA000000100000.00</v>
          </cell>
          <cell r="K257">
            <v>100000</v>
          </cell>
          <cell r="L257">
            <v>99999999</v>
          </cell>
          <cell r="M257">
            <v>90</v>
          </cell>
          <cell r="N257">
            <v>30</v>
          </cell>
          <cell r="O257">
            <v>6</v>
          </cell>
          <cell r="P257">
            <v>0</v>
          </cell>
        </row>
        <row r="258">
          <cell r="J258" t="str">
            <v>A-1ConstrucciónIndividualInterinoNuevaCasaFERIA000000100000.00</v>
          </cell>
          <cell r="K258">
            <v>100000</v>
          </cell>
          <cell r="L258">
            <v>99999999</v>
          </cell>
          <cell r="M258">
            <v>90</v>
          </cell>
          <cell r="N258">
            <v>30</v>
          </cell>
          <cell r="O258">
            <v>6</v>
          </cell>
          <cell r="P258">
            <v>0</v>
          </cell>
        </row>
        <row r="259">
          <cell r="J259" t="str">
            <v>A-1ConstrucciónLey PreferencialInterinoNuevaApartamentoBG000000080000.01</v>
          </cell>
          <cell r="K259">
            <v>80000.009999999995</v>
          </cell>
          <cell r="L259">
            <v>120000</v>
          </cell>
          <cell r="M259">
            <v>90</v>
          </cell>
          <cell r="N259">
            <v>30</v>
          </cell>
          <cell r="O259">
            <v>6</v>
          </cell>
          <cell r="P259">
            <v>4.28</v>
          </cell>
        </row>
        <row r="260">
          <cell r="J260" t="str">
            <v>A-1ConstrucciónLey PreferencialInterinoNuevaApartamentoCOPA000000080000.01</v>
          </cell>
          <cell r="K260">
            <v>80000.009999999995</v>
          </cell>
          <cell r="L260">
            <v>120000</v>
          </cell>
          <cell r="M260">
            <v>90</v>
          </cell>
          <cell r="N260">
            <v>30</v>
          </cell>
          <cell r="O260">
            <v>6</v>
          </cell>
          <cell r="P260">
            <v>4.28</v>
          </cell>
        </row>
        <row r="261">
          <cell r="J261" t="str">
            <v>A-1ConstrucciónLey PreferencialInterinoNuevaApartamentoFERIA000000080000.01</v>
          </cell>
          <cell r="K261">
            <v>80000.009999999995</v>
          </cell>
          <cell r="L261">
            <v>120000</v>
          </cell>
          <cell r="M261">
            <v>90</v>
          </cell>
          <cell r="N261">
            <v>30</v>
          </cell>
          <cell r="O261">
            <v>6</v>
          </cell>
          <cell r="P261">
            <v>4.28</v>
          </cell>
        </row>
        <row r="262">
          <cell r="J262" t="str">
            <v>A-1ConstrucciónLey PreferencialInterinoNuevaCasaBG000000080000.01</v>
          </cell>
          <cell r="K262">
            <v>80000.009999999995</v>
          </cell>
          <cell r="L262">
            <v>120000</v>
          </cell>
          <cell r="M262">
            <v>90</v>
          </cell>
          <cell r="N262">
            <v>30</v>
          </cell>
          <cell r="O262">
            <v>6</v>
          </cell>
          <cell r="P262">
            <v>4.28</v>
          </cell>
        </row>
        <row r="263">
          <cell r="J263" t="str">
            <v>A-1ConstrucciónLey PreferencialInterinoNuevaCasaCOPA000000080000.01</v>
          </cell>
          <cell r="K263">
            <v>80000.009999999995</v>
          </cell>
          <cell r="L263">
            <v>120000</v>
          </cell>
          <cell r="M263">
            <v>90</v>
          </cell>
          <cell r="N263">
            <v>30</v>
          </cell>
          <cell r="O263">
            <v>6</v>
          </cell>
          <cell r="P263">
            <v>4.28</v>
          </cell>
        </row>
        <row r="264">
          <cell r="J264" t="str">
            <v>A-1ConstrucciónLey PreferencialInterinoNuevaCasaFERIA000000080000.01</v>
          </cell>
          <cell r="K264">
            <v>80000.009999999995</v>
          </cell>
          <cell r="L264">
            <v>120000</v>
          </cell>
          <cell r="M264">
            <v>90</v>
          </cell>
          <cell r="N264">
            <v>30</v>
          </cell>
          <cell r="O264">
            <v>6</v>
          </cell>
          <cell r="P264">
            <v>4.28</v>
          </cell>
        </row>
        <row r="265">
          <cell r="J265" t="str">
            <v>A-1Extensión de PlazoIndividualResidencialUsadaApartamentoBG000000005000.00</v>
          </cell>
          <cell r="K265">
            <v>5000</v>
          </cell>
          <cell r="L265">
            <v>50000000</v>
          </cell>
          <cell r="M265">
            <v>100</v>
          </cell>
          <cell r="N265">
            <v>30</v>
          </cell>
          <cell r="O265">
            <v>0</v>
          </cell>
          <cell r="P265">
            <v>0</v>
          </cell>
        </row>
        <row r="266">
          <cell r="J266" t="str">
            <v>A-1Extensión de PlazoIndividualResidencialUsadaApartamentoCOPA000000005000.00</v>
          </cell>
          <cell r="K266">
            <v>5000</v>
          </cell>
          <cell r="L266">
            <v>50000000</v>
          </cell>
          <cell r="M266">
            <v>100</v>
          </cell>
          <cell r="N266">
            <v>30</v>
          </cell>
          <cell r="O266">
            <v>0</v>
          </cell>
          <cell r="P266">
            <v>0</v>
          </cell>
        </row>
        <row r="267">
          <cell r="J267" t="str">
            <v>A-1Extensión de PlazoIndividualResidencialUsadaApartamentoFERIA000000005000.00</v>
          </cell>
          <cell r="K267">
            <v>5000</v>
          </cell>
          <cell r="L267">
            <v>50000000</v>
          </cell>
          <cell r="M267">
            <v>100</v>
          </cell>
          <cell r="N267">
            <v>30</v>
          </cell>
          <cell r="O267">
            <v>0</v>
          </cell>
          <cell r="P267">
            <v>0</v>
          </cell>
        </row>
        <row r="268">
          <cell r="J268" t="str">
            <v>A-1Extensión de PlazoIndividualResidencialUsadaCasaBG000000005000.00</v>
          </cell>
          <cell r="K268">
            <v>5000</v>
          </cell>
          <cell r="L268">
            <v>50000000</v>
          </cell>
          <cell r="M268">
            <v>100</v>
          </cell>
          <cell r="N268">
            <v>30</v>
          </cell>
          <cell r="O268">
            <v>0</v>
          </cell>
          <cell r="P268">
            <v>0</v>
          </cell>
        </row>
        <row r="269">
          <cell r="J269" t="str">
            <v>A-1Extensión de PlazoIndividualResidencialUsadaCasaCOPA000000005000.00</v>
          </cell>
          <cell r="K269">
            <v>5000</v>
          </cell>
          <cell r="L269">
            <v>50000000</v>
          </cell>
          <cell r="M269">
            <v>100</v>
          </cell>
          <cell r="N269">
            <v>30</v>
          </cell>
          <cell r="O269">
            <v>0</v>
          </cell>
          <cell r="P269">
            <v>0</v>
          </cell>
        </row>
        <row r="270">
          <cell r="J270" t="str">
            <v>A-1Extensión de PlazoIndividualResidencialUsadaCasaFERIA000000005000.00</v>
          </cell>
          <cell r="K270">
            <v>5000</v>
          </cell>
          <cell r="L270">
            <v>50000000</v>
          </cell>
          <cell r="M270">
            <v>100</v>
          </cell>
          <cell r="N270">
            <v>30</v>
          </cell>
          <cell r="O270">
            <v>0</v>
          </cell>
          <cell r="P270">
            <v>0</v>
          </cell>
        </row>
        <row r="271">
          <cell r="J271" t="str">
            <v>A-1Extensión de PlazoLey PreferencialResidencialUsadaApartamentoBG000000005000.00</v>
          </cell>
          <cell r="K271">
            <v>5000</v>
          </cell>
          <cell r="L271">
            <v>120000</v>
          </cell>
          <cell r="M271">
            <v>100</v>
          </cell>
          <cell r="N271">
            <v>30</v>
          </cell>
          <cell r="O271">
            <v>0</v>
          </cell>
          <cell r="P271">
            <v>4.28</v>
          </cell>
        </row>
        <row r="272">
          <cell r="J272" t="str">
            <v>A-1Extensión de PlazoLey PreferencialResidencialUsadaApartamentoCOPA000000005000.00</v>
          </cell>
          <cell r="K272">
            <v>5000</v>
          </cell>
          <cell r="L272">
            <v>120000</v>
          </cell>
          <cell r="M272">
            <v>100</v>
          </cell>
          <cell r="N272">
            <v>30</v>
          </cell>
          <cell r="O272">
            <v>0</v>
          </cell>
          <cell r="P272">
            <v>4.28</v>
          </cell>
        </row>
        <row r="273">
          <cell r="J273" t="str">
            <v>A-1Extensión de PlazoLey PreferencialResidencialUsadaApartamentoFERIA000000005000.00</v>
          </cell>
          <cell r="K273">
            <v>5000</v>
          </cell>
          <cell r="L273">
            <v>120000</v>
          </cell>
          <cell r="M273">
            <v>100</v>
          </cell>
          <cell r="N273">
            <v>30</v>
          </cell>
          <cell r="O273">
            <v>0</v>
          </cell>
          <cell r="P273">
            <v>4.28</v>
          </cell>
        </row>
        <row r="274">
          <cell r="J274" t="str">
            <v>A-1Extensión de PlazoLey PreferencialResidencialUsadaCasaBG000000005000.00</v>
          </cell>
          <cell r="K274">
            <v>5000</v>
          </cell>
          <cell r="L274">
            <v>120000</v>
          </cell>
          <cell r="M274">
            <v>100</v>
          </cell>
          <cell r="N274">
            <v>30</v>
          </cell>
          <cell r="O274">
            <v>0</v>
          </cell>
          <cell r="P274">
            <v>4.28</v>
          </cell>
        </row>
        <row r="275">
          <cell r="J275" t="str">
            <v>A-1Extensión de PlazoLey PreferencialResidencialUsadaCasaCOPA000000005000.00</v>
          </cell>
          <cell r="K275">
            <v>5000</v>
          </cell>
          <cell r="L275">
            <v>120000</v>
          </cell>
          <cell r="M275">
            <v>100</v>
          </cell>
          <cell r="N275">
            <v>30</v>
          </cell>
          <cell r="O275">
            <v>0</v>
          </cell>
          <cell r="P275">
            <v>4.28</v>
          </cell>
        </row>
        <row r="276">
          <cell r="J276" t="str">
            <v>A-1Extensión de PlazoLey PreferencialResidencialUsadaCasaFERIA000000005000.00</v>
          </cell>
          <cell r="K276">
            <v>5000</v>
          </cell>
          <cell r="L276">
            <v>120000</v>
          </cell>
          <cell r="M276">
            <v>100</v>
          </cell>
          <cell r="N276">
            <v>30</v>
          </cell>
          <cell r="O276">
            <v>0</v>
          </cell>
          <cell r="P276">
            <v>4.28</v>
          </cell>
        </row>
        <row r="277">
          <cell r="J277" t="str">
            <v>A-1Traspaso de Otro BancoIndividualResidencialUsadaApartamentoBG000000030000.00</v>
          </cell>
          <cell r="K277">
            <v>30000</v>
          </cell>
          <cell r="L277">
            <v>250000</v>
          </cell>
          <cell r="M277">
            <v>90</v>
          </cell>
          <cell r="N277">
            <v>30</v>
          </cell>
          <cell r="O277">
            <v>5.25</v>
          </cell>
          <cell r="P277">
            <v>0</v>
          </cell>
        </row>
        <row r="278">
          <cell r="J278" t="str">
            <v>A-1Traspaso de Otro BancoIndividualResidencialUsadaApartamentoBG000000250000.01</v>
          </cell>
          <cell r="K278">
            <v>250000.01</v>
          </cell>
          <cell r="L278">
            <v>500000</v>
          </cell>
          <cell r="M278">
            <v>80</v>
          </cell>
          <cell r="N278">
            <v>30</v>
          </cell>
          <cell r="O278">
            <v>5</v>
          </cell>
          <cell r="P278">
            <v>0</v>
          </cell>
        </row>
        <row r="279">
          <cell r="J279" t="str">
            <v>A-1Traspaso de Otro BancoIndividualResidencialUsadaApartamentoBG000000500000.01</v>
          </cell>
          <cell r="K279">
            <v>500000.01</v>
          </cell>
          <cell r="L279">
            <v>99999999</v>
          </cell>
          <cell r="M279">
            <v>70</v>
          </cell>
          <cell r="N279">
            <v>30</v>
          </cell>
          <cell r="O279">
            <v>5</v>
          </cell>
          <cell r="P279">
            <v>0</v>
          </cell>
        </row>
        <row r="280">
          <cell r="J280" t="str">
            <v>A-1Traspaso de Otro BancoIndividualResidencialUsadaApartamentoCOPA000000030000.00</v>
          </cell>
          <cell r="K280">
            <v>30000</v>
          </cell>
          <cell r="L280">
            <v>250000</v>
          </cell>
          <cell r="M280">
            <v>90</v>
          </cell>
          <cell r="N280">
            <v>30</v>
          </cell>
          <cell r="O280">
            <v>5.25</v>
          </cell>
          <cell r="P280">
            <v>0</v>
          </cell>
        </row>
        <row r="281">
          <cell r="J281" t="str">
            <v>A-1Traspaso de Otro BancoIndividualResidencialUsadaApartamentoCOPA000000250000.01</v>
          </cell>
          <cell r="K281">
            <v>250000.01</v>
          </cell>
          <cell r="L281">
            <v>500000</v>
          </cell>
          <cell r="M281">
            <v>80</v>
          </cell>
          <cell r="N281">
            <v>30</v>
          </cell>
          <cell r="O281">
            <v>5</v>
          </cell>
          <cell r="P281">
            <v>0</v>
          </cell>
        </row>
        <row r="282">
          <cell r="J282" t="str">
            <v>A-1Traspaso de Otro BancoIndividualResidencialUsadaApartamentoCOPA000000500000.01</v>
          </cell>
          <cell r="K282">
            <v>500000.01</v>
          </cell>
          <cell r="L282">
            <v>99999999</v>
          </cell>
          <cell r="M282">
            <v>70</v>
          </cell>
          <cell r="N282">
            <v>30</v>
          </cell>
          <cell r="O282">
            <v>5</v>
          </cell>
          <cell r="P282">
            <v>0</v>
          </cell>
        </row>
        <row r="283">
          <cell r="J283" t="str">
            <v>A-1Traspaso de Otro BancoIndividualResidencialUsadaApartamentoFERIA000000040000.00</v>
          </cell>
          <cell r="K283">
            <v>40000</v>
          </cell>
          <cell r="L283">
            <v>200000</v>
          </cell>
          <cell r="M283">
            <v>90</v>
          </cell>
          <cell r="N283">
            <v>30</v>
          </cell>
          <cell r="O283">
            <v>5.25</v>
          </cell>
          <cell r="P283">
            <v>0</v>
          </cell>
        </row>
        <row r="284">
          <cell r="J284" t="str">
            <v>A-1Traspaso de Otro BancoIndividualResidencialUsadaApartamentoFERIA000000200000.01</v>
          </cell>
          <cell r="K284">
            <v>200000.01</v>
          </cell>
          <cell r="L284">
            <v>99999999</v>
          </cell>
          <cell r="M284">
            <v>80</v>
          </cell>
          <cell r="N284">
            <v>30</v>
          </cell>
          <cell r="O284">
            <v>5</v>
          </cell>
          <cell r="P284">
            <v>0</v>
          </cell>
        </row>
        <row r="285">
          <cell r="J285" t="str">
            <v>A-1Traspaso de Otro BancoIndividualResidencialUsadaApartamentoFERIA000000500000.01</v>
          </cell>
          <cell r="K285">
            <v>500000.01</v>
          </cell>
          <cell r="L285">
            <v>99999999</v>
          </cell>
          <cell r="M285">
            <v>70</v>
          </cell>
          <cell r="N285">
            <v>30</v>
          </cell>
          <cell r="O285">
            <v>5</v>
          </cell>
          <cell r="P285">
            <v>0</v>
          </cell>
        </row>
        <row r="286">
          <cell r="J286" t="str">
            <v>A-1Traspaso de Otro BancoIndividualResidencialUsadaCasaBG000000030000.00</v>
          </cell>
          <cell r="K286">
            <v>30000</v>
          </cell>
          <cell r="L286">
            <v>250000</v>
          </cell>
          <cell r="M286">
            <v>90</v>
          </cell>
          <cell r="N286">
            <v>30</v>
          </cell>
          <cell r="O286">
            <v>5.25</v>
          </cell>
          <cell r="P286">
            <v>0</v>
          </cell>
        </row>
        <row r="287">
          <cell r="J287" t="str">
            <v>A-1Traspaso de Otro BancoIndividualResidencialUsadaCasaBG000000250000.01</v>
          </cell>
          <cell r="K287">
            <v>250000.01</v>
          </cell>
          <cell r="L287">
            <v>500000</v>
          </cell>
          <cell r="M287">
            <v>80</v>
          </cell>
          <cell r="N287">
            <v>30</v>
          </cell>
          <cell r="O287">
            <v>5</v>
          </cell>
          <cell r="P287">
            <v>0</v>
          </cell>
        </row>
        <row r="288">
          <cell r="J288" t="str">
            <v>A-1Traspaso de Otro BancoIndividualResidencialUsadaCasaBG000000500000.01</v>
          </cell>
          <cell r="K288">
            <v>500000.01</v>
          </cell>
          <cell r="L288">
            <v>99999999</v>
          </cell>
          <cell r="M288">
            <v>70</v>
          </cell>
          <cell r="N288">
            <v>30</v>
          </cell>
          <cell r="O288">
            <v>5</v>
          </cell>
          <cell r="P288">
            <v>0</v>
          </cell>
        </row>
        <row r="289">
          <cell r="J289" t="str">
            <v>A-1Traspaso de Otro BancoIndividualResidencialUsadaCasaCOPA000000030000.00</v>
          </cell>
          <cell r="K289">
            <v>30000</v>
          </cell>
          <cell r="L289">
            <v>250000</v>
          </cell>
          <cell r="M289">
            <v>90</v>
          </cell>
          <cell r="N289">
            <v>30</v>
          </cell>
          <cell r="O289">
            <v>5.25</v>
          </cell>
          <cell r="P289">
            <v>0</v>
          </cell>
        </row>
        <row r="290">
          <cell r="J290" t="str">
            <v>A-1Traspaso de Otro BancoIndividualResidencialUsadaCasaCOPA000000250000.01</v>
          </cell>
          <cell r="K290">
            <v>250000.01</v>
          </cell>
          <cell r="L290">
            <v>500000</v>
          </cell>
          <cell r="M290">
            <v>80</v>
          </cell>
          <cell r="N290">
            <v>30</v>
          </cell>
          <cell r="O290">
            <v>5</v>
          </cell>
          <cell r="P290">
            <v>0</v>
          </cell>
        </row>
        <row r="291">
          <cell r="J291" t="str">
            <v>A-1Traspaso de Otro BancoIndividualResidencialUsadaCasaCOPA000000500000.01</v>
          </cell>
          <cell r="K291">
            <v>500000.01</v>
          </cell>
          <cell r="L291">
            <v>99999999</v>
          </cell>
          <cell r="M291">
            <v>70</v>
          </cell>
          <cell r="N291">
            <v>30</v>
          </cell>
          <cell r="O291">
            <v>5</v>
          </cell>
          <cell r="P291">
            <v>0</v>
          </cell>
        </row>
        <row r="292">
          <cell r="J292" t="str">
            <v>A-1Traspaso de Otro BancoIndividualResidencialUsadaCasaFERIA000000040000.00</v>
          </cell>
          <cell r="K292">
            <v>40000</v>
          </cell>
          <cell r="L292">
            <v>200000</v>
          </cell>
          <cell r="M292">
            <v>90</v>
          </cell>
          <cell r="N292">
            <v>30</v>
          </cell>
          <cell r="O292">
            <v>5.25</v>
          </cell>
          <cell r="P292">
            <v>0</v>
          </cell>
        </row>
        <row r="293">
          <cell r="J293" t="str">
            <v>A-1Traspaso de Otro BancoIndividualResidencialUsadaCasaFERIA000000200000.01</v>
          </cell>
          <cell r="K293">
            <v>200000.01</v>
          </cell>
          <cell r="L293">
            <v>99999999</v>
          </cell>
          <cell r="M293">
            <v>80</v>
          </cell>
          <cell r="N293">
            <v>30</v>
          </cell>
          <cell r="O293">
            <v>5</v>
          </cell>
          <cell r="P293">
            <v>0</v>
          </cell>
        </row>
        <row r="294">
          <cell r="J294" t="str">
            <v>A-1Traspaso de Otro BancoIndividualResidencialUsadaCasaFERIA000000500000.01</v>
          </cell>
          <cell r="K294">
            <v>500000.01</v>
          </cell>
          <cell r="L294">
            <v>99999999</v>
          </cell>
          <cell r="M294">
            <v>70</v>
          </cell>
          <cell r="N294">
            <v>30</v>
          </cell>
          <cell r="O294">
            <v>5</v>
          </cell>
          <cell r="P294">
            <v>0</v>
          </cell>
        </row>
        <row r="295">
          <cell r="J295" t="str">
            <v>A-1Traspaso por compra de vivienda (Ley Preferencial en BG)Ley PreferencialResidencialUsadaApartamentoBG000000030000.00</v>
          </cell>
          <cell r="K295">
            <v>30000</v>
          </cell>
          <cell r="L295">
            <v>40000</v>
          </cell>
          <cell r="M295">
            <v>95</v>
          </cell>
          <cell r="N295">
            <v>30</v>
          </cell>
          <cell r="O295">
            <v>0</v>
          </cell>
          <cell r="P295">
            <v>8.56</v>
          </cell>
        </row>
        <row r="296">
          <cell r="J296" t="str">
            <v>A-1Traspaso por compra de vivienda (Ley Preferencial en BG)Ley PreferencialResidencialUsadaApartamentoBG000000040000.01</v>
          </cell>
          <cell r="K296">
            <v>40000.01</v>
          </cell>
          <cell r="L296">
            <v>80000</v>
          </cell>
          <cell r="M296">
            <v>95</v>
          </cell>
          <cell r="N296">
            <v>30</v>
          </cell>
          <cell r="O296">
            <v>1.5</v>
          </cell>
          <cell r="P296">
            <v>8.56</v>
          </cell>
        </row>
        <row r="297">
          <cell r="J297" t="str">
            <v>A-1Traspaso por compra de vivienda (Ley Preferencial en BG)Ley PreferencialResidencialUsadaApartamentoBG000000080000.01</v>
          </cell>
          <cell r="K297">
            <v>80000.009999999995</v>
          </cell>
          <cell r="L297">
            <v>120000</v>
          </cell>
          <cell r="M297">
            <v>95</v>
          </cell>
          <cell r="N297">
            <v>30</v>
          </cell>
          <cell r="O297">
            <v>1.5</v>
          </cell>
          <cell r="P297">
            <v>8.56</v>
          </cell>
        </row>
        <row r="298">
          <cell r="J298" t="str">
            <v>A-1Traspaso por compra de vivienda (Ley Preferencial en BG)Ley PreferencialResidencialUsadaApartamentoCOPA000000030000.00</v>
          </cell>
          <cell r="K298">
            <v>30000</v>
          </cell>
          <cell r="L298">
            <v>40000</v>
          </cell>
          <cell r="M298">
            <v>95</v>
          </cell>
          <cell r="N298">
            <v>30</v>
          </cell>
          <cell r="O298">
            <v>0</v>
          </cell>
          <cell r="P298">
            <v>4.28</v>
          </cell>
        </row>
        <row r="299">
          <cell r="J299" t="str">
            <v>A-1Traspaso por compra de vivienda (Ley Preferencial en BG)Ley PreferencialResidencialUsadaApartamentoCOPA000000040000.01</v>
          </cell>
          <cell r="K299">
            <v>40000.01</v>
          </cell>
          <cell r="L299">
            <v>80000</v>
          </cell>
          <cell r="M299">
            <v>95</v>
          </cell>
          <cell r="N299">
            <v>30</v>
          </cell>
          <cell r="O299">
            <v>1.5</v>
          </cell>
          <cell r="P299">
            <v>4.28</v>
          </cell>
        </row>
        <row r="300">
          <cell r="J300" t="str">
            <v>A-1Traspaso por compra de vivienda (Ley Preferencial en BG)Ley PreferencialResidencialUsadaApartamentoCOPA000000080000.01</v>
          </cell>
          <cell r="K300">
            <v>80000.009999999995</v>
          </cell>
          <cell r="L300">
            <v>120000</v>
          </cell>
          <cell r="M300">
            <v>95</v>
          </cell>
          <cell r="N300">
            <v>30</v>
          </cell>
          <cell r="O300">
            <v>1.5</v>
          </cell>
          <cell r="P300">
            <v>4.28</v>
          </cell>
        </row>
        <row r="301">
          <cell r="J301" t="str">
            <v>A-1Traspaso por compra de vivienda (Ley Preferencial en BG)Ley PreferencialResidencialUsadaApartamentoFERIA000000030000.00</v>
          </cell>
          <cell r="K301">
            <v>30000</v>
          </cell>
          <cell r="L301">
            <v>40000</v>
          </cell>
          <cell r="M301">
            <v>95</v>
          </cell>
          <cell r="N301">
            <v>30</v>
          </cell>
          <cell r="O301">
            <v>0</v>
          </cell>
          <cell r="P301">
            <v>4.28</v>
          </cell>
        </row>
        <row r="302">
          <cell r="J302" t="str">
            <v>A-1Traspaso por compra de vivienda (Ley Preferencial en BG)Ley PreferencialResidencialUsadaApartamentoFERIA000000040000.01</v>
          </cell>
          <cell r="K302">
            <v>40000.01</v>
          </cell>
          <cell r="L302">
            <v>80000</v>
          </cell>
          <cell r="M302">
            <v>95</v>
          </cell>
          <cell r="N302">
            <v>30</v>
          </cell>
          <cell r="O302">
            <v>1.5</v>
          </cell>
          <cell r="P302">
            <v>4.28</v>
          </cell>
        </row>
        <row r="303">
          <cell r="J303" t="str">
            <v>A-1Traspaso por compra de vivienda (Ley Preferencial en BG)Ley PreferencialResidencialUsadaApartamentoFERIA000000080000.01</v>
          </cell>
          <cell r="K303">
            <v>80000.009999999995</v>
          </cell>
          <cell r="L303">
            <v>120000</v>
          </cell>
          <cell r="M303">
            <v>95</v>
          </cell>
          <cell r="N303">
            <v>30</v>
          </cell>
          <cell r="O303">
            <v>1.5</v>
          </cell>
          <cell r="P303">
            <v>4.28</v>
          </cell>
        </row>
        <row r="304">
          <cell r="J304" t="str">
            <v>A-1Traspaso por compra de vivienda (Ley Preferencial en BG)Ley PreferencialResidencialUsadaCasaBG000000018000.00</v>
          </cell>
          <cell r="K304">
            <v>18000</v>
          </cell>
          <cell r="L304">
            <v>40000</v>
          </cell>
          <cell r="M304">
            <v>98</v>
          </cell>
          <cell r="N304">
            <v>30</v>
          </cell>
          <cell r="O304">
            <v>0</v>
          </cell>
          <cell r="P304">
            <v>8.56</v>
          </cell>
        </row>
        <row r="305">
          <cell r="J305" t="str">
            <v>A-1Traspaso por compra de vivienda (Ley Preferencial en BG)Ley PreferencialResidencialUsadaCasaBG000000030000.01</v>
          </cell>
          <cell r="K305">
            <v>30000.01</v>
          </cell>
          <cell r="L305">
            <v>80000</v>
          </cell>
          <cell r="M305">
            <v>98</v>
          </cell>
          <cell r="N305">
            <v>30</v>
          </cell>
          <cell r="O305">
            <v>1.5</v>
          </cell>
          <cell r="P305">
            <v>8.56</v>
          </cell>
        </row>
        <row r="306">
          <cell r="J306" t="str">
            <v>A-1Traspaso por compra de vivienda (Ley Preferencial en BG)Ley PreferencialResidencialUsadaCasaBG000000080000.01</v>
          </cell>
          <cell r="K306">
            <v>80000.009999999995</v>
          </cell>
          <cell r="L306">
            <v>120000</v>
          </cell>
          <cell r="M306">
            <v>98</v>
          </cell>
          <cell r="N306">
            <v>30</v>
          </cell>
          <cell r="O306">
            <v>1.5</v>
          </cell>
          <cell r="P306">
            <v>8.56</v>
          </cell>
        </row>
        <row r="307">
          <cell r="J307" t="str">
            <v>A-1Traspaso por compra de vivienda (Ley Preferencial en BG)Ley PreferencialResidencialUsadaCasaCOPA000000018000.00</v>
          </cell>
          <cell r="K307">
            <v>18000</v>
          </cell>
          <cell r="L307">
            <v>40000</v>
          </cell>
          <cell r="M307">
            <v>98</v>
          </cell>
          <cell r="N307">
            <v>30</v>
          </cell>
          <cell r="O307">
            <v>0</v>
          </cell>
          <cell r="P307">
            <v>4.28</v>
          </cell>
        </row>
        <row r="308">
          <cell r="J308" t="str">
            <v>A-1Traspaso por compra de vivienda (Ley Preferencial en BG)Ley PreferencialResidencialUsadaCasaCOPA000000030000.01</v>
          </cell>
          <cell r="K308">
            <v>30000.01</v>
          </cell>
          <cell r="L308">
            <v>80000</v>
          </cell>
          <cell r="M308">
            <v>98</v>
          </cell>
          <cell r="N308">
            <v>30</v>
          </cell>
          <cell r="O308">
            <v>1.5</v>
          </cell>
          <cell r="P308">
            <v>4.28</v>
          </cell>
        </row>
        <row r="309">
          <cell r="J309" t="str">
            <v>A-1Traspaso por compra de vivienda (Ley Preferencial en BG)Ley PreferencialResidencialUsadaCasaCOPA000000080000.01</v>
          </cell>
          <cell r="K309">
            <v>80000.009999999995</v>
          </cell>
          <cell r="L309">
            <v>120000</v>
          </cell>
          <cell r="M309">
            <v>98</v>
          </cell>
          <cell r="N309">
            <v>30</v>
          </cell>
          <cell r="O309">
            <v>1.5</v>
          </cell>
          <cell r="P309">
            <v>4.28</v>
          </cell>
        </row>
        <row r="310">
          <cell r="J310" t="str">
            <v>A-1Traspaso por compra de vivienda (Ley Preferencial en BG)Ley PreferencialResidencialUsadaCasaFERIA000000018000.00</v>
          </cell>
          <cell r="K310">
            <v>18000</v>
          </cell>
          <cell r="L310">
            <v>40000</v>
          </cell>
          <cell r="M310">
            <v>98</v>
          </cell>
          <cell r="N310">
            <v>30</v>
          </cell>
          <cell r="O310">
            <v>0</v>
          </cell>
          <cell r="P310">
            <v>4.28</v>
          </cell>
        </row>
        <row r="311">
          <cell r="J311" t="str">
            <v>A-1Traspaso por compra de vivienda (Ley Preferencial en BG)Ley PreferencialResidencialUsadaCasaFERIA000000030000.01</v>
          </cell>
          <cell r="K311">
            <v>30000.01</v>
          </cell>
          <cell r="L311">
            <v>80000</v>
          </cell>
          <cell r="M311">
            <v>98</v>
          </cell>
          <cell r="N311">
            <v>30</v>
          </cell>
          <cell r="O311">
            <v>1.5</v>
          </cell>
          <cell r="P311">
            <v>4.28</v>
          </cell>
        </row>
        <row r="312">
          <cell r="J312" t="str">
            <v>A-1Traspaso por compra de vivienda (Ley Preferencial en BG)Ley PreferencialResidencialUsadaCasaFERIA000000080000.01</v>
          </cell>
          <cell r="K312">
            <v>80000.009999999995</v>
          </cell>
          <cell r="L312">
            <v>120000</v>
          </cell>
          <cell r="M312">
            <v>98</v>
          </cell>
          <cell r="N312">
            <v>30</v>
          </cell>
          <cell r="O312">
            <v>1.5</v>
          </cell>
          <cell r="P312">
            <v>4.28</v>
          </cell>
        </row>
        <row r="313">
          <cell r="J313" t="str">
            <v>ACambio de DeudorIndividualResidencialUsadaApartamentoBG000000005000.00</v>
          </cell>
          <cell r="K313">
            <v>5000</v>
          </cell>
          <cell r="L313">
            <v>50000000</v>
          </cell>
          <cell r="M313">
            <v>100</v>
          </cell>
          <cell r="N313">
            <v>30</v>
          </cell>
          <cell r="O313">
            <v>0</v>
          </cell>
          <cell r="P313">
            <v>0</v>
          </cell>
        </row>
        <row r="314">
          <cell r="J314" t="str">
            <v>ACambio de DeudorIndividualResidencialUsadaApartamentoCOPA000000005000.00</v>
          </cell>
          <cell r="K314">
            <v>5000</v>
          </cell>
          <cell r="L314">
            <v>50000000</v>
          </cell>
          <cell r="M314">
            <v>100</v>
          </cell>
          <cell r="N314">
            <v>30</v>
          </cell>
          <cell r="O314">
            <v>0</v>
          </cell>
          <cell r="P314">
            <v>0</v>
          </cell>
        </row>
        <row r="315">
          <cell r="J315" t="str">
            <v>ACambio de DeudorIndividualResidencialUsadaApartamentoFERIA000000005000.00</v>
          </cell>
          <cell r="K315">
            <v>5000</v>
          </cell>
          <cell r="L315">
            <v>50000000</v>
          </cell>
          <cell r="M315">
            <v>100</v>
          </cell>
          <cell r="N315">
            <v>30</v>
          </cell>
          <cell r="O315">
            <v>0</v>
          </cell>
          <cell r="P315">
            <v>0</v>
          </cell>
        </row>
        <row r="316">
          <cell r="J316" t="str">
            <v>ACambio de DeudorIndividualResidencialUsadaCasaBG000000005000.00</v>
          </cell>
          <cell r="K316">
            <v>5000</v>
          </cell>
          <cell r="L316">
            <v>50000000</v>
          </cell>
          <cell r="M316">
            <v>100</v>
          </cell>
          <cell r="N316">
            <v>30</v>
          </cell>
          <cell r="O316">
            <v>0</v>
          </cell>
          <cell r="P316">
            <v>0</v>
          </cell>
        </row>
        <row r="317">
          <cell r="J317" t="str">
            <v>ACambio de DeudorIndividualResidencialUsadaCasaCOPA000000005000.00</v>
          </cell>
          <cell r="K317">
            <v>5000</v>
          </cell>
          <cell r="L317">
            <v>50000000</v>
          </cell>
          <cell r="M317">
            <v>100</v>
          </cell>
          <cell r="N317">
            <v>30</v>
          </cell>
          <cell r="O317">
            <v>0</v>
          </cell>
          <cell r="P317">
            <v>0</v>
          </cell>
        </row>
        <row r="318">
          <cell r="J318" t="str">
            <v>ACambio de DeudorIndividualResidencialUsadaCasaFERIA000000005000.00</v>
          </cell>
          <cell r="K318">
            <v>5000</v>
          </cell>
          <cell r="L318">
            <v>50000000</v>
          </cell>
          <cell r="M318">
            <v>100</v>
          </cell>
          <cell r="N318">
            <v>30</v>
          </cell>
          <cell r="O318">
            <v>0</v>
          </cell>
          <cell r="P318">
            <v>0</v>
          </cell>
        </row>
        <row r="319">
          <cell r="J319" t="str">
            <v>ACambio de DeudorLey PreferencialResidencialUsadaApartamentoBG000000005000.00</v>
          </cell>
          <cell r="K319">
            <v>5000</v>
          </cell>
          <cell r="L319">
            <v>120000</v>
          </cell>
          <cell r="M319">
            <v>100</v>
          </cell>
          <cell r="N319">
            <v>30</v>
          </cell>
          <cell r="O319">
            <v>0</v>
          </cell>
          <cell r="P319">
            <v>4.28</v>
          </cell>
        </row>
        <row r="320">
          <cell r="J320" t="str">
            <v>ACambio de DeudorLey PreferencialResidencialUsadaApartamentoCOPA000000005000.00</v>
          </cell>
          <cell r="K320">
            <v>5000</v>
          </cell>
          <cell r="L320">
            <v>120000</v>
          </cell>
          <cell r="M320">
            <v>100</v>
          </cell>
          <cell r="N320">
            <v>30</v>
          </cell>
          <cell r="O320">
            <v>0</v>
          </cell>
          <cell r="P320">
            <v>8.56</v>
          </cell>
        </row>
        <row r="321">
          <cell r="J321" t="str">
            <v>ACambio de DeudorLey PreferencialResidencialUsadaApartamentoFERIA000000005000.00</v>
          </cell>
          <cell r="K321">
            <v>5000</v>
          </cell>
          <cell r="L321">
            <v>120000</v>
          </cell>
          <cell r="M321">
            <v>100</v>
          </cell>
          <cell r="N321">
            <v>30</v>
          </cell>
          <cell r="O321">
            <v>0</v>
          </cell>
          <cell r="P321">
            <v>4.28</v>
          </cell>
        </row>
        <row r="322">
          <cell r="J322" t="str">
            <v>ACambio de DeudorLey PreferencialResidencialUsadaCasaBG000000005000.00</v>
          </cell>
          <cell r="K322">
            <v>5000</v>
          </cell>
          <cell r="L322">
            <v>120000</v>
          </cell>
          <cell r="M322">
            <v>100</v>
          </cell>
          <cell r="N322">
            <v>30</v>
          </cell>
          <cell r="O322">
            <v>0</v>
          </cell>
          <cell r="P322">
            <v>4.28</v>
          </cell>
        </row>
        <row r="323">
          <cell r="J323" t="str">
            <v>ACambio de DeudorLey PreferencialResidencialUsadaCasaCOPA000000005000.00</v>
          </cell>
          <cell r="K323">
            <v>5000</v>
          </cell>
          <cell r="L323">
            <v>120000</v>
          </cell>
          <cell r="M323">
            <v>100</v>
          </cell>
          <cell r="N323">
            <v>30</v>
          </cell>
          <cell r="O323">
            <v>0</v>
          </cell>
          <cell r="P323">
            <v>8.56</v>
          </cell>
        </row>
        <row r="324">
          <cell r="J324" t="str">
            <v>ACambio de DeudorLey PreferencialResidencialUsadaCasaFERIA000000005000.00</v>
          </cell>
          <cell r="K324">
            <v>5000</v>
          </cell>
          <cell r="L324">
            <v>120000</v>
          </cell>
          <cell r="M324">
            <v>100</v>
          </cell>
          <cell r="N324">
            <v>30</v>
          </cell>
          <cell r="O324">
            <v>0</v>
          </cell>
          <cell r="P324">
            <v>4.28</v>
          </cell>
        </row>
        <row r="325">
          <cell r="J325" t="str">
            <v>ACambio de Dueño y DeudorIndividualResidencialUsadaApartamentoBG000000005000.00</v>
          </cell>
          <cell r="K325">
            <v>5000</v>
          </cell>
          <cell r="L325">
            <v>50000000</v>
          </cell>
          <cell r="M325">
            <v>100</v>
          </cell>
          <cell r="N325">
            <v>30</v>
          </cell>
          <cell r="O325">
            <v>0</v>
          </cell>
          <cell r="P325">
            <v>0</v>
          </cell>
        </row>
        <row r="326">
          <cell r="J326" t="str">
            <v>ACambio de Dueño y DeudorIndividualResidencialUsadaApartamentoCOPA000000005000.00</v>
          </cell>
          <cell r="K326">
            <v>5000</v>
          </cell>
          <cell r="L326">
            <v>50000000</v>
          </cell>
          <cell r="M326">
            <v>100</v>
          </cell>
          <cell r="N326">
            <v>30</v>
          </cell>
          <cell r="O326">
            <v>0</v>
          </cell>
          <cell r="P326">
            <v>0</v>
          </cell>
        </row>
        <row r="327">
          <cell r="J327" t="str">
            <v>ACambio de Dueño y DeudorIndividualResidencialUsadaApartamentoFERIA000000005000.00</v>
          </cell>
          <cell r="K327">
            <v>5000</v>
          </cell>
          <cell r="L327">
            <v>50000000</v>
          </cell>
          <cell r="M327">
            <v>100</v>
          </cell>
          <cell r="N327">
            <v>30</v>
          </cell>
          <cell r="O327">
            <v>0</v>
          </cell>
          <cell r="P327">
            <v>0</v>
          </cell>
        </row>
        <row r="328">
          <cell r="J328" t="str">
            <v>ACambio de Dueño y DeudorIndividualResidencialUsadaCasaBG000000005000.00</v>
          </cell>
          <cell r="K328">
            <v>5000</v>
          </cell>
          <cell r="L328">
            <v>50000000</v>
          </cell>
          <cell r="M328">
            <v>100</v>
          </cell>
          <cell r="N328">
            <v>30</v>
          </cell>
          <cell r="O328">
            <v>0</v>
          </cell>
          <cell r="P328">
            <v>0</v>
          </cell>
        </row>
        <row r="329">
          <cell r="J329" t="str">
            <v>ACambio de Dueño y DeudorIndividualResidencialUsadaCasaCOPA000000005000.00</v>
          </cell>
          <cell r="K329">
            <v>5000</v>
          </cell>
          <cell r="L329">
            <v>50000000</v>
          </cell>
          <cell r="M329">
            <v>100</v>
          </cell>
          <cell r="N329">
            <v>30</v>
          </cell>
          <cell r="O329">
            <v>0</v>
          </cell>
          <cell r="P329">
            <v>0</v>
          </cell>
        </row>
        <row r="330">
          <cell r="J330" t="str">
            <v>ACambio de Dueño y DeudorIndividualResidencialUsadaCasaFERIA000000005000.00</v>
          </cell>
          <cell r="K330">
            <v>5000</v>
          </cell>
          <cell r="L330">
            <v>50000000</v>
          </cell>
          <cell r="M330">
            <v>100</v>
          </cell>
          <cell r="N330">
            <v>30</v>
          </cell>
          <cell r="O330">
            <v>0</v>
          </cell>
          <cell r="P330">
            <v>0</v>
          </cell>
        </row>
        <row r="331">
          <cell r="J331" t="str">
            <v>ACambio de Dueño y DeudorLey PreferencialResidencialUsadaApartamentoBG000000005000.00</v>
          </cell>
          <cell r="K331">
            <v>5000</v>
          </cell>
          <cell r="L331">
            <v>120000</v>
          </cell>
          <cell r="M331">
            <v>100</v>
          </cell>
          <cell r="N331">
            <v>30</v>
          </cell>
          <cell r="O331">
            <v>0</v>
          </cell>
          <cell r="P331">
            <v>4.28</v>
          </cell>
        </row>
        <row r="332">
          <cell r="J332" t="str">
            <v>ACambio de Dueño y DeudorLey PreferencialResidencialUsadaApartamentoCOPA000000005000.00</v>
          </cell>
          <cell r="K332">
            <v>5000</v>
          </cell>
          <cell r="L332">
            <v>120000</v>
          </cell>
          <cell r="M332">
            <v>100</v>
          </cell>
          <cell r="N332">
            <v>30</v>
          </cell>
          <cell r="O332">
            <v>0</v>
          </cell>
          <cell r="P332">
            <v>8.56</v>
          </cell>
        </row>
        <row r="333">
          <cell r="J333" t="str">
            <v>ACambio de Dueño y DeudorLey PreferencialResidencialUsadaApartamentoFERIA000000005000.00</v>
          </cell>
          <cell r="K333">
            <v>5000</v>
          </cell>
          <cell r="L333">
            <v>120000</v>
          </cell>
          <cell r="M333">
            <v>100</v>
          </cell>
          <cell r="N333">
            <v>30</v>
          </cell>
          <cell r="O333">
            <v>0</v>
          </cell>
          <cell r="P333">
            <v>4.28</v>
          </cell>
        </row>
        <row r="334">
          <cell r="J334" t="str">
            <v>ACambio de Dueño y DeudorLey PreferencialResidencialUsadaCasaBG000000005000.00</v>
          </cell>
          <cell r="K334">
            <v>5000</v>
          </cell>
          <cell r="L334">
            <v>120000</v>
          </cell>
          <cell r="M334">
            <v>100</v>
          </cell>
          <cell r="N334">
            <v>30</v>
          </cell>
          <cell r="O334">
            <v>0</v>
          </cell>
          <cell r="P334">
            <v>4.28</v>
          </cell>
        </row>
        <row r="335">
          <cell r="J335" t="str">
            <v>ACambio de Dueño y DeudorLey PreferencialResidencialUsadaCasaCOPA000000005000.00</v>
          </cell>
          <cell r="K335">
            <v>5000</v>
          </cell>
          <cell r="L335">
            <v>120000</v>
          </cell>
          <cell r="M335">
            <v>100</v>
          </cell>
          <cell r="N335">
            <v>30</v>
          </cell>
          <cell r="O335">
            <v>0</v>
          </cell>
          <cell r="P335">
            <v>8.56</v>
          </cell>
        </row>
        <row r="336">
          <cell r="J336" t="str">
            <v>ACambio de Dueño y DeudorLey PreferencialResidencialUsadaCasaFERIA000000005000.00</v>
          </cell>
          <cell r="K336">
            <v>5000</v>
          </cell>
          <cell r="L336">
            <v>120000</v>
          </cell>
          <cell r="M336">
            <v>100</v>
          </cell>
          <cell r="N336">
            <v>30</v>
          </cell>
          <cell r="O336">
            <v>0</v>
          </cell>
          <cell r="P336">
            <v>4.28</v>
          </cell>
        </row>
        <row r="337">
          <cell r="J337" t="str">
            <v>ACambio de DueñoIndividualResidencialUsadaApartamentoBG000000005000.00</v>
          </cell>
          <cell r="K337">
            <v>5000</v>
          </cell>
          <cell r="L337">
            <v>50000000</v>
          </cell>
          <cell r="M337">
            <v>100</v>
          </cell>
          <cell r="N337">
            <v>30</v>
          </cell>
          <cell r="O337">
            <v>0</v>
          </cell>
          <cell r="P337">
            <v>0</v>
          </cell>
        </row>
        <row r="338">
          <cell r="J338" t="str">
            <v>ACambio de DueñoIndividualResidencialUsadaApartamentoCOPA000000005000.00</v>
          </cell>
          <cell r="K338">
            <v>5000</v>
          </cell>
          <cell r="L338">
            <v>50000000</v>
          </cell>
          <cell r="M338">
            <v>100</v>
          </cell>
          <cell r="N338">
            <v>30</v>
          </cell>
          <cell r="O338">
            <v>0</v>
          </cell>
          <cell r="P338">
            <v>0</v>
          </cell>
        </row>
        <row r="339">
          <cell r="J339" t="str">
            <v>ACambio de DueñoIndividualResidencialUsadaApartamentoFERIA000000005000.00</v>
          </cell>
          <cell r="K339">
            <v>5000</v>
          </cell>
          <cell r="L339">
            <v>50000000</v>
          </cell>
          <cell r="M339">
            <v>100</v>
          </cell>
          <cell r="N339">
            <v>30</v>
          </cell>
          <cell r="O339">
            <v>0</v>
          </cell>
          <cell r="P339">
            <v>0</v>
          </cell>
        </row>
        <row r="340">
          <cell r="J340" t="str">
            <v>ACambio de DueñoIndividualResidencialUsadaCasaBG000000005000.00</v>
          </cell>
          <cell r="K340">
            <v>5000</v>
          </cell>
          <cell r="L340">
            <v>50000000</v>
          </cell>
          <cell r="M340">
            <v>100</v>
          </cell>
          <cell r="N340">
            <v>30</v>
          </cell>
          <cell r="O340">
            <v>0</v>
          </cell>
          <cell r="P340">
            <v>0</v>
          </cell>
        </row>
        <row r="341">
          <cell r="J341" t="str">
            <v>ACambio de DueñoIndividualResidencialUsadaCasaCOPA000000005000.00</v>
          </cell>
          <cell r="K341">
            <v>5000</v>
          </cell>
          <cell r="L341">
            <v>50000000</v>
          </cell>
          <cell r="M341">
            <v>100</v>
          </cell>
          <cell r="N341">
            <v>30</v>
          </cell>
          <cell r="O341">
            <v>0</v>
          </cell>
          <cell r="P341">
            <v>0</v>
          </cell>
        </row>
        <row r="342">
          <cell r="J342" t="str">
            <v>ACambio de DueñoIndividualResidencialUsadaCasaFERIA000000005000.00</v>
          </cell>
          <cell r="K342">
            <v>5000</v>
          </cell>
          <cell r="L342">
            <v>50000000</v>
          </cell>
          <cell r="M342">
            <v>100</v>
          </cell>
          <cell r="N342">
            <v>30</v>
          </cell>
          <cell r="O342">
            <v>0</v>
          </cell>
          <cell r="P342">
            <v>0</v>
          </cell>
        </row>
        <row r="343">
          <cell r="J343" t="str">
            <v>ACambio de DueñoLey PreferencialResidencialUsadaApartamentoBG000000005000.00</v>
          </cell>
          <cell r="K343">
            <v>5000</v>
          </cell>
          <cell r="L343">
            <v>120000</v>
          </cell>
          <cell r="M343">
            <v>100</v>
          </cell>
          <cell r="N343">
            <v>30</v>
          </cell>
          <cell r="O343">
            <v>0</v>
          </cell>
          <cell r="P343">
            <v>4.28</v>
          </cell>
        </row>
        <row r="344">
          <cell r="J344" t="str">
            <v>ACambio de DueñoLey PreferencialResidencialUsadaApartamentoCOPA000000005000.00</v>
          </cell>
          <cell r="K344">
            <v>5000</v>
          </cell>
          <cell r="L344">
            <v>120000</v>
          </cell>
          <cell r="M344">
            <v>100</v>
          </cell>
          <cell r="N344">
            <v>30</v>
          </cell>
          <cell r="O344">
            <v>0</v>
          </cell>
          <cell r="P344">
            <v>8.56</v>
          </cell>
        </row>
        <row r="345">
          <cell r="J345" t="str">
            <v>ACambio de DueñoLey PreferencialResidencialUsadaApartamentoFERIA000000005000.00</v>
          </cell>
          <cell r="K345">
            <v>5000</v>
          </cell>
          <cell r="L345">
            <v>120000</v>
          </cell>
          <cell r="M345">
            <v>100</v>
          </cell>
          <cell r="N345">
            <v>30</v>
          </cell>
          <cell r="O345">
            <v>0</v>
          </cell>
          <cell r="P345">
            <v>4.28</v>
          </cell>
        </row>
        <row r="346">
          <cell r="J346" t="str">
            <v>ACambio de DueñoLey PreferencialResidencialUsadaCasaBG000000005000.00</v>
          </cell>
          <cell r="K346">
            <v>5000</v>
          </cell>
          <cell r="L346">
            <v>120000</v>
          </cell>
          <cell r="M346">
            <v>100</v>
          </cell>
          <cell r="N346">
            <v>30</v>
          </cell>
          <cell r="O346">
            <v>0</v>
          </cell>
          <cell r="P346">
            <v>4.28</v>
          </cell>
        </row>
        <row r="347">
          <cell r="J347" t="str">
            <v>ACambio de DueñoLey PreferencialResidencialUsadaCasaCOPA000000005000.00</v>
          </cell>
          <cell r="K347">
            <v>5000</v>
          </cell>
          <cell r="L347">
            <v>120000</v>
          </cell>
          <cell r="M347">
            <v>100</v>
          </cell>
          <cell r="N347">
            <v>30</v>
          </cell>
          <cell r="O347">
            <v>0</v>
          </cell>
          <cell r="P347">
            <v>8.56</v>
          </cell>
        </row>
        <row r="348">
          <cell r="J348" t="str">
            <v>ACambio de DueñoLey PreferencialResidencialUsadaCasaFERIA000000005000.00</v>
          </cell>
          <cell r="K348">
            <v>5000</v>
          </cell>
          <cell r="L348">
            <v>120000</v>
          </cell>
          <cell r="M348">
            <v>100</v>
          </cell>
          <cell r="N348">
            <v>30</v>
          </cell>
          <cell r="O348">
            <v>0</v>
          </cell>
          <cell r="P348">
            <v>4.28</v>
          </cell>
        </row>
        <row r="349">
          <cell r="J349" t="str">
            <v>ACambio de Fiador SolidarioIndividualResidencialUsadaApartamentoBG000000005000.00</v>
          </cell>
          <cell r="K349">
            <v>5000</v>
          </cell>
          <cell r="L349">
            <v>50000000</v>
          </cell>
          <cell r="M349">
            <v>100</v>
          </cell>
          <cell r="N349">
            <v>30</v>
          </cell>
          <cell r="O349">
            <v>0</v>
          </cell>
          <cell r="P349">
            <v>0</v>
          </cell>
        </row>
        <row r="350">
          <cell r="J350" t="str">
            <v>ACambio de Fiador SolidarioIndividualResidencialUsadaApartamentoCOPA000000005000.00</v>
          </cell>
          <cell r="K350">
            <v>5000</v>
          </cell>
          <cell r="L350">
            <v>50000000</v>
          </cell>
          <cell r="M350">
            <v>100</v>
          </cell>
          <cell r="N350">
            <v>30</v>
          </cell>
          <cell r="O350">
            <v>0</v>
          </cell>
          <cell r="P350">
            <v>0</v>
          </cell>
        </row>
        <row r="351">
          <cell r="J351" t="str">
            <v>ACambio de Fiador SolidarioIndividualResidencialUsadaApartamentoFERIA000000005000.00</v>
          </cell>
          <cell r="K351">
            <v>5000</v>
          </cell>
          <cell r="L351">
            <v>50000000</v>
          </cell>
          <cell r="M351">
            <v>100</v>
          </cell>
          <cell r="N351">
            <v>30</v>
          </cell>
          <cell r="O351">
            <v>0</v>
          </cell>
          <cell r="P351">
            <v>0</v>
          </cell>
        </row>
        <row r="352">
          <cell r="J352" t="str">
            <v>ACambio de Fiador SolidarioIndividualResidencialUsadaCasaBG000000005000.00</v>
          </cell>
          <cell r="K352">
            <v>5000</v>
          </cell>
          <cell r="L352">
            <v>50000000</v>
          </cell>
          <cell r="M352">
            <v>100</v>
          </cell>
          <cell r="N352">
            <v>30</v>
          </cell>
          <cell r="O352">
            <v>0</v>
          </cell>
          <cell r="P352">
            <v>0</v>
          </cell>
        </row>
        <row r="353">
          <cell r="J353" t="str">
            <v>ACambio de Fiador SolidarioIndividualResidencialUsadaCasaCOPA000000005000.00</v>
          </cell>
          <cell r="K353">
            <v>5000</v>
          </cell>
          <cell r="L353">
            <v>50000000</v>
          </cell>
          <cell r="M353">
            <v>100</v>
          </cell>
          <cell r="N353">
            <v>30</v>
          </cell>
          <cell r="O353">
            <v>0</v>
          </cell>
          <cell r="P353">
            <v>0</v>
          </cell>
        </row>
        <row r="354">
          <cell r="J354" t="str">
            <v>ACambio de Fiador SolidarioIndividualResidencialUsadaCasaFERIA000000005000.00</v>
          </cell>
          <cell r="K354">
            <v>5000</v>
          </cell>
          <cell r="L354">
            <v>50000000</v>
          </cell>
          <cell r="M354">
            <v>100</v>
          </cell>
          <cell r="N354">
            <v>30</v>
          </cell>
          <cell r="O354">
            <v>0</v>
          </cell>
          <cell r="P354">
            <v>0</v>
          </cell>
        </row>
        <row r="355">
          <cell r="J355" t="str">
            <v>ACambio de Fiador SolidarioLey PreferencialResidencialUsadaApartamentoBG000000005000.00</v>
          </cell>
          <cell r="K355">
            <v>5000</v>
          </cell>
          <cell r="L355">
            <v>120000</v>
          </cell>
          <cell r="M355">
            <v>100</v>
          </cell>
          <cell r="N355">
            <v>30</v>
          </cell>
          <cell r="O355">
            <v>0</v>
          </cell>
          <cell r="P355">
            <v>4.28</v>
          </cell>
        </row>
        <row r="356">
          <cell r="J356" t="str">
            <v>ACambio de Fiador SolidarioLey PreferencialResidencialUsadaApartamentoCOPA000000005000.00</v>
          </cell>
          <cell r="K356">
            <v>5000</v>
          </cell>
          <cell r="L356">
            <v>120000</v>
          </cell>
          <cell r="M356">
            <v>100</v>
          </cell>
          <cell r="N356">
            <v>30</v>
          </cell>
          <cell r="O356">
            <v>0</v>
          </cell>
          <cell r="P356">
            <v>8.56</v>
          </cell>
        </row>
        <row r="357">
          <cell r="J357" t="str">
            <v>ACambio de Fiador SolidarioLey PreferencialResidencialUsadaApartamentoFERIA000000005000.00</v>
          </cell>
          <cell r="K357">
            <v>5000</v>
          </cell>
          <cell r="L357">
            <v>120000</v>
          </cell>
          <cell r="M357">
            <v>100</v>
          </cell>
          <cell r="N357">
            <v>30</v>
          </cell>
          <cell r="O357">
            <v>0</v>
          </cell>
          <cell r="P357">
            <v>4.28</v>
          </cell>
        </row>
        <row r="358">
          <cell r="J358" t="str">
            <v>ACambio de Fiador SolidarioLey PreferencialResidencialUsadaCasaBG000000005000.00</v>
          </cell>
          <cell r="K358">
            <v>5000</v>
          </cell>
          <cell r="L358">
            <v>120000</v>
          </cell>
          <cell r="M358">
            <v>100</v>
          </cell>
          <cell r="N358">
            <v>30</v>
          </cell>
          <cell r="O358">
            <v>0</v>
          </cell>
          <cell r="P358">
            <v>4.28</v>
          </cell>
        </row>
        <row r="359">
          <cell r="J359" t="str">
            <v>ACambio de Fiador SolidarioLey PreferencialResidencialUsadaCasaCOPA000000005000.00</v>
          </cell>
          <cell r="K359">
            <v>5000</v>
          </cell>
          <cell r="L359">
            <v>120000</v>
          </cell>
          <cell r="M359">
            <v>100</v>
          </cell>
          <cell r="N359">
            <v>30</v>
          </cell>
          <cell r="O359">
            <v>0</v>
          </cell>
          <cell r="P359">
            <v>8.56</v>
          </cell>
        </row>
        <row r="360">
          <cell r="J360" t="str">
            <v>ACambio de Fiador SolidarioLey PreferencialResidencialUsadaCasaFERIA000000005000.00</v>
          </cell>
          <cell r="K360">
            <v>5000</v>
          </cell>
          <cell r="L360">
            <v>120000</v>
          </cell>
          <cell r="M360">
            <v>100</v>
          </cell>
          <cell r="N360">
            <v>30</v>
          </cell>
          <cell r="O360">
            <v>0</v>
          </cell>
          <cell r="P360">
            <v>4.28</v>
          </cell>
        </row>
        <row r="361">
          <cell r="J361" t="str">
            <v>ACasa CashIndividualRefinanciamientoUsadaApartamentoBG000000030000.00</v>
          </cell>
          <cell r="K361">
            <v>30000</v>
          </cell>
          <cell r="L361">
            <v>250000</v>
          </cell>
          <cell r="M361">
            <v>90</v>
          </cell>
          <cell r="N361">
            <v>20</v>
          </cell>
          <cell r="O361">
            <v>6.25</v>
          </cell>
          <cell r="P361">
            <v>0</v>
          </cell>
        </row>
        <row r="362">
          <cell r="J362" t="str">
            <v>ACasa CashIndividualRefinanciamientoUsadaApartamentoBG000000250000.01</v>
          </cell>
          <cell r="K362">
            <v>250000.01</v>
          </cell>
          <cell r="L362">
            <v>500000</v>
          </cell>
          <cell r="M362">
            <v>80</v>
          </cell>
          <cell r="N362">
            <v>20</v>
          </cell>
          <cell r="O362">
            <v>6</v>
          </cell>
          <cell r="P362">
            <v>0</v>
          </cell>
        </row>
        <row r="363">
          <cell r="J363" t="str">
            <v>ACasa CashIndividualRefinanciamientoUsadaApartamentoBG000000500000.01</v>
          </cell>
          <cell r="K363">
            <v>500000.01</v>
          </cell>
          <cell r="L363">
            <v>99999999</v>
          </cell>
          <cell r="M363">
            <v>70</v>
          </cell>
          <cell r="N363">
            <v>20</v>
          </cell>
          <cell r="O363">
            <v>6</v>
          </cell>
          <cell r="P363">
            <v>0</v>
          </cell>
        </row>
        <row r="364">
          <cell r="J364" t="str">
            <v>ACasa CashIndividualRefinanciamientoUsadaApartamentoCOPA000000030000.00</v>
          </cell>
          <cell r="K364">
            <v>30000</v>
          </cell>
          <cell r="L364">
            <v>250000</v>
          </cell>
          <cell r="M364">
            <v>90</v>
          </cell>
          <cell r="N364">
            <v>20</v>
          </cell>
          <cell r="O364">
            <v>6.25</v>
          </cell>
          <cell r="P364">
            <v>0</v>
          </cell>
        </row>
        <row r="365">
          <cell r="J365" t="str">
            <v>ACasa CashIndividualRefinanciamientoUsadaApartamentoCOPA000000250000.01</v>
          </cell>
          <cell r="K365">
            <v>250000.01</v>
          </cell>
          <cell r="L365">
            <v>500000</v>
          </cell>
          <cell r="M365">
            <v>80</v>
          </cell>
          <cell r="N365">
            <v>20</v>
          </cell>
          <cell r="O365">
            <v>6</v>
          </cell>
          <cell r="P365">
            <v>0</v>
          </cell>
        </row>
        <row r="366">
          <cell r="J366" t="str">
            <v>ACasa CashIndividualRefinanciamientoUsadaApartamentoCOPA000000500000.01</v>
          </cell>
          <cell r="K366">
            <v>500000.01</v>
          </cell>
          <cell r="L366">
            <v>99999999</v>
          </cell>
          <cell r="M366">
            <v>70</v>
          </cell>
          <cell r="N366">
            <v>20</v>
          </cell>
          <cell r="O366">
            <v>6</v>
          </cell>
          <cell r="P366">
            <v>0</v>
          </cell>
        </row>
        <row r="367">
          <cell r="J367" t="str">
            <v>ACasa CashIndividualRefinanciamientoUsadaApartamentoFERIA000000030000.00</v>
          </cell>
          <cell r="K367">
            <v>30000</v>
          </cell>
          <cell r="L367">
            <v>250000</v>
          </cell>
          <cell r="M367">
            <v>90</v>
          </cell>
          <cell r="N367">
            <v>20</v>
          </cell>
          <cell r="O367">
            <v>6.25</v>
          </cell>
          <cell r="P367">
            <v>0</v>
          </cell>
        </row>
        <row r="368">
          <cell r="J368" t="str">
            <v>ACasa CashIndividualRefinanciamientoUsadaApartamentoFERIA000000250000.01</v>
          </cell>
          <cell r="K368">
            <v>250000.01</v>
          </cell>
          <cell r="L368">
            <v>500000</v>
          </cell>
          <cell r="M368">
            <v>90</v>
          </cell>
          <cell r="N368">
            <v>20</v>
          </cell>
          <cell r="O368">
            <v>6</v>
          </cell>
          <cell r="P368">
            <v>0</v>
          </cell>
        </row>
        <row r="369">
          <cell r="J369" t="str">
            <v>ACasa CashIndividualRefinanciamientoUsadaApartamentoFERIA000000500000.01</v>
          </cell>
          <cell r="K369">
            <v>500000.01</v>
          </cell>
          <cell r="L369">
            <v>99999999</v>
          </cell>
          <cell r="M369">
            <v>90</v>
          </cell>
          <cell r="N369">
            <v>20</v>
          </cell>
          <cell r="O369">
            <v>6</v>
          </cell>
          <cell r="P369">
            <v>0</v>
          </cell>
        </row>
        <row r="370">
          <cell r="J370" t="str">
            <v>ACasa CashIndividualRefinanciamientoUsadaCasaBG000000030000.00</v>
          </cell>
          <cell r="K370">
            <v>30000</v>
          </cell>
          <cell r="L370">
            <v>250000</v>
          </cell>
          <cell r="M370">
            <v>90</v>
          </cell>
          <cell r="N370">
            <v>20</v>
          </cell>
          <cell r="O370">
            <v>6.25</v>
          </cell>
          <cell r="P370">
            <v>0</v>
          </cell>
        </row>
        <row r="371">
          <cell r="J371" t="str">
            <v>ACasa CashIndividualRefinanciamientoUsadaCasaBG000000250000.01</v>
          </cell>
          <cell r="K371">
            <v>250000.01</v>
          </cell>
          <cell r="L371">
            <v>500000</v>
          </cell>
          <cell r="M371">
            <v>80</v>
          </cell>
          <cell r="N371">
            <v>20</v>
          </cell>
          <cell r="O371">
            <v>6</v>
          </cell>
          <cell r="P371">
            <v>0</v>
          </cell>
        </row>
        <row r="372">
          <cell r="J372" t="str">
            <v>ACasa CashIndividualRefinanciamientoUsadaCasaBG000000500000.01</v>
          </cell>
          <cell r="K372">
            <v>500000.01</v>
          </cell>
          <cell r="L372">
            <v>99999999</v>
          </cell>
          <cell r="M372">
            <v>70</v>
          </cell>
          <cell r="N372">
            <v>20</v>
          </cell>
          <cell r="O372">
            <v>6</v>
          </cell>
          <cell r="P372">
            <v>0</v>
          </cell>
        </row>
        <row r="373">
          <cell r="J373" t="str">
            <v>ACasa CashIndividualRefinanciamientoUsadaCasaCOPA000000030000.00</v>
          </cell>
          <cell r="K373">
            <v>30000</v>
          </cell>
          <cell r="L373">
            <v>250000</v>
          </cell>
          <cell r="M373">
            <v>90</v>
          </cell>
          <cell r="N373">
            <v>20</v>
          </cell>
          <cell r="O373">
            <v>6.25</v>
          </cell>
          <cell r="P373">
            <v>0</v>
          </cell>
        </row>
        <row r="374">
          <cell r="J374" t="str">
            <v>ACasa CashIndividualRefinanciamientoUsadaCasaCOPA000000250000.01</v>
          </cell>
          <cell r="K374">
            <v>250000.01</v>
          </cell>
          <cell r="L374">
            <v>500000</v>
          </cell>
          <cell r="M374">
            <v>80</v>
          </cell>
          <cell r="N374">
            <v>20</v>
          </cell>
          <cell r="O374">
            <v>6</v>
          </cell>
          <cell r="P374">
            <v>0</v>
          </cell>
        </row>
        <row r="375">
          <cell r="J375" t="str">
            <v>ACasa CashIndividualRefinanciamientoUsadaCasaCOPA000000500000.01</v>
          </cell>
          <cell r="K375">
            <v>500000.01</v>
          </cell>
          <cell r="L375">
            <v>99999999</v>
          </cell>
          <cell r="M375">
            <v>70</v>
          </cell>
          <cell r="N375">
            <v>20</v>
          </cell>
          <cell r="O375">
            <v>6</v>
          </cell>
          <cell r="P375">
            <v>0</v>
          </cell>
        </row>
        <row r="376">
          <cell r="J376" t="str">
            <v>ACasa CashIndividualRefinanciamientoUsadaCasaFERIA000000030000.00</v>
          </cell>
          <cell r="K376">
            <v>30000</v>
          </cell>
          <cell r="L376">
            <v>250000</v>
          </cell>
          <cell r="M376">
            <v>90</v>
          </cell>
          <cell r="N376">
            <v>20</v>
          </cell>
          <cell r="O376">
            <v>6.25</v>
          </cell>
          <cell r="P376">
            <v>0</v>
          </cell>
        </row>
        <row r="377">
          <cell r="J377" t="str">
            <v>ACasa CashIndividualRefinanciamientoUsadaCasaFERIA000000250000.01</v>
          </cell>
          <cell r="K377">
            <v>250000.01</v>
          </cell>
          <cell r="L377">
            <v>500000</v>
          </cell>
          <cell r="M377">
            <v>90</v>
          </cell>
          <cell r="N377">
            <v>20</v>
          </cell>
          <cell r="O377">
            <v>6</v>
          </cell>
          <cell r="P377">
            <v>0</v>
          </cell>
        </row>
        <row r="378">
          <cell r="J378" t="str">
            <v>ACasa CashIndividualRefinanciamientoUsadaCasaFERIA000000500000.01</v>
          </cell>
          <cell r="K378">
            <v>500000.01</v>
          </cell>
          <cell r="L378">
            <v>99999999</v>
          </cell>
          <cell r="M378">
            <v>90</v>
          </cell>
          <cell r="N378">
            <v>20</v>
          </cell>
          <cell r="O378">
            <v>6</v>
          </cell>
          <cell r="P378">
            <v>0</v>
          </cell>
        </row>
        <row r="379">
          <cell r="J379" t="str">
            <v>ACasa CashIndividualResidencialUsadaApartamentoBG000000030000.00</v>
          </cell>
          <cell r="K379">
            <v>30000</v>
          </cell>
          <cell r="L379">
            <v>250000</v>
          </cell>
          <cell r="M379">
            <v>90</v>
          </cell>
          <cell r="N379">
            <v>20</v>
          </cell>
          <cell r="O379">
            <v>6.25</v>
          </cell>
          <cell r="P379">
            <v>0</v>
          </cell>
        </row>
        <row r="380">
          <cell r="J380" t="str">
            <v>ACasa CashIndividualResidencialUsadaApartamentoBG000000250000.01</v>
          </cell>
          <cell r="K380">
            <v>250000.01</v>
          </cell>
          <cell r="L380">
            <v>500000</v>
          </cell>
          <cell r="M380">
            <v>80</v>
          </cell>
          <cell r="N380">
            <v>20</v>
          </cell>
          <cell r="O380">
            <v>6</v>
          </cell>
          <cell r="P380">
            <v>0</v>
          </cell>
        </row>
        <row r="381">
          <cell r="J381" t="str">
            <v>ACasa CashIndividualResidencialUsadaApartamentoBG000000500000.01</v>
          </cell>
          <cell r="K381">
            <v>500000.01</v>
          </cell>
          <cell r="L381">
            <v>99999999</v>
          </cell>
          <cell r="M381">
            <v>70</v>
          </cell>
          <cell r="N381">
            <v>20</v>
          </cell>
          <cell r="O381">
            <v>6</v>
          </cell>
          <cell r="P381">
            <v>0</v>
          </cell>
        </row>
        <row r="382">
          <cell r="J382" t="str">
            <v>ACasa CashIndividualResidencialUsadaApartamentoCOPA000000030000.00</v>
          </cell>
          <cell r="K382">
            <v>30000</v>
          </cell>
          <cell r="L382">
            <v>250000</v>
          </cell>
          <cell r="M382">
            <v>90</v>
          </cell>
          <cell r="N382">
            <v>20</v>
          </cell>
          <cell r="O382">
            <v>6.25</v>
          </cell>
          <cell r="P382">
            <v>0</v>
          </cell>
        </row>
        <row r="383">
          <cell r="J383" t="str">
            <v>ACasa CashIndividualResidencialUsadaApartamentoCOPA000000250000.01</v>
          </cell>
          <cell r="K383">
            <v>250000.01</v>
          </cell>
          <cell r="L383">
            <v>500000</v>
          </cell>
          <cell r="M383">
            <v>80</v>
          </cell>
          <cell r="N383">
            <v>20</v>
          </cell>
          <cell r="O383">
            <v>6</v>
          </cell>
          <cell r="P383">
            <v>0</v>
          </cell>
        </row>
        <row r="384">
          <cell r="J384" t="str">
            <v>ACasa CashIndividualResidencialUsadaApartamentoCOPA000000500000.01</v>
          </cell>
          <cell r="K384">
            <v>500000.01</v>
          </cell>
          <cell r="L384">
            <v>99999999</v>
          </cell>
          <cell r="M384">
            <v>70</v>
          </cell>
          <cell r="N384">
            <v>20</v>
          </cell>
          <cell r="O384">
            <v>6</v>
          </cell>
          <cell r="P384">
            <v>0</v>
          </cell>
        </row>
        <row r="385">
          <cell r="J385" t="str">
            <v>ACasa CashIndividualResidencialUsadaApartamentoFERIA000000030000.00</v>
          </cell>
          <cell r="K385">
            <v>30000</v>
          </cell>
          <cell r="L385">
            <v>250000</v>
          </cell>
          <cell r="M385">
            <v>90</v>
          </cell>
          <cell r="N385">
            <v>20</v>
          </cell>
          <cell r="O385">
            <v>6.25</v>
          </cell>
          <cell r="P385">
            <v>0</v>
          </cell>
        </row>
        <row r="386">
          <cell r="J386" t="str">
            <v>ACasa CashIndividualResidencialUsadaApartamentoFERIA000000250000.01</v>
          </cell>
          <cell r="K386">
            <v>250000.01</v>
          </cell>
          <cell r="L386">
            <v>500000</v>
          </cell>
          <cell r="M386">
            <v>90</v>
          </cell>
          <cell r="N386">
            <v>20</v>
          </cell>
          <cell r="O386">
            <v>6</v>
          </cell>
          <cell r="P386">
            <v>0</v>
          </cell>
        </row>
        <row r="387">
          <cell r="J387" t="str">
            <v>ACasa CashIndividualResidencialUsadaApartamentoFERIA000000500000.01</v>
          </cell>
          <cell r="K387">
            <v>500000.01</v>
          </cell>
          <cell r="L387">
            <v>99999999</v>
          </cell>
          <cell r="M387">
            <v>90</v>
          </cell>
          <cell r="N387">
            <v>20</v>
          </cell>
          <cell r="O387">
            <v>6</v>
          </cell>
          <cell r="P387">
            <v>0</v>
          </cell>
        </row>
        <row r="388">
          <cell r="J388" t="str">
            <v>ACasa CashIndividualResidencialUsadaCasaBG000000030000.00</v>
          </cell>
          <cell r="K388">
            <v>30000</v>
          </cell>
          <cell r="L388">
            <v>250000</v>
          </cell>
          <cell r="M388">
            <v>90</v>
          </cell>
          <cell r="N388">
            <v>20</v>
          </cell>
          <cell r="O388">
            <v>6.25</v>
          </cell>
          <cell r="P388">
            <v>0</v>
          </cell>
        </row>
        <row r="389">
          <cell r="J389" t="str">
            <v>ACasa CashIndividualResidencialUsadaCasaBG000000250000.01</v>
          </cell>
          <cell r="K389">
            <v>250000.01</v>
          </cell>
          <cell r="L389">
            <v>500000</v>
          </cell>
          <cell r="M389">
            <v>80</v>
          </cell>
          <cell r="N389">
            <v>20</v>
          </cell>
          <cell r="O389">
            <v>6</v>
          </cell>
          <cell r="P389">
            <v>0</v>
          </cell>
        </row>
        <row r="390">
          <cell r="J390" t="str">
            <v>ACasa CashIndividualResidencialUsadaCasaBG000000500000.01</v>
          </cell>
          <cell r="K390">
            <v>500000.01</v>
          </cell>
          <cell r="L390">
            <v>99999999</v>
          </cell>
          <cell r="M390">
            <v>70</v>
          </cell>
          <cell r="N390">
            <v>20</v>
          </cell>
          <cell r="O390">
            <v>6</v>
          </cell>
          <cell r="P390">
            <v>0</v>
          </cell>
        </row>
        <row r="391">
          <cell r="J391" t="str">
            <v>ACasa CashIndividualResidencialUsadaCasaCOPA000000030000.00</v>
          </cell>
          <cell r="K391">
            <v>30000</v>
          </cell>
          <cell r="L391">
            <v>250000</v>
          </cell>
          <cell r="M391">
            <v>90</v>
          </cell>
          <cell r="N391">
            <v>20</v>
          </cell>
          <cell r="O391">
            <v>6.25</v>
          </cell>
          <cell r="P391">
            <v>0</v>
          </cell>
        </row>
        <row r="392">
          <cell r="J392" t="str">
            <v>ACasa CashIndividualResidencialUsadaCasaCOPA000000250000.01</v>
          </cell>
          <cell r="K392">
            <v>250000.01</v>
          </cell>
          <cell r="L392">
            <v>500000</v>
          </cell>
          <cell r="M392">
            <v>80</v>
          </cell>
          <cell r="N392">
            <v>20</v>
          </cell>
          <cell r="O392">
            <v>6</v>
          </cell>
          <cell r="P392">
            <v>0</v>
          </cell>
        </row>
        <row r="393">
          <cell r="J393" t="str">
            <v>ACasa CashIndividualResidencialUsadaCasaCOPA000000500000.01</v>
          </cell>
          <cell r="K393">
            <v>500000.01</v>
          </cell>
          <cell r="L393">
            <v>99999999</v>
          </cell>
          <cell r="M393">
            <v>70</v>
          </cell>
          <cell r="N393">
            <v>20</v>
          </cell>
          <cell r="O393">
            <v>6</v>
          </cell>
          <cell r="P393">
            <v>0</v>
          </cell>
        </row>
        <row r="394">
          <cell r="J394" t="str">
            <v>ACasa CashIndividualResidencialUsadaCasaFERIA000000030000.00</v>
          </cell>
          <cell r="K394">
            <v>30000</v>
          </cell>
          <cell r="L394">
            <v>250000</v>
          </cell>
          <cell r="M394">
            <v>90</v>
          </cell>
          <cell r="N394">
            <v>20</v>
          </cell>
          <cell r="O394">
            <v>6.25</v>
          </cell>
          <cell r="P394">
            <v>0</v>
          </cell>
        </row>
        <row r="395">
          <cell r="J395" t="str">
            <v>ACasa CashIndividualResidencialUsadaCasaFERIA000000250000.01</v>
          </cell>
          <cell r="K395">
            <v>250000.01</v>
          </cell>
          <cell r="L395">
            <v>500000</v>
          </cell>
          <cell r="M395">
            <v>90</v>
          </cell>
          <cell r="N395">
            <v>20</v>
          </cell>
          <cell r="O395">
            <v>6</v>
          </cell>
          <cell r="P395">
            <v>0</v>
          </cell>
        </row>
        <row r="396">
          <cell r="J396" t="str">
            <v>ACasa CashIndividualResidencialUsadaCasaFERIA000000500000.01</v>
          </cell>
          <cell r="K396">
            <v>500000.01</v>
          </cell>
          <cell r="L396">
            <v>99999999</v>
          </cell>
          <cell r="M396">
            <v>90</v>
          </cell>
          <cell r="N396">
            <v>20</v>
          </cell>
          <cell r="O396">
            <v>6</v>
          </cell>
          <cell r="P396">
            <v>0</v>
          </cell>
        </row>
        <row r="397">
          <cell r="J397" t="str">
            <v>ACasa CashIndividualSegunda HipotecaUsadaApartamentoBG000000030000.00</v>
          </cell>
          <cell r="K397">
            <v>30000</v>
          </cell>
          <cell r="L397">
            <v>250000</v>
          </cell>
          <cell r="M397">
            <v>90</v>
          </cell>
          <cell r="N397">
            <v>20</v>
          </cell>
          <cell r="O397">
            <v>6.25</v>
          </cell>
          <cell r="P397">
            <v>0</v>
          </cell>
        </row>
        <row r="398">
          <cell r="J398" t="str">
            <v>ACasa CashIndividualSegunda HipotecaUsadaApartamentoBG000000250000.01</v>
          </cell>
          <cell r="K398">
            <v>250000.01</v>
          </cell>
          <cell r="L398">
            <v>500000</v>
          </cell>
          <cell r="M398">
            <v>80</v>
          </cell>
          <cell r="N398">
            <v>20</v>
          </cell>
          <cell r="O398">
            <v>6</v>
          </cell>
          <cell r="P398">
            <v>0</v>
          </cell>
        </row>
        <row r="399">
          <cell r="J399" t="str">
            <v>ACasa CashIndividualSegunda HipotecaUsadaApartamentoBG000000500000.01</v>
          </cell>
          <cell r="K399">
            <v>500000.01</v>
          </cell>
          <cell r="L399">
            <v>99999999</v>
          </cell>
          <cell r="M399">
            <v>70</v>
          </cell>
          <cell r="N399">
            <v>20</v>
          </cell>
          <cell r="O399">
            <v>6</v>
          </cell>
          <cell r="P399">
            <v>0</v>
          </cell>
        </row>
        <row r="400">
          <cell r="J400" t="str">
            <v>ACasa CashIndividualSegunda HipotecaUsadaApartamentoCOPA000000030000.00</v>
          </cell>
          <cell r="K400">
            <v>30000</v>
          </cell>
          <cell r="L400">
            <v>250000</v>
          </cell>
          <cell r="M400">
            <v>90</v>
          </cell>
          <cell r="N400">
            <v>20</v>
          </cell>
          <cell r="O400">
            <v>6.25</v>
          </cell>
          <cell r="P400">
            <v>0</v>
          </cell>
        </row>
        <row r="401">
          <cell r="J401" t="str">
            <v>ACasa CashIndividualSegunda HipotecaUsadaApartamentoCOPA000000250000.01</v>
          </cell>
          <cell r="K401">
            <v>250000.01</v>
          </cell>
          <cell r="L401">
            <v>500000</v>
          </cell>
          <cell r="M401">
            <v>80</v>
          </cell>
          <cell r="N401">
            <v>20</v>
          </cell>
          <cell r="O401">
            <v>6</v>
          </cell>
          <cell r="P401">
            <v>0</v>
          </cell>
        </row>
        <row r="402">
          <cell r="J402" t="str">
            <v>ACasa CashIndividualSegunda HipotecaUsadaApartamentoCOPA000000500000.01</v>
          </cell>
          <cell r="K402">
            <v>500000.01</v>
          </cell>
          <cell r="L402">
            <v>99999999</v>
          </cell>
          <cell r="M402">
            <v>70</v>
          </cell>
          <cell r="N402">
            <v>20</v>
          </cell>
          <cell r="O402">
            <v>6</v>
          </cell>
          <cell r="P402">
            <v>0</v>
          </cell>
        </row>
        <row r="403">
          <cell r="J403" t="str">
            <v>ACasa CashIndividualSegunda HipotecaUsadaApartamentoFERIA000000030000.00</v>
          </cell>
          <cell r="K403">
            <v>30000</v>
          </cell>
          <cell r="L403">
            <v>250000</v>
          </cell>
          <cell r="M403">
            <v>90</v>
          </cell>
          <cell r="N403">
            <v>20</v>
          </cell>
          <cell r="O403">
            <v>6.25</v>
          </cell>
          <cell r="P403">
            <v>0</v>
          </cell>
        </row>
        <row r="404">
          <cell r="J404" t="str">
            <v>ACasa CashIndividualSegunda HipotecaUsadaApartamentoFERIA000000250000.01</v>
          </cell>
          <cell r="K404">
            <v>250000.01</v>
          </cell>
          <cell r="L404">
            <v>500000</v>
          </cell>
          <cell r="M404">
            <v>90</v>
          </cell>
          <cell r="N404">
            <v>20</v>
          </cell>
          <cell r="O404">
            <v>6</v>
          </cell>
          <cell r="P404">
            <v>0</v>
          </cell>
        </row>
        <row r="405">
          <cell r="J405" t="str">
            <v>ACasa CashIndividualSegunda HipotecaUsadaApartamentoFERIA000000500000.01</v>
          </cell>
          <cell r="K405">
            <v>500000.01</v>
          </cell>
          <cell r="L405">
            <v>99999999</v>
          </cell>
          <cell r="M405">
            <v>90</v>
          </cell>
          <cell r="N405">
            <v>20</v>
          </cell>
          <cell r="O405">
            <v>6</v>
          </cell>
          <cell r="P405">
            <v>0</v>
          </cell>
        </row>
        <row r="406">
          <cell r="J406" t="str">
            <v>ACasa CashIndividualSegunda HipotecaUsadaCasaBG000000030000.00</v>
          </cell>
          <cell r="K406">
            <v>30000</v>
          </cell>
          <cell r="L406">
            <v>250000</v>
          </cell>
          <cell r="M406">
            <v>90</v>
          </cell>
          <cell r="N406">
            <v>20</v>
          </cell>
          <cell r="O406">
            <v>6.25</v>
          </cell>
          <cell r="P406">
            <v>0</v>
          </cell>
        </row>
        <row r="407">
          <cell r="J407" t="str">
            <v>ACasa CashIndividualSegunda HipotecaUsadaCasaBG000000250000.01</v>
          </cell>
          <cell r="K407">
            <v>250000.01</v>
          </cell>
          <cell r="L407">
            <v>500000</v>
          </cell>
          <cell r="M407">
            <v>80</v>
          </cell>
          <cell r="N407">
            <v>20</v>
          </cell>
          <cell r="O407">
            <v>6</v>
          </cell>
          <cell r="P407">
            <v>0</v>
          </cell>
        </row>
        <row r="408">
          <cell r="J408" t="str">
            <v>ACasa CashIndividualSegunda HipotecaUsadaCasaBG000000500000.01</v>
          </cell>
          <cell r="K408">
            <v>500000.01</v>
          </cell>
          <cell r="L408">
            <v>99999999</v>
          </cell>
          <cell r="M408">
            <v>70</v>
          </cell>
          <cell r="N408">
            <v>20</v>
          </cell>
          <cell r="O408">
            <v>6</v>
          </cell>
          <cell r="P408">
            <v>0</v>
          </cell>
        </row>
        <row r="409">
          <cell r="J409" t="str">
            <v>ACasa CashIndividualSegunda HipotecaUsadaCasaCOPA000000030000.00</v>
          </cell>
          <cell r="K409">
            <v>30000</v>
          </cell>
          <cell r="L409">
            <v>250000</v>
          </cell>
          <cell r="M409">
            <v>90</v>
          </cell>
          <cell r="N409">
            <v>20</v>
          </cell>
          <cell r="O409">
            <v>6.25</v>
          </cell>
          <cell r="P409">
            <v>0</v>
          </cell>
        </row>
        <row r="410">
          <cell r="J410" t="str">
            <v>ACasa CashIndividualSegunda HipotecaUsadaCasaCOPA000000250000.01</v>
          </cell>
          <cell r="K410">
            <v>250000.01</v>
          </cell>
          <cell r="L410">
            <v>500000</v>
          </cell>
          <cell r="M410">
            <v>80</v>
          </cell>
          <cell r="N410">
            <v>20</v>
          </cell>
          <cell r="O410">
            <v>6</v>
          </cell>
          <cell r="P410">
            <v>0</v>
          </cell>
        </row>
        <row r="411">
          <cell r="J411" t="str">
            <v>ACasa CashIndividualSegunda HipotecaUsadaCasaCOPA000000500000.01</v>
          </cell>
          <cell r="K411">
            <v>500000.01</v>
          </cell>
          <cell r="L411">
            <v>99999999</v>
          </cell>
          <cell r="M411">
            <v>70</v>
          </cell>
          <cell r="N411">
            <v>20</v>
          </cell>
          <cell r="O411">
            <v>6</v>
          </cell>
          <cell r="P411">
            <v>0</v>
          </cell>
        </row>
        <row r="412">
          <cell r="J412" t="str">
            <v>ACasa CashIndividualSegunda HipotecaUsadaCasaFERIA000000030000.00</v>
          </cell>
          <cell r="K412">
            <v>30000</v>
          </cell>
          <cell r="L412">
            <v>250000</v>
          </cell>
          <cell r="M412">
            <v>90</v>
          </cell>
          <cell r="N412">
            <v>20</v>
          </cell>
          <cell r="O412">
            <v>6.25</v>
          </cell>
          <cell r="P412">
            <v>0</v>
          </cell>
        </row>
        <row r="413">
          <cell r="J413" t="str">
            <v>ACasa CashIndividualSegunda HipotecaUsadaCasaFERIA000000250000.01</v>
          </cell>
          <cell r="K413">
            <v>250000.01</v>
          </cell>
          <cell r="L413">
            <v>500000</v>
          </cell>
          <cell r="M413">
            <v>90</v>
          </cell>
          <cell r="N413">
            <v>20</v>
          </cell>
          <cell r="O413">
            <v>6</v>
          </cell>
          <cell r="P413">
            <v>0</v>
          </cell>
        </row>
        <row r="414">
          <cell r="J414" t="str">
            <v>ACasa CashIndividualSegunda HipotecaUsadaCasaFERIA000000500000.01</v>
          </cell>
          <cell r="K414">
            <v>500000.01</v>
          </cell>
          <cell r="L414">
            <v>99999999</v>
          </cell>
          <cell r="M414">
            <v>90</v>
          </cell>
          <cell r="N414">
            <v>20</v>
          </cell>
          <cell r="O414">
            <v>6</v>
          </cell>
          <cell r="P414">
            <v>0</v>
          </cell>
        </row>
        <row r="415">
          <cell r="J415" t="str">
            <v>ACompra de ViviendaCasco AntiguoResidencialNuevaApartamentoBG000000030000.00</v>
          </cell>
          <cell r="K415">
            <v>30000</v>
          </cell>
          <cell r="L415">
            <v>99999999</v>
          </cell>
          <cell r="M415">
            <v>80</v>
          </cell>
          <cell r="N415">
            <v>30</v>
          </cell>
          <cell r="O415">
            <v>3.25</v>
          </cell>
          <cell r="P415">
            <v>8.56</v>
          </cell>
        </row>
        <row r="416">
          <cell r="J416" t="str">
            <v>ACompra de ViviendaCasco AntiguoResidencialNuevaApartamentoCOPA000000030000.00</v>
          </cell>
          <cell r="K416">
            <v>30000</v>
          </cell>
          <cell r="L416">
            <v>99999999</v>
          </cell>
          <cell r="M416">
            <v>80</v>
          </cell>
          <cell r="N416">
            <v>30</v>
          </cell>
          <cell r="O416">
            <v>3.25</v>
          </cell>
          <cell r="P416">
            <v>4.28</v>
          </cell>
        </row>
        <row r="417">
          <cell r="J417" t="str">
            <v>ACompra de ViviendaCasco AntiguoResidencialNuevaApartamentoFERIA000000030000.00</v>
          </cell>
          <cell r="K417">
            <v>30000</v>
          </cell>
          <cell r="L417">
            <v>99999999</v>
          </cell>
          <cell r="M417">
            <v>80</v>
          </cell>
          <cell r="N417">
            <v>30</v>
          </cell>
          <cell r="O417">
            <v>3.25</v>
          </cell>
          <cell r="P417">
            <v>4.28</v>
          </cell>
        </row>
        <row r="418">
          <cell r="J418" t="str">
            <v>ACompra de ViviendaCasco AntiguoResidencialNuevaCasaBG000000030000.00</v>
          </cell>
          <cell r="K418">
            <v>30000</v>
          </cell>
          <cell r="L418">
            <v>99999999</v>
          </cell>
          <cell r="M418">
            <v>80</v>
          </cell>
          <cell r="N418">
            <v>30</v>
          </cell>
          <cell r="O418">
            <v>3.25</v>
          </cell>
          <cell r="P418">
            <v>8.56</v>
          </cell>
        </row>
        <row r="419">
          <cell r="J419" t="str">
            <v>ACompra de ViviendaCasco AntiguoResidencialNuevaCasaCOPA000000030000.00</v>
          </cell>
          <cell r="K419">
            <v>30000</v>
          </cell>
          <cell r="L419">
            <v>99999999</v>
          </cell>
          <cell r="M419">
            <v>80</v>
          </cell>
          <cell r="N419">
            <v>30</v>
          </cell>
          <cell r="O419">
            <v>3.25</v>
          </cell>
          <cell r="P419">
            <v>4.28</v>
          </cell>
        </row>
        <row r="420">
          <cell r="J420" t="str">
            <v>ACompra de ViviendaCasco AntiguoResidencialNuevaCasaFERIA000000030000.00</v>
          </cell>
          <cell r="K420">
            <v>30000</v>
          </cell>
          <cell r="L420">
            <v>99999999</v>
          </cell>
          <cell r="M420">
            <v>80</v>
          </cell>
          <cell r="N420">
            <v>30</v>
          </cell>
          <cell r="O420">
            <v>3.25</v>
          </cell>
          <cell r="P420">
            <v>4.28</v>
          </cell>
        </row>
        <row r="421">
          <cell r="J421" t="str">
            <v>ACompra de ViviendaCasco AntiguoResidencialUsadaApartamentoBG000000030000.00</v>
          </cell>
          <cell r="K421">
            <v>30000</v>
          </cell>
          <cell r="L421">
            <v>99999999</v>
          </cell>
          <cell r="M421">
            <v>80</v>
          </cell>
          <cell r="N421">
            <v>30</v>
          </cell>
          <cell r="O421">
            <v>3.25</v>
          </cell>
          <cell r="P421">
            <v>8.56</v>
          </cell>
        </row>
        <row r="422">
          <cell r="J422" t="str">
            <v>ACompra de ViviendaCasco AntiguoResidencialUsadaApartamentoCOPA000000030000.00</v>
          </cell>
          <cell r="K422">
            <v>30000</v>
          </cell>
          <cell r="L422">
            <v>99999999</v>
          </cell>
          <cell r="M422">
            <v>80</v>
          </cell>
          <cell r="N422">
            <v>30</v>
          </cell>
          <cell r="O422">
            <v>3.25</v>
          </cell>
          <cell r="P422">
            <v>4.28</v>
          </cell>
        </row>
        <row r="423">
          <cell r="J423" t="str">
            <v>ACompra de ViviendaCasco AntiguoResidencialUsadaApartamentoFERIA000000030000.00</v>
          </cell>
          <cell r="K423">
            <v>30000</v>
          </cell>
          <cell r="L423">
            <v>99999999</v>
          </cell>
          <cell r="M423">
            <v>80</v>
          </cell>
          <cell r="N423">
            <v>30</v>
          </cell>
          <cell r="O423">
            <v>3.25</v>
          </cell>
          <cell r="P423">
            <v>4.28</v>
          </cell>
        </row>
        <row r="424">
          <cell r="J424" t="str">
            <v>ACompra de ViviendaCasco AntiguoResidencialUsadaCasaBG000000030000.00</v>
          </cell>
          <cell r="K424">
            <v>30000</v>
          </cell>
          <cell r="L424">
            <v>99999999</v>
          </cell>
          <cell r="M424">
            <v>80</v>
          </cell>
          <cell r="N424">
            <v>30</v>
          </cell>
          <cell r="O424">
            <v>3.25</v>
          </cell>
          <cell r="P424">
            <v>8.56</v>
          </cell>
        </row>
        <row r="425">
          <cell r="J425" t="str">
            <v>ACompra de ViviendaCasco AntiguoResidencialUsadaCasaCOPA000000030000.00</v>
          </cell>
          <cell r="K425">
            <v>30000</v>
          </cell>
          <cell r="L425">
            <v>99999999</v>
          </cell>
          <cell r="M425">
            <v>80</v>
          </cell>
          <cell r="N425">
            <v>30</v>
          </cell>
          <cell r="O425">
            <v>3.25</v>
          </cell>
          <cell r="P425">
            <v>4.28</v>
          </cell>
        </row>
        <row r="426">
          <cell r="J426" t="str">
            <v>ACompra de ViviendaCasco AntiguoResidencialUsadaCasaFERIA000000030000.00</v>
          </cell>
          <cell r="K426">
            <v>30000</v>
          </cell>
          <cell r="L426">
            <v>99999999</v>
          </cell>
          <cell r="M426">
            <v>80</v>
          </cell>
          <cell r="N426">
            <v>30</v>
          </cell>
          <cell r="O426">
            <v>3.25</v>
          </cell>
          <cell r="P426">
            <v>4.28</v>
          </cell>
        </row>
        <row r="427">
          <cell r="J427" t="str">
            <v>ACompra de ViviendaIndividualReposeído (BG)UsadaApartamentoBG000000040000.00</v>
          </cell>
          <cell r="K427">
            <v>40000</v>
          </cell>
          <cell r="L427">
            <v>250000</v>
          </cell>
          <cell r="M427">
            <v>98</v>
          </cell>
          <cell r="N427">
            <v>30</v>
          </cell>
          <cell r="O427">
            <v>5.5</v>
          </cell>
          <cell r="P427">
            <v>0</v>
          </cell>
        </row>
        <row r="428">
          <cell r="J428" t="str">
            <v>ACompra de ViviendaIndividualReposeído (BG)UsadaApartamentoBG000000250000.01</v>
          </cell>
          <cell r="K428">
            <v>250000.01</v>
          </cell>
          <cell r="L428">
            <v>500000</v>
          </cell>
          <cell r="M428">
            <v>90</v>
          </cell>
          <cell r="N428">
            <v>30</v>
          </cell>
          <cell r="O428">
            <v>5.5</v>
          </cell>
          <cell r="P428">
            <v>0</v>
          </cell>
        </row>
        <row r="429">
          <cell r="J429" t="str">
            <v>ACompra de ViviendaIndividualReposeído (BG)UsadaApartamentoBG000000500000.01</v>
          </cell>
          <cell r="K429">
            <v>500000.01</v>
          </cell>
          <cell r="L429">
            <v>99999999</v>
          </cell>
          <cell r="M429">
            <v>70</v>
          </cell>
          <cell r="N429">
            <v>30</v>
          </cell>
          <cell r="O429">
            <v>5.25</v>
          </cell>
          <cell r="P429">
            <v>0</v>
          </cell>
        </row>
        <row r="430">
          <cell r="J430" t="str">
            <v>ACompra de ViviendaIndividualReposeído (BG)UsadaApartamentoCOPA000000030000.00</v>
          </cell>
          <cell r="K430">
            <v>30000</v>
          </cell>
          <cell r="L430">
            <v>250000</v>
          </cell>
          <cell r="M430">
            <v>98</v>
          </cell>
          <cell r="N430">
            <v>30</v>
          </cell>
          <cell r="O430">
            <v>5.5</v>
          </cell>
          <cell r="P430">
            <v>0</v>
          </cell>
        </row>
        <row r="431">
          <cell r="J431" t="str">
            <v>ACompra de ViviendaIndividualReposeído (BG)UsadaApartamentoCOPA000000250000.01</v>
          </cell>
          <cell r="K431">
            <v>250000.01</v>
          </cell>
          <cell r="L431">
            <v>500000</v>
          </cell>
          <cell r="M431">
            <v>90</v>
          </cell>
          <cell r="N431">
            <v>30</v>
          </cell>
          <cell r="O431">
            <v>5.5</v>
          </cell>
          <cell r="P431">
            <v>0</v>
          </cell>
        </row>
        <row r="432">
          <cell r="J432" t="str">
            <v>ACompra de ViviendaIndividualReposeído (BG)UsadaApartamentoCOPA000000500000.01</v>
          </cell>
          <cell r="K432">
            <v>500000.01</v>
          </cell>
          <cell r="L432">
            <v>99999999</v>
          </cell>
          <cell r="M432">
            <v>70</v>
          </cell>
          <cell r="N432">
            <v>30</v>
          </cell>
          <cell r="O432">
            <v>5.25</v>
          </cell>
          <cell r="P432">
            <v>0</v>
          </cell>
        </row>
        <row r="433">
          <cell r="J433" t="str">
            <v>ACompra de ViviendaIndividualReposeído (BG)UsadaApartamentoFERIA000000030000.00</v>
          </cell>
          <cell r="K433">
            <v>30000</v>
          </cell>
          <cell r="L433">
            <v>250000</v>
          </cell>
          <cell r="M433">
            <v>98</v>
          </cell>
          <cell r="N433">
            <v>30</v>
          </cell>
          <cell r="O433">
            <v>5.5</v>
          </cell>
          <cell r="P433">
            <v>0</v>
          </cell>
        </row>
        <row r="434">
          <cell r="J434" t="str">
            <v>ACompra de ViviendaIndividualReposeído (BG)UsadaApartamentoFERIA000000250000.01</v>
          </cell>
          <cell r="K434">
            <v>250000.01</v>
          </cell>
          <cell r="L434">
            <v>500000</v>
          </cell>
          <cell r="M434">
            <v>95</v>
          </cell>
          <cell r="N434">
            <v>30</v>
          </cell>
          <cell r="O434">
            <v>5.5</v>
          </cell>
          <cell r="P434">
            <v>0</v>
          </cell>
        </row>
        <row r="435">
          <cell r="J435" t="str">
            <v>ACompra de ViviendaIndividualReposeído (BG)UsadaApartamentoFERIA000000500000.01</v>
          </cell>
          <cell r="K435">
            <v>500000.01</v>
          </cell>
          <cell r="L435">
            <v>99999999</v>
          </cell>
          <cell r="M435">
            <v>95</v>
          </cell>
          <cell r="N435">
            <v>30</v>
          </cell>
          <cell r="O435">
            <v>5.25</v>
          </cell>
          <cell r="P435">
            <v>0</v>
          </cell>
        </row>
        <row r="436">
          <cell r="J436" t="str">
            <v>ACompra de ViviendaIndividualReposeído (BG)UsadaCasaBG000000040000.00</v>
          </cell>
          <cell r="K436">
            <v>40000</v>
          </cell>
          <cell r="L436">
            <v>250000</v>
          </cell>
          <cell r="M436">
            <v>98</v>
          </cell>
          <cell r="N436">
            <v>30</v>
          </cell>
          <cell r="O436">
            <v>5.5</v>
          </cell>
          <cell r="P436">
            <v>0</v>
          </cell>
        </row>
        <row r="437">
          <cell r="J437" t="str">
            <v>ACompra de ViviendaIndividualReposeído (BG)UsadaCasaBG000000250000.01</v>
          </cell>
          <cell r="K437">
            <v>250000.01</v>
          </cell>
          <cell r="L437">
            <v>500000</v>
          </cell>
          <cell r="M437">
            <v>90</v>
          </cell>
          <cell r="N437">
            <v>30</v>
          </cell>
          <cell r="O437">
            <v>5.5</v>
          </cell>
          <cell r="P437">
            <v>0</v>
          </cell>
        </row>
        <row r="438">
          <cell r="J438" t="str">
            <v>ACompra de ViviendaIndividualReposeído (BG)UsadaCasaBG000000500000.01</v>
          </cell>
          <cell r="K438">
            <v>500000.01</v>
          </cell>
          <cell r="L438">
            <v>99999999</v>
          </cell>
          <cell r="M438">
            <v>70</v>
          </cell>
          <cell r="N438">
            <v>30</v>
          </cell>
          <cell r="O438">
            <v>5.25</v>
          </cell>
          <cell r="P438">
            <v>0</v>
          </cell>
        </row>
        <row r="439">
          <cell r="J439" t="str">
            <v>ACompra de ViviendaIndividualReposeído (BG)UsadaCasaCOPA000000030000.00</v>
          </cell>
          <cell r="K439">
            <v>30000</v>
          </cell>
          <cell r="L439">
            <v>250000</v>
          </cell>
          <cell r="M439">
            <v>98</v>
          </cell>
          <cell r="N439">
            <v>30</v>
          </cell>
          <cell r="O439">
            <v>5.5</v>
          </cell>
          <cell r="P439">
            <v>0</v>
          </cell>
        </row>
        <row r="440">
          <cell r="J440" t="str">
            <v>ACompra de ViviendaIndividualReposeído (BG)UsadaCasaCOPA000000250000.01</v>
          </cell>
          <cell r="K440">
            <v>250000.01</v>
          </cell>
          <cell r="L440">
            <v>500000</v>
          </cell>
          <cell r="M440">
            <v>90</v>
          </cell>
          <cell r="N440">
            <v>30</v>
          </cell>
          <cell r="O440">
            <v>5.5</v>
          </cell>
          <cell r="P440">
            <v>0</v>
          </cell>
        </row>
        <row r="441">
          <cell r="J441" t="str">
            <v>ACompra de ViviendaIndividualReposeído (BG)UsadaCasaCOPA000000500000.01</v>
          </cell>
          <cell r="K441">
            <v>500000.01</v>
          </cell>
          <cell r="L441">
            <v>99999999</v>
          </cell>
          <cell r="M441">
            <v>70</v>
          </cell>
          <cell r="N441">
            <v>30</v>
          </cell>
          <cell r="O441">
            <v>5.25</v>
          </cell>
          <cell r="P441">
            <v>0</v>
          </cell>
        </row>
        <row r="442">
          <cell r="J442" t="str">
            <v>ACompra de ViviendaIndividualReposeído (BG)UsadaCasaFERIA000000030000.00</v>
          </cell>
          <cell r="K442">
            <v>30000</v>
          </cell>
          <cell r="L442">
            <v>250000</v>
          </cell>
          <cell r="M442">
            <v>98</v>
          </cell>
          <cell r="N442">
            <v>30</v>
          </cell>
          <cell r="O442">
            <v>5.5</v>
          </cell>
          <cell r="P442">
            <v>0</v>
          </cell>
        </row>
        <row r="443">
          <cell r="J443" t="str">
            <v>ACompra de ViviendaIndividualReposeído (BG)UsadaCasaFERIA000000250000.01</v>
          </cell>
          <cell r="K443">
            <v>250000.01</v>
          </cell>
          <cell r="L443">
            <v>500000</v>
          </cell>
          <cell r="M443">
            <v>95</v>
          </cell>
          <cell r="N443">
            <v>30</v>
          </cell>
          <cell r="O443">
            <v>5.5</v>
          </cell>
          <cell r="P443">
            <v>0</v>
          </cell>
        </row>
        <row r="444">
          <cell r="J444" t="str">
            <v>ACompra de ViviendaIndividualReposeído (BG)UsadaCasaFERIA000000500000.01</v>
          </cell>
          <cell r="K444">
            <v>500000.01</v>
          </cell>
          <cell r="L444">
            <v>99999999</v>
          </cell>
          <cell r="M444">
            <v>95</v>
          </cell>
          <cell r="N444">
            <v>30</v>
          </cell>
          <cell r="O444">
            <v>5.25</v>
          </cell>
          <cell r="P444">
            <v>0</v>
          </cell>
        </row>
        <row r="445">
          <cell r="J445" t="str">
            <v>ACompra de ViviendaIndividualResidencialNuevaApartamentoBG000000040000.00</v>
          </cell>
          <cell r="K445">
            <v>40000</v>
          </cell>
          <cell r="L445">
            <v>100000</v>
          </cell>
          <cell r="M445">
            <v>95</v>
          </cell>
          <cell r="N445">
            <v>30</v>
          </cell>
          <cell r="O445">
            <v>5.75</v>
          </cell>
          <cell r="P445">
            <v>0</v>
          </cell>
        </row>
        <row r="446">
          <cell r="J446" t="str">
            <v>ACompra de ViviendaIndividualResidencialNuevaApartamentoBG000000100000.01</v>
          </cell>
          <cell r="K446">
            <v>100000.01</v>
          </cell>
          <cell r="L446">
            <v>250000</v>
          </cell>
          <cell r="M446">
            <v>90</v>
          </cell>
          <cell r="N446">
            <v>30</v>
          </cell>
          <cell r="O446">
            <v>5.75</v>
          </cell>
          <cell r="P446">
            <v>0</v>
          </cell>
        </row>
        <row r="447">
          <cell r="J447" t="str">
            <v>ACompra de ViviendaIndividualResidencialNuevaApartamentoBG000000250000.01</v>
          </cell>
          <cell r="K447">
            <v>250000.01</v>
          </cell>
          <cell r="L447">
            <v>600000</v>
          </cell>
          <cell r="M447">
            <v>80</v>
          </cell>
          <cell r="N447">
            <v>30</v>
          </cell>
          <cell r="O447">
            <v>5.5</v>
          </cell>
          <cell r="P447">
            <v>0</v>
          </cell>
        </row>
        <row r="448">
          <cell r="J448" t="str">
            <v>ACompra de ViviendaIndividualResidencialNuevaApartamentoBG000000600000.01</v>
          </cell>
          <cell r="K448">
            <v>600000.01</v>
          </cell>
          <cell r="L448">
            <v>99999999</v>
          </cell>
          <cell r="M448">
            <v>70</v>
          </cell>
          <cell r="N448">
            <v>30</v>
          </cell>
          <cell r="O448">
            <v>5.25</v>
          </cell>
          <cell r="P448">
            <v>0</v>
          </cell>
        </row>
        <row r="449">
          <cell r="J449" t="str">
            <v>ACompra de ViviendaIndividualResidencialNuevaApartamentoCOPA000000030000.00</v>
          </cell>
          <cell r="K449">
            <v>30000</v>
          </cell>
          <cell r="L449">
            <v>100000</v>
          </cell>
          <cell r="M449">
            <v>95</v>
          </cell>
          <cell r="N449">
            <v>30</v>
          </cell>
          <cell r="O449">
            <v>5.75</v>
          </cell>
          <cell r="P449">
            <v>0</v>
          </cell>
        </row>
        <row r="450">
          <cell r="J450" t="str">
            <v>ACompra de ViviendaIndividualResidencialNuevaApartamentoCOPA000000100000.01</v>
          </cell>
          <cell r="K450">
            <v>100000.01</v>
          </cell>
          <cell r="L450">
            <v>250000</v>
          </cell>
          <cell r="M450">
            <v>90</v>
          </cell>
          <cell r="N450">
            <v>30</v>
          </cell>
          <cell r="O450">
            <v>5.75</v>
          </cell>
          <cell r="P450">
            <v>0</v>
          </cell>
        </row>
        <row r="451">
          <cell r="J451" t="str">
            <v>ACompra de ViviendaIndividualResidencialNuevaApartamentoCOPA000000250000.01</v>
          </cell>
          <cell r="K451">
            <v>250000.01</v>
          </cell>
          <cell r="L451">
            <v>600000</v>
          </cell>
          <cell r="M451">
            <v>80</v>
          </cell>
          <cell r="N451">
            <v>30</v>
          </cell>
          <cell r="O451">
            <v>5.5</v>
          </cell>
          <cell r="P451">
            <v>0</v>
          </cell>
        </row>
        <row r="452">
          <cell r="J452" t="str">
            <v>ACompra de ViviendaIndividualResidencialNuevaApartamentoCOPA000000600000.01</v>
          </cell>
          <cell r="K452">
            <v>600000.01</v>
          </cell>
          <cell r="L452">
            <v>99999999</v>
          </cell>
          <cell r="M452">
            <v>70</v>
          </cell>
          <cell r="N452">
            <v>30</v>
          </cell>
          <cell r="O452">
            <v>5.25</v>
          </cell>
          <cell r="P452">
            <v>0</v>
          </cell>
        </row>
        <row r="453">
          <cell r="J453" t="str">
            <v>ACompra de ViviendaIndividualResidencialNuevaApartamentoFERIA000000030000.00</v>
          </cell>
          <cell r="K453">
            <v>30000</v>
          </cell>
          <cell r="L453">
            <v>100000</v>
          </cell>
          <cell r="M453">
            <v>95</v>
          </cell>
          <cell r="N453">
            <v>30</v>
          </cell>
          <cell r="O453">
            <v>5.75</v>
          </cell>
          <cell r="P453">
            <v>0</v>
          </cell>
        </row>
        <row r="454">
          <cell r="J454" t="str">
            <v>ACompra de ViviendaIndividualResidencialNuevaApartamentoFERIA000000100000.01</v>
          </cell>
          <cell r="K454">
            <v>100000.01</v>
          </cell>
          <cell r="L454">
            <v>250000</v>
          </cell>
          <cell r="M454">
            <v>90</v>
          </cell>
          <cell r="N454">
            <v>30</v>
          </cell>
          <cell r="O454">
            <v>5.75</v>
          </cell>
          <cell r="P454">
            <v>0</v>
          </cell>
        </row>
        <row r="455">
          <cell r="J455" t="str">
            <v>ACompra de ViviendaIndividualResidencialNuevaApartamentoFERIA000000250000.01</v>
          </cell>
          <cell r="K455">
            <v>250000.01</v>
          </cell>
          <cell r="L455">
            <v>600000</v>
          </cell>
          <cell r="M455">
            <v>80</v>
          </cell>
          <cell r="N455">
            <v>30</v>
          </cell>
          <cell r="O455">
            <v>5.5</v>
          </cell>
          <cell r="P455">
            <v>0</v>
          </cell>
        </row>
        <row r="456">
          <cell r="J456" t="str">
            <v>ACompra de ViviendaIndividualResidencialNuevaApartamentoFERIA000000600000.01</v>
          </cell>
          <cell r="K456">
            <v>600000.01</v>
          </cell>
          <cell r="L456">
            <v>99999999</v>
          </cell>
          <cell r="M456">
            <v>70</v>
          </cell>
          <cell r="N456">
            <v>30</v>
          </cell>
          <cell r="O456">
            <v>5.25</v>
          </cell>
          <cell r="P456">
            <v>0</v>
          </cell>
        </row>
        <row r="457">
          <cell r="J457" t="str">
            <v>ACompra de ViviendaIndividualResidencialNuevaCasaBG000000018000.00</v>
          </cell>
          <cell r="K457">
            <v>18000</v>
          </cell>
          <cell r="L457">
            <v>100000</v>
          </cell>
          <cell r="M457">
            <v>95</v>
          </cell>
          <cell r="N457">
            <v>30</v>
          </cell>
          <cell r="O457">
            <v>5.75</v>
          </cell>
          <cell r="P457">
            <v>0</v>
          </cell>
        </row>
        <row r="458">
          <cell r="J458" t="str">
            <v>ACompra de ViviendaIndividualResidencialNuevaCasaBG000000100000.01</v>
          </cell>
          <cell r="K458">
            <v>100000.01</v>
          </cell>
          <cell r="L458">
            <v>250000</v>
          </cell>
          <cell r="M458">
            <v>90</v>
          </cell>
          <cell r="N458">
            <v>30</v>
          </cell>
          <cell r="O458">
            <v>5.75</v>
          </cell>
          <cell r="P458">
            <v>0</v>
          </cell>
        </row>
        <row r="459">
          <cell r="J459" t="str">
            <v>ACompra de ViviendaIndividualResidencialNuevaCasaBG000000250000.01</v>
          </cell>
          <cell r="K459">
            <v>250000.01</v>
          </cell>
          <cell r="L459">
            <v>600000</v>
          </cell>
          <cell r="M459">
            <v>80</v>
          </cell>
          <cell r="N459">
            <v>30</v>
          </cell>
          <cell r="O459">
            <v>5.5</v>
          </cell>
          <cell r="P459">
            <v>0</v>
          </cell>
        </row>
        <row r="460">
          <cell r="J460" t="str">
            <v>ACompra de ViviendaIndividualResidencialNuevaCasaBG000000600000.01</v>
          </cell>
          <cell r="K460">
            <v>600000.01</v>
          </cell>
          <cell r="L460">
            <v>99999999</v>
          </cell>
          <cell r="M460">
            <v>70</v>
          </cell>
          <cell r="N460">
            <v>30</v>
          </cell>
          <cell r="O460">
            <v>5.25</v>
          </cell>
          <cell r="P460">
            <v>0</v>
          </cell>
        </row>
        <row r="461">
          <cell r="J461" t="str">
            <v>ACompra de ViviendaIndividualResidencialNuevaCasaCOPA000000018000.00</v>
          </cell>
          <cell r="K461">
            <v>18000</v>
          </cell>
          <cell r="L461">
            <v>100000</v>
          </cell>
          <cell r="M461">
            <v>95</v>
          </cell>
          <cell r="N461">
            <v>30</v>
          </cell>
          <cell r="O461">
            <v>5.75</v>
          </cell>
          <cell r="P461">
            <v>0</v>
          </cell>
        </row>
        <row r="462">
          <cell r="J462" t="str">
            <v>ACompra de ViviendaIndividualResidencialNuevaCasaCOPA000000100000.01</v>
          </cell>
          <cell r="K462">
            <v>100000.01</v>
          </cell>
          <cell r="L462">
            <v>250000</v>
          </cell>
          <cell r="M462">
            <v>90</v>
          </cell>
          <cell r="N462">
            <v>30</v>
          </cell>
          <cell r="O462">
            <v>5.75</v>
          </cell>
          <cell r="P462">
            <v>0</v>
          </cell>
        </row>
        <row r="463">
          <cell r="J463" t="str">
            <v>ACompra de ViviendaIndividualResidencialNuevaCasaCOPA000000250000.01</v>
          </cell>
          <cell r="K463">
            <v>250000.01</v>
          </cell>
          <cell r="L463">
            <v>600000</v>
          </cell>
          <cell r="M463">
            <v>80</v>
          </cell>
          <cell r="N463">
            <v>30</v>
          </cell>
          <cell r="O463">
            <v>5.5</v>
          </cell>
          <cell r="P463">
            <v>0</v>
          </cell>
        </row>
        <row r="464">
          <cell r="J464" t="str">
            <v>ACompra de ViviendaIndividualResidencialNuevaCasaCOPA000000600000.01</v>
          </cell>
          <cell r="K464">
            <v>600000.01</v>
          </cell>
          <cell r="L464">
            <v>99999999</v>
          </cell>
          <cell r="M464">
            <v>70</v>
          </cell>
          <cell r="N464">
            <v>30</v>
          </cell>
          <cell r="O464">
            <v>5.25</v>
          </cell>
          <cell r="P464">
            <v>0</v>
          </cell>
        </row>
        <row r="465">
          <cell r="J465" t="str">
            <v>ACompra de ViviendaIndividualResidencialNuevaCasaFERIA000000018000.00</v>
          </cell>
          <cell r="K465">
            <v>18000</v>
          </cell>
          <cell r="L465">
            <v>100000</v>
          </cell>
          <cell r="M465">
            <v>95</v>
          </cell>
          <cell r="N465">
            <v>30</v>
          </cell>
          <cell r="O465">
            <v>5.75</v>
          </cell>
          <cell r="P465">
            <v>0</v>
          </cell>
        </row>
        <row r="466">
          <cell r="J466" t="str">
            <v>ACompra de ViviendaIndividualResidencialNuevaCasaFERIA000000100000.01</v>
          </cell>
          <cell r="K466">
            <v>100000.01</v>
          </cell>
          <cell r="L466">
            <v>250000</v>
          </cell>
          <cell r="M466">
            <v>90</v>
          </cell>
          <cell r="N466">
            <v>30</v>
          </cell>
          <cell r="O466">
            <v>5.75</v>
          </cell>
          <cell r="P466">
            <v>0</v>
          </cell>
        </row>
        <row r="467">
          <cell r="J467" t="str">
            <v>ACompra de ViviendaIndividualResidencialNuevaCasaFERIA000000250000.01</v>
          </cell>
          <cell r="K467">
            <v>250000.01</v>
          </cell>
          <cell r="L467">
            <v>600000</v>
          </cell>
          <cell r="M467">
            <v>80</v>
          </cell>
          <cell r="N467">
            <v>30</v>
          </cell>
          <cell r="O467">
            <v>5.5</v>
          </cell>
          <cell r="P467">
            <v>0</v>
          </cell>
        </row>
        <row r="468">
          <cell r="J468" t="str">
            <v>ACompra de ViviendaIndividualResidencialNuevaCasaFERIA000000600000.01</v>
          </cell>
          <cell r="K468">
            <v>600000.01</v>
          </cell>
          <cell r="L468">
            <v>99999999</v>
          </cell>
          <cell r="M468">
            <v>70</v>
          </cell>
          <cell r="N468">
            <v>30</v>
          </cell>
          <cell r="O468">
            <v>5.25</v>
          </cell>
          <cell r="P468">
            <v>0</v>
          </cell>
        </row>
        <row r="469">
          <cell r="J469" t="str">
            <v>ACompra de ViviendaIndividualResidencialUsadaApartamentoBG000000040000.00</v>
          </cell>
          <cell r="K469">
            <v>40000</v>
          </cell>
          <cell r="L469">
            <v>200000</v>
          </cell>
          <cell r="M469">
            <v>90</v>
          </cell>
          <cell r="N469">
            <v>25</v>
          </cell>
          <cell r="O469">
            <v>5.5</v>
          </cell>
          <cell r="P469">
            <v>0</v>
          </cell>
        </row>
        <row r="470">
          <cell r="J470" t="str">
            <v>ACompra de ViviendaIndividualResidencialUsadaApartamentoBG000000200000.01</v>
          </cell>
          <cell r="K470">
            <v>200000.01</v>
          </cell>
          <cell r="L470">
            <v>500000</v>
          </cell>
          <cell r="M470">
            <v>80</v>
          </cell>
          <cell r="N470">
            <v>25</v>
          </cell>
          <cell r="O470">
            <v>5.5</v>
          </cell>
          <cell r="P470">
            <v>0</v>
          </cell>
        </row>
        <row r="471">
          <cell r="J471" t="str">
            <v>ACompra de ViviendaIndividualResidencialUsadaApartamentoBG000000500000.01</v>
          </cell>
          <cell r="K471">
            <v>500000.01</v>
          </cell>
          <cell r="L471">
            <v>99999999</v>
          </cell>
          <cell r="M471">
            <v>70</v>
          </cell>
          <cell r="N471">
            <v>25</v>
          </cell>
          <cell r="O471">
            <v>5.25</v>
          </cell>
          <cell r="P471">
            <v>0</v>
          </cell>
        </row>
        <row r="472">
          <cell r="J472" t="str">
            <v>ACompra de ViviendaIndividualResidencialUsadaApartamentoCOPA000000030000.00</v>
          </cell>
          <cell r="K472">
            <v>30000</v>
          </cell>
          <cell r="L472">
            <v>250000</v>
          </cell>
          <cell r="M472">
            <v>90</v>
          </cell>
          <cell r="N472">
            <v>25</v>
          </cell>
          <cell r="O472">
            <v>5.5</v>
          </cell>
          <cell r="P472">
            <v>0</v>
          </cell>
        </row>
        <row r="473">
          <cell r="J473" t="str">
            <v>ACompra de ViviendaIndividualResidencialUsadaApartamentoCOPA000000250000.01</v>
          </cell>
          <cell r="K473">
            <v>250000.01</v>
          </cell>
          <cell r="L473">
            <v>500000</v>
          </cell>
          <cell r="M473">
            <v>80</v>
          </cell>
          <cell r="N473">
            <v>25</v>
          </cell>
          <cell r="O473">
            <v>5.5</v>
          </cell>
          <cell r="P473">
            <v>0</v>
          </cell>
        </row>
        <row r="474">
          <cell r="J474" t="str">
            <v>ACompra de ViviendaIndividualResidencialUsadaApartamentoCOPA000000500000.01</v>
          </cell>
          <cell r="K474">
            <v>500000.01</v>
          </cell>
          <cell r="L474">
            <v>99999999</v>
          </cell>
          <cell r="M474">
            <v>70</v>
          </cell>
          <cell r="N474">
            <v>25</v>
          </cell>
          <cell r="O474">
            <v>5.25</v>
          </cell>
          <cell r="P474">
            <v>0</v>
          </cell>
        </row>
        <row r="475">
          <cell r="J475" t="str">
            <v>ACompra de ViviendaIndividualResidencialUsadaApartamentoFERIA000000030000.00</v>
          </cell>
          <cell r="K475">
            <v>30000</v>
          </cell>
          <cell r="L475">
            <v>200000</v>
          </cell>
          <cell r="M475">
            <v>90</v>
          </cell>
          <cell r="N475">
            <v>25</v>
          </cell>
          <cell r="O475">
            <v>5.5</v>
          </cell>
          <cell r="P475">
            <v>0</v>
          </cell>
        </row>
        <row r="476">
          <cell r="J476" t="str">
            <v>ACompra de ViviendaIndividualResidencialUsadaApartamentoFERIA000000200000.01</v>
          </cell>
          <cell r="K476">
            <v>200000.01</v>
          </cell>
          <cell r="L476">
            <v>400000</v>
          </cell>
          <cell r="M476">
            <v>80</v>
          </cell>
          <cell r="N476">
            <v>25</v>
          </cell>
          <cell r="O476">
            <v>5.5</v>
          </cell>
          <cell r="P476">
            <v>0</v>
          </cell>
        </row>
        <row r="477">
          <cell r="J477" t="str">
            <v>ACompra de ViviendaIndividualResidencialUsadaApartamentoFERIA000000400000.01</v>
          </cell>
          <cell r="K477">
            <v>400000.01</v>
          </cell>
          <cell r="L477">
            <v>99999999</v>
          </cell>
          <cell r="M477">
            <v>70</v>
          </cell>
          <cell r="N477">
            <v>25</v>
          </cell>
          <cell r="O477">
            <v>5.25</v>
          </cell>
          <cell r="P477">
            <v>0</v>
          </cell>
        </row>
        <row r="478">
          <cell r="J478" t="str">
            <v>ACompra de ViviendaIndividualResidencialUsadaCasaBG000000040000.00</v>
          </cell>
          <cell r="K478">
            <v>40000</v>
          </cell>
          <cell r="L478">
            <v>200000</v>
          </cell>
          <cell r="M478">
            <v>90</v>
          </cell>
          <cell r="N478">
            <v>30</v>
          </cell>
          <cell r="O478">
            <v>5.5</v>
          </cell>
          <cell r="P478">
            <v>0</v>
          </cell>
        </row>
        <row r="479">
          <cell r="J479" t="str">
            <v>ACompra de ViviendaIndividualResidencialUsadaCasaBG000000200000.01</v>
          </cell>
          <cell r="K479">
            <v>200000.01</v>
          </cell>
          <cell r="L479">
            <v>500000</v>
          </cell>
          <cell r="M479">
            <v>80</v>
          </cell>
          <cell r="N479">
            <v>30</v>
          </cell>
          <cell r="O479">
            <v>5.5</v>
          </cell>
          <cell r="P479">
            <v>0</v>
          </cell>
        </row>
        <row r="480">
          <cell r="J480" t="str">
            <v>ACompra de ViviendaIndividualResidencialUsadaCasaBG000000500000.01</v>
          </cell>
          <cell r="K480">
            <v>500000.01</v>
          </cell>
          <cell r="L480">
            <v>99999999</v>
          </cell>
          <cell r="M480">
            <v>70</v>
          </cell>
          <cell r="N480">
            <v>30</v>
          </cell>
          <cell r="O480">
            <v>5.25</v>
          </cell>
          <cell r="P480">
            <v>0</v>
          </cell>
        </row>
        <row r="481">
          <cell r="J481" t="str">
            <v>ACompra de ViviendaIndividualResidencialUsadaCasaCOPA000000030000.00</v>
          </cell>
          <cell r="K481">
            <v>30000</v>
          </cell>
          <cell r="L481">
            <v>250000</v>
          </cell>
          <cell r="M481">
            <v>90</v>
          </cell>
          <cell r="N481">
            <v>30</v>
          </cell>
          <cell r="O481">
            <v>5.5</v>
          </cell>
          <cell r="P481">
            <v>0</v>
          </cell>
        </row>
        <row r="482">
          <cell r="J482" t="str">
            <v>ACompra de ViviendaIndividualResidencialUsadaCasaCOPA000000250000.01</v>
          </cell>
          <cell r="K482">
            <v>250000.01</v>
          </cell>
          <cell r="L482">
            <v>500000</v>
          </cell>
          <cell r="M482">
            <v>80</v>
          </cell>
          <cell r="N482">
            <v>30</v>
          </cell>
          <cell r="O482">
            <v>5.5</v>
          </cell>
          <cell r="P482">
            <v>0</v>
          </cell>
        </row>
        <row r="483">
          <cell r="J483" t="str">
            <v>ACompra de ViviendaIndividualResidencialUsadaCasaCOPA000000500000.01</v>
          </cell>
          <cell r="K483">
            <v>500000.01</v>
          </cell>
          <cell r="L483">
            <v>99999999</v>
          </cell>
          <cell r="M483">
            <v>70</v>
          </cell>
          <cell r="N483">
            <v>30</v>
          </cell>
          <cell r="O483">
            <v>5.25</v>
          </cell>
          <cell r="P483">
            <v>0</v>
          </cell>
        </row>
        <row r="484">
          <cell r="J484" t="str">
            <v>ACompra de ViviendaIndividualResidencialUsadaCasaFERIA000000030000.00</v>
          </cell>
          <cell r="K484">
            <v>30000</v>
          </cell>
          <cell r="L484">
            <v>200000</v>
          </cell>
          <cell r="M484">
            <v>90</v>
          </cell>
          <cell r="N484">
            <v>30</v>
          </cell>
          <cell r="O484">
            <v>5.5</v>
          </cell>
          <cell r="P484">
            <v>0</v>
          </cell>
        </row>
        <row r="485">
          <cell r="J485" t="str">
            <v>ACompra de ViviendaIndividualResidencialUsadaCasaFERIA000000200000.01</v>
          </cell>
          <cell r="K485">
            <v>200000.01</v>
          </cell>
          <cell r="L485">
            <v>400000</v>
          </cell>
          <cell r="M485">
            <v>80</v>
          </cell>
          <cell r="N485">
            <v>30</v>
          </cell>
          <cell r="O485">
            <v>5.5</v>
          </cell>
          <cell r="P485">
            <v>0</v>
          </cell>
        </row>
        <row r="486">
          <cell r="J486" t="str">
            <v>ACompra de ViviendaIndividualResidencialUsadaCasaFERIA000000400000.01</v>
          </cell>
          <cell r="K486">
            <v>400000.01</v>
          </cell>
          <cell r="L486">
            <v>99999999</v>
          </cell>
          <cell r="M486">
            <v>70</v>
          </cell>
          <cell r="N486">
            <v>30</v>
          </cell>
          <cell r="O486">
            <v>5.25</v>
          </cell>
          <cell r="P486">
            <v>0</v>
          </cell>
        </row>
        <row r="487">
          <cell r="J487" t="str">
            <v>ACompra de ViviendaLey PreferencialReposeído (BG)UsadaApartamentoBG000000015000.00</v>
          </cell>
          <cell r="K487">
            <v>15000</v>
          </cell>
          <cell r="L487">
            <v>40000</v>
          </cell>
          <cell r="M487">
            <v>98</v>
          </cell>
          <cell r="N487">
            <v>30</v>
          </cell>
          <cell r="O487">
            <v>0</v>
          </cell>
          <cell r="P487">
            <v>8.56</v>
          </cell>
        </row>
        <row r="488">
          <cell r="J488" t="str">
            <v>ACompra de ViviendaLey PreferencialReposeído (BG)UsadaApartamentoBG000000040000.01</v>
          </cell>
          <cell r="K488">
            <v>40000.01</v>
          </cell>
          <cell r="L488">
            <v>80000</v>
          </cell>
          <cell r="M488">
            <v>98</v>
          </cell>
          <cell r="N488">
            <v>30</v>
          </cell>
          <cell r="O488">
            <v>1.5</v>
          </cell>
          <cell r="P488">
            <v>8.56</v>
          </cell>
        </row>
        <row r="489">
          <cell r="J489" t="str">
            <v>ACompra de ViviendaLey PreferencialReposeído (BG)UsadaApartamentoBG000000080000.01</v>
          </cell>
          <cell r="K489">
            <v>80000.009999999995</v>
          </cell>
          <cell r="L489">
            <v>120000</v>
          </cell>
          <cell r="M489">
            <v>98</v>
          </cell>
          <cell r="N489">
            <v>30</v>
          </cell>
          <cell r="O489">
            <v>1.5</v>
          </cell>
          <cell r="P489">
            <v>8.56</v>
          </cell>
        </row>
        <row r="490">
          <cell r="J490" t="str">
            <v>ACompra de ViviendaLey PreferencialReposeído (BG)UsadaApartamentoCOPA000000015000.00</v>
          </cell>
          <cell r="K490">
            <v>15000</v>
          </cell>
          <cell r="L490">
            <v>40000</v>
          </cell>
          <cell r="M490">
            <v>98</v>
          </cell>
          <cell r="N490">
            <v>30</v>
          </cell>
          <cell r="O490">
            <v>0</v>
          </cell>
          <cell r="P490">
            <v>4.28</v>
          </cell>
        </row>
        <row r="491">
          <cell r="J491" t="str">
            <v>ACompra de ViviendaLey PreferencialReposeído (BG)UsadaApartamentoCOPA000000040000.01</v>
          </cell>
          <cell r="K491">
            <v>40000.01</v>
          </cell>
          <cell r="L491">
            <v>80000</v>
          </cell>
          <cell r="M491">
            <v>98</v>
          </cell>
          <cell r="N491">
            <v>30</v>
          </cell>
          <cell r="O491">
            <v>1.5</v>
          </cell>
          <cell r="P491">
            <v>4.28</v>
          </cell>
        </row>
        <row r="492">
          <cell r="J492" t="str">
            <v>ACompra de ViviendaLey PreferencialReposeído (BG)UsadaApartamentoCOPA000000080000.01</v>
          </cell>
          <cell r="K492">
            <v>80000.009999999995</v>
          </cell>
          <cell r="L492">
            <v>120000</v>
          </cell>
          <cell r="M492">
            <v>98</v>
          </cell>
          <cell r="N492">
            <v>30</v>
          </cell>
          <cell r="O492">
            <v>1.5</v>
          </cell>
          <cell r="P492">
            <v>4.28</v>
          </cell>
        </row>
        <row r="493">
          <cell r="J493" t="str">
            <v>ACompra de ViviendaLey PreferencialReposeído (BG)UsadaApartamentoFERIA000000015000.00</v>
          </cell>
          <cell r="K493">
            <v>15000</v>
          </cell>
          <cell r="L493">
            <v>40000</v>
          </cell>
          <cell r="M493">
            <v>95</v>
          </cell>
          <cell r="N493">
            <v>30</v>
          </cell>
          <cell r="O493">
            <v>0</v>
          </cell>
          <cell r="P493">
            <v>4.28</v>
          </cell>
        </row>
        <row r="494">
          <cell r="J494" t="str">
            <v>ACompra de ViviendaLey PreferencialReposeído (BG)UsadaApartamentoFERIA000000040000.01</v>
          </cell>
          <cell r="K494">
            <v>40000.01</v>
          </cell>
          <cell r="L494">
            <v>80000</v>
          </cell>
          <cell r="M494">
            <v>95</v>
          </cell>
          <cell r="N494">
            <v>30</v>
          </cell>
          <cell r="O494">
            <v>1.5</v>
          </cell>
          <cell r="P494">
            <v>4.28</v>
          </cell>
        </row>
        <row r="495">
          <cell r="J495" t="str">
            <v>ACompra de ViviendaLey PreferencialReposeído (BG)UsadaApartamentoFERIA000000080000.01</v>
          </cell>
          <cell r="K495">
            <v>80000.009999999995</v>
          </cell>
          <cell r="L495">
            <v>120000</v>
          </cell>
          <cell r="M495">
            <v>95</v>
          </cell>
          <cell r="N495">
            <v>30</v>
          </cell>
          <cell r="O495">
            <v>1.5</v>
          </cell>
          <cell r="P495">
            <v>4.28</v>
          </cell>
        </row>
        <row r="496">
          <cell r="J496" t="str">
            <v>ACompra de ViviendaLey PreferencialReposeído (BG)UsadaCasaBG000000015000.00</v>
          </cell>
          <cell r="K496">
            <v>15000</v>
          </cell>
          <cell r="L496">
            <v>40000</v>
          </cell>
          <cell r="M496">
            <v>98</v>
          </cell>
          <cell r="N496">
            <v>30</v>
          </cell>
          <cell r="O496">
            <v>0</v>
          </cell>
          <cell r="P496">
            <v>8.56</v>
          </cell>
        </row>
        <row r="497">
          <cell r="J497" t="str">
            <v>ACompra de ViviendaLey PreferencialReposeído (BG)UsadaCasaBG000000040000.01</v>
          </cell>
          <cell r="K497">
            <v>40000.01</v>
          </cell>
          <cell r="L497">
            <v>80000</v>
          </cell>
          <cell r="M497">
            <v>98</v>
          </cell>
          <cell r="N497">
            <v>30</v>
          </cell>
          <cell r="O497">
            <v>1.5</v>
          </cell>
          <cell r="P497">
            <v>8.56</v>
          </cell>
        </row>
        <row r="498">
          <cell r="J498" t="str">
            <v>ACompra de ViviendaLey PreferencialReposeído (BG)UsadaCasaBG000000080000.01</v>
          </cell>
          <cell r="K498">
            <v>80000.009999999995</v>
          </cell>
          <cell r="L498">
            <v>120000</v>
          </cell>
          <cell r="M498">
            <v>98</v>
          </cell>
          <cell r="N498">
            <v>30</v>
          </cell>
          <cell r="O498">
            <v>1.5</v>
          </cell>
          <cell r="P498">
            <v>8.56</v>
          </cell>
        </row>
        <row r="499">
          <cell r="J499" t="str">
            <v>ACompra de ViviendaLey PreferencialReposeído (BG)UsadaCasaCOPA000000015000.00</v>
          </cell>
          <cell r="K499">
            <v>15000</v>
          </cell>
          <cell r="L499">
            <v>40000</v>
          </cell>
          <cell r="M499">
            <v>98</v>
          </cell>
          <cell r="N499">
            <v>30</v>
          </cell>
          <cell r="O499">
            <v>0</v>
          </cell>
          <cell r="P499">
            <v>4.28</v>
          </cell>
        </row>
        <row r="500">
          <cell r="J500" t="str">
            <v>ACompra de ViviendaLey PreferencialReposeído (BG)UsadaCasaCOPA000000040000.01</v>
          </cell>
          <cell r="K500">
            <v>40000.01</v>
          </cell>
          <cell r="L500">
            <v>80000</v>
          </cell>
          <cell r="M500">
            <v>98</v>
          </cell>
          <cell r="N500">
            <v>30</v>
          </cell>
          <cell r="O500">
            <v>1.5</v>
          </cell>
          <cell r="P500">
            <v>4.28</v>
          </cell>
        </row>
        <row r="501">
          <cell r="J501" t="str">
            <v>ACompra de ViviendaLey PreferencialReposeído (BG)UsadaCasaCOPA000000080000.01</v>
          </cell>
          <cell r="K501">
            <v>80000.009999999995</v>
          </cell>
          <cell r="L501">
            <v>120000</v>
          </cell>
          <cell r="M501">
            <v>98</v>
          </cell>
          <cell r="N501">
            <v>30</v>
          </cell>
          <cell r="O501">
            <v>1.5</v>
          </cell>
          <cell r="P501">
            <v>4.28</v>
          </cell>
        </row>
        <row r="502">
          <cell r="J502" t="str">
            <v>ACompra de ViviendaLey PreferencialReposeído (BG)UsadaCasaFERIA000000015000.00</v>
          </cell>
          <cell r="K502">
            <v>15000</v>
          </cell>
          <cell r="L502">
            <v>40000</v>
          </cell>
          <cell r="M502">
            <v>95</v>
          </cell>
          <cell r="N502">
            <v>30</v>
          </cell>
          <cell r="O502">
            <v>0</v>
          </cell>
          <cell r="P502">
            <v>4.28</v>
          </cell>
        </row>
        <row r="503">
          <cell r="J503" t="str">
            <v>ACompra de ViviendaLey PreferencialReposeído (BG)UsadaCasaFERIA000000040000.01</v>
          </cell>
          <cell r="K503">
            <v>40000.01</v>
          </cell>
          <cell r="L503">
            <v>80000</v>
          </cell>
          <cell r="M503">
            <v>95</v>
          </cell>
          <cell r="N503">
            <v>30</v>
          </cell>
          <cell r="O503">
            <v>1.5</v>
          </cell>
          <cell r="P503">
            <v>4.28</v>
          </cell>
        </row>
        <row r="504">
          <cell r="J504" t="str">
            <v>ACompra de ViviendaLey PreferencialReposeído (BG)UsadaCasaFERIA000000080000.01</v>
          </cell>
          <cell r="K504">
            <v>80000.009999999995</v>
          </cell>
          <cell r="L504">
            <v>120000</v>
          </cell>
          <cell r="M504">
            <v>95</v>
          </cell>
          <cell r="N504">
            <v>30</v>
          </cell>
          <cell r="O504">
            <v>1.5</v>
          </cell>
          <cell r="P504">
            <v>4.28</v>
          </cell>
        </row>
        <row r="505">
          <cell r="J505" t="str">
            <v>ACompra de ViviendaLey PreferencialResidencialNuevaApartamentoBG000000030000.00</v>
          </cell>
          <cell r="K505">
            <v>30000</v>
          </cell>
          <cell r="L505">
            <v>40000</v>
          </cell>
          <cell r="M505">
            <v>95</v>
          </cell>
          <cell r="N505">
            <v>30</v>
          </cell>
          <cell r="O505">
            <v>0</v>
          </cell>
          <cell r="P505">
            <v>8.56</v>
          </cell>
        </row>
        <row r="506">
          <cell r="J506" t="str">
            <v>ACompra de ViviendaLey PreferencialResidencialNuevaApartamentoBG000000040000.01</v>
          </cell>
          <cell r="K506">
            <v>40000.01</v>
          </cell>
          <cell r="L506">
            <v>80000</v>
          </cell>
          <cell r="M506">
            <v>95</v>
          </cell>
          <cell r="N506">
            <v>30</v>
          </cell>
          <cell r="O506">
            <v>1.5</v>
          </cell>
          <cell r="P506">
            <v>8.56</v>
          </cell>
        </row>
        <row r="507">
          <cell r="J507" t="str">
            <v>ACompra de ViviendaLey PreferencialResidencialNuevaApartamentoBG000000080000.01</v>
          </cell>
          <cell r="K507">
            <v>80000.009999999995</v>
          </cell>
          <cell r="L507">
            <v>120000</v>
          </cell>
          <cell r="M507">
            <v>95</v>
          </cell>
          <cell r="N507">
            <v>30</v>
          </cell>
          <cell r="O507">
            <v>1.5</v>
          </cell>
          <cell r="P507">
            <v>8.56</v>
          </cell>
        </row>
        <row r="508">
          <cell r="J508" t="str">
            <v>ACompra de ViviendaLey PreferencialResidencialNuevaApartamentoCOPA000000030000.00</v>
          </cell>
          <cell r="K508">
            <v>30000</v>
          </cell>
          <cell r="L508">
            <v>40000</v>
          </cell>
          <cell r="M508">
            <v>95</v>
          </cell>
          <cell r="N508">
            <v>30</v>
          </cell>
          <cell r="O508">
            <v>0</v>
          </cell>
          <cell r="P508">
            <v>4.28</v>
          </cell>
        </row>
        <row r="509">
          <cell r="J509" t="str">
            <v>ACompra de ViviendaLey PreferencialResidencialNuevaApartamentoCOPA000000040000.01</v>
          </cell>
          <cell r="K509">
            <v>40000.01</v>
          </cell>
          <cell r="L509">
            <v>80000</v>
          </cell>
          <cell r="M509">
            <v>95</v>
          </cell>
          <cell r="N509">
            <v>30</v>
          </cell>
          <cell r="O509">
            <v>1.5</v>
          </cell>
          <cell r="P509">
            <v>4.28</v>
          </cell>
        </row>
        <row r="510">
          <cell r="J510" t="str">
            <v>ACompra de ViviendaLey PreferencialResidencialNuevaApartamentoCOPA000000080000.01</v>
          </cell>
          <cell r="K510">
            <v>80000.009999999995</v>
          </cell>
          <cell r="L510">
            <v>120000</v>
          </cell>
          <cell r="M510">
            <v>95</v>
          </cell>
          <cell r="N510">
            <v>30</v>
          </cell>
          <cell r="O510">
            <v>1.5</v>
          </cell>
          <cell r="P510">
            <v>4.28</v>
          </cell>
        </row>
        <row r="511">
          <cell r="J511" t="str">
            <v>ACompra de ViviendaLey PreferencialResidencialNuevaApartamentoFERIA000000030000.00</v>
          </cell>
          <cell r="K511">
            <v>30000</v>
          </cell>
          <cell r="L511">
            <v>40000</v>
          </cell>
          <cell r="M511">
            <v>95</v>
          </cell>
          <cell r="N511">
            <v>30</v>
          </cell>
          <cell r="O511">
            <v>0</v>
          </cell>
          <cell r="P511">
            <v>4.28</v>
          </cell>
        </row>
        <row r="512">
          <cell r="J512" t="str">
            <v>ACompra de ViviendaLey PreferencialResidencialNuevaApartamentoFERIA000000040000.01</v>
          </cell>
          <cell r="K512">
            <v>40000.01</v>
          </cell>
          <cell r="L512">
            <v>80000</v>
          </cell>
          <cell r="M512">
            <v>95</v>
          </cell>
          <cell r="N512">
            <v>30</v>
          </cell>
          <cell r="O512">
            <v>1.5</v>
          </cell>
          <cell r="P512">
            <v>4.28</v>
          </cell>
        </row>
        <row r="513">
          <cell r="J513" t="str">
            <v>ACompra de ViviendaLey PreferencialResidencialNuevaApartamentoFERIA000000080000.01</v>
          </cell>
          <cell r="K513">
            <v>80000.009999999995</v>
          </cell>
          <cell r="L513">
            <v>120000</v>
          </cell>
          <cell r="M513">
            <v>95</v>
          </cell>
          <cell r="N513">
            <v>30</v>
          </cell>
          <cell r="O513">
            <v>1.5</v>
          </cell>
          <cell r="P513">
            <v>4.28</v>
          </cell>
        </row>
        <row r="514">
          <cell r="J514" t="str">
            <v>ACompra de ViviendaLey PreferencialResidencialNuevaCasaBG000000000000.00</v>
          </cell>
          <cell r="O514">
            <v>0</v>
          </cell>
          <cell r="P514">
            <v>8.56</v>
          </cell>
        </row>
        <row r="515">
          <cell r="J515" t="str">
            <v>ACompra de ViviendaLey PreferencialResidencialNuevaCasaBG000000018000.00</v>
          </cell>
          <cell r="K515">
            <v>18000</v>
          </cell>
          <cell r="L515">
            <v>40000</v>
          </cell>
          <cell r="M515">
            <v>98</v>
          </cell>
          <cell r="N515">
            <v>30</v>
          </cell>
          <cell r="O515">
            <v>0</v>
          </cell>
          <cell r="P515">
            <v>8.56</v>
          </cell>
        </row>
        <row r="516">
          <cell r="J516" t="str">
            <v>ACompra de ViviendaLey PreferencialResidencialNuevaCasaBG000000040000.01</v>
          </cell>
          <cell r="K516">
            <v>40000.01</v>
          </cell>
          <cell r="L516">
            <v>80000</v>
          </cell>
          <cell r="M516">
            <v>98</v>
          </cell>
          <cell r="N516">
            <v>30</v>
          </cell>
          <cell r="O516">
            <v>1.5</v>
          </cell>
          <cell r="P516">
            <v>8.56</v>
          </cell>
        </row>
        <row r="517">
          <cell r="J517" t="str">
            <v>ACompra de ViviendaLey PreferencialResidencialNuevaCasaBG000000080000.01</v>
          </cell>
          <cell r="K517">
            <v>80000.009999999995</v>
          </cell>
          <cell r="L517">
            <v>120000</v>
          </cell>
          <cell r="M517">
            <v>98</v>
          </cell>
          <cell r="N517">
            <v>30</v>
          </cell>
          <cell r="O517">
            <v>1.5</v>
          </cell>
          <cell r="P517">
            <v>8.56</v>
          </cell>
        </row>
        <row r="518">
          <cell r="J518" t="str">
            <v>ACompra de ViviendaLey PreferencialResidencialNuevaCasaCOPA000000018000.00</v>
          </cell>
          <cell r="K518">
            <v>18000</v>
          </cell>
          <cell r="L518">
            <v>40000</v>
          </cell>
          <cell r="M518">
            <v>98</v>
          </cell>
          <cell r="N518">
            <v>30</v>
          </cell>
          <cell r="O518">
            <v>0</v>
          </cell>
          <cell r="P518">
            <v>4.28</v>
          </cell>
        </row>
        <row r="519">
          <cell r="J519" t="str">
            <v>ACompra de ViviendaLey PreferencialResidencialNuevaCasaCOPA000000040000.01</v>
          </cell>
          <cell r="K519">
            <v>40000.01</v>
          </cell>
          <cell r="L519">
            <v>80000</v>
          </cell>
          <cell r="M519">
            <v>98</v>
          </cell>
          <cell r="N519">
            <v>30</v>
          </cell>
          <cell r="O519">
            <v>1.5</v>
          </cell>
          <cell r="P519">
            <v>4.28</v>
          </cell>
        </row>
        <row r="520">
          <cell r="J520" t="str">
            <v>ACompra de ViviendaLey PreferencialResidencialNuevaCasaCOPA000000080000.01</v>
          </cell>
          <cell r="K520">
            <v>80000.009999999995</v>
          </cell>
          <cell r="L520">
            <v>120000</v>
          </cell>
          <cell r="M520">
            <v>98</v>
          </cell>
          <cell r="N520">
            <v>30</v>
          </cell>
          <cell r="O520">
            <v>1.5</v>
          </cell>
          <cell r="P520">
            <v>4.28</v>
          </cell>
        </row>
        <row r="521">
          <cell r="J521" t="str">
            <v>ACompra de ViviendaLey PreferencialResidencialNuevaCasaFERIA000000018000.00</v>
          </cell>
          <cell r="K521">
            <v>18000</v>
          </cell>
          <cell r="L521">
            <v>40000</v>
          </cell>
          <cell r="M521">
            <v>98</v>
          </cell>
          <cell r="N521">
            <v>30</v>
          </cell>
          <cell r="O521">
            <v>0</v>
          </cell>
          <cell r="P521">
            <v>4.28</v>
          </cell>
        </row>
        <row r="522">
          <cell r="J522" t="str">
            <v>ACompra de ViviendaLey PreferencialResidencialNuevaCasaFERIA000000040000.01</v>
          </cell>
          <cell r="K522">
            <v>40000.01</v>
          </cell>
          <cell r="L522">
            <v>80000</v>
          </cell>
          <cell r="M522">
            <v>98</v>
          </cell>
          <cell r="N522">
            <v>30</v>
          </cell>
          <cell r="O522">
            <v>1.5</v>
          </cell>
          <cell r="P522">
            <v>4.28</v>
          </cell>
        </row>
        <row r="523">
          <cell r="J523" t="str">
            <v>ACompra de ViviendaLey PreferencialResidencialNuevaCasaFERIA000000080000.01</v>
          </cell>
          <cell r="K523">
            <v>80000.009999999995</v>
          </cell>
          <cell r="L523">
            <v>120000</v>
          </cell>
          <cell r="M523">
            <v>98</v>
          </cell>
          <cell r="N523">
            <v>30</v>
          </cell>
          <cell r="O523">
            <v>1.5</v>
          </cell>
          <cell r="P523">
            <v>4.28</v>
          </cell>
        </row>
        <row r="524">
          <cell r="J524" t="str">
            <v>ACompra Venta de AccionesCasco AntiguoResidencialNuevaApartamentoBG000000030000.00</v>
          </cell>
          <cell r="K524">
            <v>30000</v>
          </cell>
          <cell r="L524">
            <v>99999999</v>
          </cell>
          <cell r="M524">
            <v>80</v>
          </cell>
          <cell r="N524">
            <v>30</v>
          </cell>
          <cell r="O524">
            <v>3.25</v>
          </cell>
          <cell r="P524">
            <v>4.28</v>
          </cell>
        </row>
        <row r="525">
          <cell r="J525" t="str">
            <v>ACompra Venta de AccionesCasco AntiguoResidencialNuevaCasaBG000000030000.00</v>
          </cell>
          <cell r="K525">
            <v>30000</v>
          </cell>
          <cell r="L525">
            <v>99999999</v>
          </cell>
          <cell r="M525">
            <v>80</v>
          </cell>
          <cell r="N525">
            <v>30</v>
          </cell>
          <cell r="O525">
            <v>3.25</v>
          </cell>
          <cell r="P525">
            <v>4.28</v>
          </cell>
        </row>
        <row r="526">
          <cell r="J526" t="str">
            <v>ACompra Venta de AccionesCasco AntiguoResidencialUsadaApartamentoBG000000030000.00</v>
          </cell>
          <cell r="K526">
            <v>30000</v>
          </cell>
          <cell r="L526">
            <v>99999999</v>
          </cell>
          <cell r="M526">
            <v>80</v>
          </cell>
          <cell r="N526">
            <v>30</v>
          </cell>
          <cell r="O526">
            <v>3.25</v>
          </cell>
          <cell r="P526">
            <v>4.28</v>
          </cell>
        </row>
        <row r="527">
          <cell r="J527" t="str">
            <v>ACompra Venta de AccionesCasco AntiguoResidencialUsadaCasaBG000000030000.00</v>
          </cell>
          <cell r="K527">
            <v>30000</v>
          </cell>
          <cell r="L527">
            <v>99999999</v>
          </cell>
          <cell r="M527">
            <v>80</v>
          </cell>
          <cell r="N527">
            <v>30</v>
          </cell>
          <cell r="O527">
            <v>3.25</v>
          </cell>
          <cell r="P527">
            <v>4.28</v>
          </cell>
        </row>
        <row r="528">
          <cell r="J528" t="str">
            <v>ACompra Venta de AccionesIndividualResidencialNuevaApartamentoBG000000030000.00</v>
          </cell>
          <cell r="K528">
            <v>30000</v>
          </cell>
          <cell r="L528">
            <v>100000</v>
          </cell>
          <cell r="M528">
            <v>95</v>
          </cell>
          <cell r="N528">
            <v>30</v>
          </cell>
          <cell r="O528">
            <v>5</v>
          </cell>
          <cell r="P528">
            <v>0</v>
          </cell>
        </row>
        <row r="529">
          <cell r="J529" t="str">
            <v>ACompra Venta de AccionesIndividualResidencialNuevaApartamentoBG000000100000.01</v>
          </cell>
          <cell r="K529">
            <v>100000.01</v>
          </cell>
          <cell r="L529">
            <v>250000</v>
          </cell>
          <cell r="M529">
            <v>90</v>
          </cell>
          <cell r="N529">
            <v>30</v>
          </cell>
          <cell r="O529">
            <v>5</v>
          </cell>
          <cell r="P529">
            <v>0</v>
          </cell>
        </row>
        <row r="530">
          <cell r="J530" t="str">
            <v>ACompra Venta de AccionesIndividualResidencialNuevaApartamentoBG000000250000.01</v>
          </cell>
          <cell r="K530">
            <v>250000.01</v>
          </cell>
          <cell r="L530">
            <v>600000</v>
          </cell>
          <cell r="M530">
            <v>80</v>
          </cell>
          <cell r="N530">
            <v>30</v>
          </cell>
          <cell r="O530">
            <v>5</v>
          </cell>
          <cell r="P530">
            <v>0</v>
          </cell>
        </row>
        <row r="531">
          <cell r="J531" t="str">
            <v>ACompra Venta de AccionesIndividualResidencialNuevaApartamentoBG000000600000.01</v>
          </cell>
          <cell r="K531">
            <v>600000.01</v>
          </cell>
          <cell r="L531">
            <v>99999999</v>
          </cell>
          <cell r="M531">
            <v>70</v>
          </cell>
          <cell r="N531">
            <v>30</v>
          </cell>
          <cell r="O531">
            <v>5</v>
          </cell>
          <cell r="P531">
            <v>0</v>
          </cell>
        </row>
        <row r="532">
          <cell r="J532" t="str">
            <v>ACompra Venta de AccionesIndividualResidencialNuevaCasaBG000000018000.00</v>
          </cell>
          <cell r="K532">
            <v>18000</v>
          </cell>
          <cell r="L532">
            <v>100000</v>
          </cell>
          <cell r="M532">
            <v>95</v>
          </cell>
          <cell r="N532">
            <v>30</v>
          </cell>
          <cell r="O532">
            <v>5</v>
          </cell>
          <cell r="P532">
            <v>0</v>
          </cell>
        </row>
        <row r="533">
          <cell r="J533" t="str">
            <v>ACompra Venta de AccionesIndividualResidencialNuevaCasaBG000000100000.01</v>
          </cell>
          <cell r="K533">
            <v>100000.01</v>
          </cell>
          <cell r="L533">
            <v>250000</v>
          </cell>
          <cell r="M533">
            <v>90</v>
          </cell>
          <cell r="N533">
            <v>30</v>
          </cell>
          <cell r="O533">
            <v>5</v>
          </cell>
          <cell r="P533">
            <v>0</v>
          </cell>
        </row>
        <row r="534">
          <cell r="J534" t="str">
            <v>ACompra Venta de AccionesIndividualResidencialNuevaCasaBG000000250000.01</v>
          </cell>
          <cell r="K534">
            <v>250000.01</v>
          </cell>
          <cell r="L534">
            <v>600000</v>
          </cell>
          <cell r="M534">
            <v>80</v>
          </cell>
          <cell r="N534">
            <v>30</v>
          </cell>
          <cell r="O534">
            <v>5</v>
          </cell>
          <cell r="P534">
            <v>0</v>
          </cell>
        </row>
        <row r="535">
          <cell r="J535" t="str">
            <v>ACompra Venta de AccionesIndividualResidencialNuevaCasaBG000000600000.01</v>
          </cell>
          <cell r="K535">
            <v>600000.01</v>
          </cell>
          <cell r="L535">
            <v>99999999</v>
          </cell>
          <cell r="M535">
            <v>70</v>
          </cell>
          <cell r="N535">
            <v>30</v>
          </cell>
          <cell r="O535">
            <v>5</v>
          </cell>
          <cell r="P535">
            <v>0</v>
          </cell>
        </row>
        <row r="536">
          <cell r="J536" t="str">
            <v>ACompra Venta de AccionesIndividualResidencialUsadaApartamentoBG000000030000.00</v>
          </cell>
          <cell r="K536">
            <v>30000</v>
          </cell>
          <cell r="L536">
            <v>250000</v>
          </cell>
          <cell r="M536">
            <v>90</v>
          </cell>
          <cell r="N536">
            <v>25</v>
          </cell>
          <cell r="O536">
            <v>5.25</v>
          </cell>
          <cell r="P536">
            <v>0</v>
          </cell>
        </row>
        <row r="537">
          <cell r="J537" t="str">
            <v>ACompra Venta de AccionesIndividualResidencialUsadaApartamentoBG000000250000.01</v>
          </cell>
          <cell r="K537">
            <v>250000.01</v>
          </cell>
          <cell r="L537">
            <v>500000</v>
          </cell>
          <cell r="M537">
            <v>80</v>
          </cell>
          <cell r="N537">
            <v>25</v>
          </cell>
          <cell r="O537">
            <v>5</v>
          </cell>
          <cell r="P537">
            <v>0</v>
          </cell>
        </row>
        <row r="538">
          <cell r="J538" t="str">
            <v>ACompra Venta de AccionesIndividualResidencialUsadaApartamentoBG000000500000.01</v>
          </cell>
          <cell r="K538">
            <v>500000.01</v>
          </cell>
          <cell r="L538">
            <v>99999999</v>
          </cell>
          <cell r="M538">
            <v>70</v>
          </cell>
          <cell r="N538">
            <v>25</v>
          </cell>
          <cell r="O538">
            <v>5</v>
          </cell>
          <cell r="P538">
            <v>0</v>
          </cell>
        </row>
        <row r="539">
          <cell r="J539" t="str">
            <v>ACompra Venta de AccionesIndividualResidencialUsadaCasaBG000000030000.00</v>
          </cell>
          <cell r="K539">
            <v>30000</v>
          </cell>
          <cell r="L539">
            <v>250000</v>
          </cell>
          <cell r="M539">
            <v>90</v>
          </cell>
          <cell r="N539">
            <v>30</v>
          </cell>
          <cell r="O539">
            <v>5.25</v>
          </cell>
          <cell r="P539">
            <v>0</v>
          </cell>
        </row>
        <row r="540">
          <cell r="J540" t="str">
            <v>ACompra Venta de AccionesIndividualResidencialUsadaCasaBG000000250000.01</v>
          </cell>
          <cell r="K540">
            <v>250000.01</v>
          </cell>
          <cell r="L540">
            <v>500000</v>
          </cell>
          <cell r="M540">
            <v>80</v>
          </cell>
          <cell r="N540">
            <v>30</v>
          </cell>
          <cell r="O540">
            <v>5</v>
          </cell>
          <cell r="P540">
            <v>0</v>
          </cell>
        </row>
        <row r="541">
          <cell r="J541" t="str">
            <v>ACompra Venta de AccionesIndividualResidencialUsadaCasaBG000000500000.01</v>
          </cell>
          <cell r="K541">
            <v>500000.01</v>
          </cell>
          <cell r="L541">
            <v>99999999</v>
          </cell>
          <cell r="M541">
            <v>70</v>
          </cell>
          <cell r="N541">
            <v>30</v>
          </cell>
          <cell r="O541">
            <v>5</v>
          </cell>
          <cell r="P541">
            <v>0</v>
          </cell>
        </row>
        <row r="542">
          <cell r="J542" t="str">
            <v>ACompra Vivienda VacacionalIndividualResidencialUsadaApartamentoBG000000030000.00</v>
          </cell>
          <cell r="K542">
            <v>30000</v>
          </cell>
          <cell r="L542">
            <v>250000</v>
          </cell>
          <cell r="M542">
            <v>90</v>
          </cell>
          <cell r="N542">
            <v>30</v>
          </cell>
          <cell r="O542">
            <v>6.5</v>
          </cell>
          <cell r="P542">
            <v>0</v>
          </cell>
        </row>
        <row r="543">
          <cell r="J543" t="str">
            <v>ACompra Vivienda VacacionalIndividualResidencialUsadaApartamentoBG000000250000.01</v>
          </cell>
          <cell r="K543">
            <v>250000.01</v>
          </cell>
          <cell r="L543">
            <v>500000</v>
          </cell>
          <cell r="M543">
            <v>80</v>
          </cell>
          <cell r="N543">
            <v>30</v>
          </cell>
          <cell r="O543">
            <v>6.5</v>
          </cell>
          <cell r="P543">
            <v>0</v>
          </cell>
        </row>
        <row r="544">
          <cell r="J544" t="str">
            <v>ACompra Vivienda VacacionalIndividualResidencialUsadaApartamentoBG000000500000.01</v>
          </cell>
          <cell r="K544">
            <v>500000.01</v>
          </cell>
          <cell r="L544">
            <v>99999999</v>
          </cell>
          <cell r="M544">
            <v>70</v>
          </cell>
          <cell r="N544">
            <v>30</v>
          </cell>
          <cell r="O544">
            <v>6.5</v>
          </cell>
          <cell r="P544">
            <v>0</v>
          </cell>
        </row>
        <row r="545">
          <cell r="J545" t="str">
            <v>ACompra Vivienda VacacionalIndividualResidencialUsadaApartamentoCOPA000000030000.00</v>
          </cell>
          <cell r="K545">
            <v>30000</v>
          </cell>
          <cell r="L545">
            <v>250000</v>
          </cell>
          <cell r="M545">
            <v>90</v>
          </cell>
          <cell r="N545">
            <v>30</v>
          </cell>
          <cell r="O545">
            <v>6.5</v>
          </cell>
          <cell r="P545">
            <v>0</v>
          </cell>
        </row>
        <row r="546">
          <cell r="J546" t="str">
            <v>ACompra Vivienda VacacionalIndividualResidencialUsadaApartamentoCOPA000000250000.01</v>
          </cell>
          <cell r="K546">
            <v>250000.01</v>
          </cell>
          <cell r="L546">
            <v>500000</v>
          </cell>
          <cell r="M546">
            <v>80</v>
          </cell>
          <cell r="N546">
            <v>30</v>
          </cell>
          <cell r="O546">
            <v>6.5</v>
          </cell>
          <cell r="P546">
            <v>0</v>
          </cell>
        </row>
        <row r="547">
          <cell r="J547" t="str">
            <v>ACompra Vivienda VacacionalIndividualResidencialUsadaApartamentoCOPA000000500000.01</v>
          </cell>
          <cell r="K547">
            <v>500000.01</v>
          </cell>
          <cell r="L547">
            <v>99999999</v>
          </cell>
          <cell r="M547">
            <v>70</v>
          </cell>
          <cell r="N547">
            <v>30</v>
          </cell>
          <cell r="O547">
            <v>6.5</v>
          </cell>
          <cell r="P547">
            <v>0</v>
          </cell>
        </row>
        <row r="548">
          <cell r="J548" t="str">
            <v>ACompra Vivienda VacacionalIndividualResidencialUsadaApartamentoFERIA000000030000.00</v>
          </cell>
          <cell r="K548">
            <v>30000</v>
          </cell>
          <cell r="L548">
            <v>250000</v>
          </cell>
          <cell r="M548">
            <v>90</v>
          </cell>
          <cell r="N548">
            <v>30</v>
          </cell>
          <cell r="O548">
            <v>6.5</v>
          </cell>
          <cell r="P548">
            <v>0</v>
          </cell>
        </row>
        <row r="549">
          <cell r="J549" t="str">
            <v>ACompra Vivienda VacacionalIndividualResidencialUsadaApartamentoFERIA000000250000.01</v>
          </cell>
          <cell r="K549">
            <v>250000.01</v>
          </cell>
          <cell r="L549">
            <v>500000</v>
          </cell>
          <cell r="M549">
            <v>80</v>
          </cell>
          <cell r="N549">
            <v>30</v>
          </cell>
          <cell r="O549">
            <v>6.5</v>
          </cell>
          <cell r="P549">
            <v>0</v>
          </cell>
        </row>
        <row r="550">
          <cell r="J550" t="str">
            <v>ACompra Vivienda VacacionalIndividualResidencialUsadaApartamentoFERIA000000500000.01</v>
          </cell>
          <cell r="K550">
            <v>500000.01</v>
          </cell>
          <cell r="L550">
            <v>99999999</v>
          </cell>
          <cell r="M550">
            <v>70</v>
          </cell>
          <cell r="N550">
            <v>30</v>
          </cell>
          <cell r="O550">
            <v>6.5</v>
          </cell>
          <cell r="P550">
            <v>0</v>
          </cell>
        </row>
        <row r="551">
          <cell r="J551" t="str">
            <v>ACompra Vivienda VacacionalIndividualVacacionalNuevaApartamentoBG000000050000.00</v>
          </cell>
          <cell r="K551">
            <v>50000</v>
          </cell>
          <cell r="L551">
            <v>99999999</v>
          </cell>
          <cell r="M551">
            <v>70</v>
          </cell>
          <cell r="N551">
            <v>20</v>
          </cell>
          <cell r="O551">
            <v>6.5</v>
          </cell>
          <cell r="P551">
            <v>0</v>
          </cell>
        </row>
        <row r="552">
          <cell r="J552" t="str">
            <v>ACompra Vivienda VacacionalIndividualVacacionalNuevaApartamentoCOPA000000050000.00</v>
          </cell>
          <cell r="K552">
            <v>50000</v>
          </cell>
          <cell r="L552">
            <v>99999999</v>
          </cell>
          <cell r="M552">
            <v>70</v>
          </cell>
          <cell r="N552">
            <v>20</v>
          </cell>
          <cell r="O552">
            <v>6.5</v>
          </cell>
          <cell r="P552">
            <v>0</v>
          </cell>
        </row>
        <row r="553">
          <cell r="J553" t="str">
            <v>ACompra Vivienda VacacionalIndividualVacacionalNuevaApartamentoFERIA000000050000.00</v>
          </cell>
          <cell r="K553">
            <v>50000</v>
          </cell>
          <cell r="L553">
            <v>99999999</v>
          </cell>
          <cell r="M553">
            <v>70</v>
          </cell>
          <cell r="N553">
            <v>20</v>
          </cell>
          <cell r="O553">
            <v>6.5</v>
          </cell>
          <cell r="P553">
            <v>0</v>
          </cell>
        </row>
        <row r="554">
          <cell r="J554" t="str">
            <v>ACompra Vivienda VacacionalIndividualVacacionalNuevaCasaBG000000050000.00</v>
          </cell>
          <cell r="K554">
            <v>50000</v>
          </cell>
          <cell r="L554">
            <v>99999999</v>
          </cell>
          <cell r="M554">
            <v>70</v>
          </cell>
          <cell r="N554">
            <v>20</v>
          </cell>
          <cell r="O554">
            <v>6.5</v>
          </cell>
          <cell r="P554">
            <v>0</v>
          </cell>
        </row>
        <row r="555">
          <cell r="J555" t="str">
            <v>ACompra Vivienda VacacionalIndividualVacacionalNuevaCasaCOPA000000050000.00</v>
          </cell>
          <cell r="K555">
            <v>50000</v>
          </cell>
          <cell r="L555">
            <v>99999999</v>
          </cell>
          <cell r="M555">
            <v>70</v>
          </cell>
          <cell r="N555">
            <v>20</v>
          </cell>
          <cell r="O555">
            <v>6.5</v>
          </cell>
          <cell r="P555">
            <v>0</v>
          </cell>
        </row>
        <row r="556">
          <cell r="J556" t="str">
            <v>ACompra Vivienda VacacionalIndividualVacacionalNuevaCasaFERIA000000050000.00</v>
          </cell>
          <cell r="K556">
            <v>50000</v>
          </cell>
          <cell r="L556">
            <v>99999999</v>
          </cell>
          <cell r="M556">
            <v>70</v>
          </cell>
          <cell r="N556">
            <v>20</v>
          </cell>
          <cell r="O556">
            <v>6.5</v>
          </cell>
          <cell r="P556">
            <v>0</v>
          </cell>
        </row>
        <row r="557">
          <cell r="J557" t="str">
            <v>ACompra Vivienda VacacionalIndividualVacacionalUsadaApartamentoBG000000050000.00</v>
          </cell>
          <cell r="K557">
            <v>50000</v>
          </cell>
          <cell r="L557">
            <v>99999999</v>
          </cell>
          <cell r="M557">
            <v>70</v>
          </cell>
          <cell r="N557">
            <v>20</v>
          </cell>
          <cell r="O557">
            <v>6.5</v>
          </cell>
          <cell r="P557">
            <v>0</v>
          </cell>
        </row>
        <row r="558">
          <cell r="J558" t="str">
            <v>ACompra Vivienda VacacionalIndividualVacacionalUsadaApartamentoCOPA000000050000.00</v>
          </cell>
          <cell r="K558">
            <v>50000</v>
          </cell>
          <cell r="L558">
            <v>99999999</v>
          </cell>
          <cell r="M558">
            <v>70</v>
          </cell>
          <cell r="N558">
            <v>20</v>
          </cell>
          <cell r="O558">
            <v>6.5</v>
          </cell>
          <cell r="P558">
            <v>0</v>
          </cell>
        </row>
        <row r="559">
          <cell r="J559" t="str">
            <v>ACompra Vivienda VacacionalIndividualVacacionalUsadaApartamentoFERIA000000050000.00</v>
          </cell>
          <cell r="K559">
            <v>50000</v>
          </cell>
          <cell r="L559">
            <v>99999999</v>
          </cell>
          <cell r="M559">
            <v>70</v>
          </cell>
          <cell r="N559">
            <v>20</v>
          </cell>
          <cell r="O559">
            <v>6.5</v>
          </cell>
          <cell r="P559">
            <v>0</v>
          </cell>
        </row>
        <row r="560">
          <cell r="J560" t="str">
            <v>ACompra Vivienda VacacionalIndividualVacacionalUsadaCasaBG000000050000.00</v>
          </cell>
          <cell r="K560">
            <v>50000</v>
          </cell>
          <cell r="L560">
            <v>99999999</v>
          </cell>
          <cell r="M560">
            <v>70</v>
          </cell>
          <cell r="N560">
            <v>20</v>
          </cell>
          <cell r="O560">
            <v>6.5</v>
          </cell>
          <cell r="P560">
            <v>0</v>
          </cell>
        </row>
        <row r="561">
          <cell r="J561" t="str">
            <v>ACompra Vivienda VacacionalIndividualVacacionalUsadaCasaCOPA000000050000.00</v>
          </cell>
          <cell r="K561">
            <v>50000</v>
          </cell>
          <cell r="L561">
            <v>99999999</v>
          </cell>
          <cell r="M561">
            <v>70</v>
          </cell>
          <cell r="N561">
            <v>20</v>
          </cell>
          <cell r="O561">
            <v>6.5</v>
          </cell>
          <cell r="P561">
            <v>0</v>
          </cell>
        </row>
        <row r="562">
          <cell r="J562" t="str">
            <v>ACompra Vivienda VacacionalIndividualVacacionalUsadaCasaFERIA000000050000.00</v>
          </cell>
          <cell r="K562">
            <v>50000</v>
          </cell>
          <cell r="L562">
            <v>99999999</v>
          </cell>
          <cell r="M562">
            <v>70</v>
          </cell>
          <cell r="N562">
            <v>20</v>
          </cell>
          <cell r="O562">
            <v>6.5</v>
          </cell>
          <cell r="P562">
            <v>0</v>
          </cell>
        </row>
        <row r="563">
          <cell r="J563" t="str">
            <v>AConstrucciónIndividualInterinoNuevaApartamentoBG000000100000.00</v>
          </cell>
          <cell r="K563">
            <v>100000</v>
          </cell>
          <cell r="L563">
            <v>99999999</v>
          </cell>
          <cell r="M563">
            <v>90</v>
          </cell>
          <cell r="N563">
            <v>30</v>
          </cell>
          <cell r="O563">
            <v>6</v>
          </cell>
          <cell r="P563">
            <v>0</v>
          </cell>
        </row>
        <row r="564">
          <cell r="J564" t="str">
            <v>AConstrucciónIndividualInterinoNuevaApartamentoCOPA000000100000.00</v>
          </cell>
          <cell r="K564">
            <v>100000</v>
          </cell>
          <cell r="L564">
            <v>99999999</v>
          </cell>
          <cell r="M564">
            <v>90</v>
          </cell>
          <cell r="N564">
            <v>30</v>
          </cell>
          <cell r="O564">
            <v>6</v>
          </cell>
          <cell r="P564">
            <v>0</v>
          </cell>
        </row>
        <row r="565">
          <cell r="J565" t="str">
            <v>AConstrucciónIndividualInterinoNuevaApartamentoFERIA000000100000.00</v>
          </cell>
          <cell r="K565">
            <v>100000</v>
          </cell>
          <cell r="L565">
            <v>99999999</v>
          </cell>
          <cell r="M565">
            <v>90</v>
          </cell>
          <cell r="N565">
            <v>30</v>
          </cell>
          <cell r="O565">
            <v>6</v>
          </cell>
          <cell r="P565">
            <v>0</v>
          </cell>
        </row>
        <row r="566">
          <cell r="J566" t="str">
            <v>AConstrucciónIndividualInterinoNuevaCasaBG000000100000.00</v>
          </cell>
          <cell r="K566">
            <v>100000</v>
          </cell>
          <cell r="L566">
            <v>99999999</v>
          </cell>
          <cell r="M566">
            <v>90</v>
          </cell>
          <cell r="N566">
            <v>30</v>
          </cell>
          <cell r="O566">
            <v>6</v>
          </cell>
          <cell r="P566">
            <v>0</v>
          </cell>
        </row>
        <row r="567">
          <cell r="J567" t="str">
            <v>AConstrucciónIndividualInterinoNuevaCasaCOPA000000100000.00</v>
          </cell>
          <cell r="K567">
            <v>100000</v>
          </cell>
          <cell r="L567">
            <v>99999999</v>
          </cell>
          <cell r="M567">
            <v>90</v>
          </cell>
          <cell r="N567">
            <v>30</v>
          </cell>
          <cell r="O567">
            <v>6</v>
          </cell>
          <cell r="P567">
            <v>0</v>
          </cell>
        </row>
        <row r="568">
          <cell r="J568" t="str">
            <v>AConstrucciónIndividualInterinoNuevaCasaFERIA000000100000.00</v>
          </cell>
          <cell r="K568">
            <v>100000</v>
          </cell>
          <cell r="L568">
            <v>99999999</v>
          </cell>
          <cell r="M568">
            <v>90</v>
          </cell>
          <cell r="N568">
            <v>30</v>
          </cell>
          <cell r="O568">
            <v>6</v>
          </cell>
          <cell r="P568">
            <v>0</v>
          </cell>
        </row>
        <row r="569">
          <cell r="J569" t="str">
            <v>AConstrucciónLey PreferencialInterinoNuevaApartamentoBG000000080000.01</v>
          </cell>
          <cell r="K569">
            <v>80000.009999999995</v>
          </cell>
          <cell r="L569">
            <v>120000</v>
          </cell>
          <cell r="M569">
            <v>90</v>
          </cell>
          <cell r="N569">
            <v>30</v>
          </cell>
          <cell r="O569">
            <v>6</v>
          </cell>
          <cell r="P569">
            <v>4.28</v>
          </cell>
        </row>
        <row r="570">
          <cell r="J570" t="str">
            <v>AConstrucciónLey PreferencialInterinoNuevaApartamentoCOPA000000080000.01</v>
          </cell>
          <cell r="K570">
            <v>80000.009999999995</v>
          </cell>
          <cell r="L570">
            <v>120000</v>
          </cell>
          <cell r="M570">
            <v>90</v>
          </cell>
          <cell r="N570">
            <v>30</v>
          </cell>
          <cell r="O570">
            <v>6</v>
          </cell>
          <cell r="P570">
            <v>4.28</v>
          </cell>
        </row>
        <row r="571">
          <cell r="J571" t="str">
            <v>AConstrucciónLey PreferencialInterinoNuevaApartamentoFERIA000000080000.01</v>
          </cell>
          <cell r="K571">
            <v>80000.009999999995</v>
          </cell>
          <cell r="L571">
            <v>120000</v>
          </cell>
          <cell r="M571">
            <v>90</v>
          </cell>
          <cell r="N571">
            <v>30</v>
          </cell>
          <cell r="O571">
            <v>6</v>
          </cell>
          <cell r="P571">
            <v>4.28</v>
          </cell>
        </row>
        <row r="572">
          <cell r="J572" t="str">
            <v>AConstrucciónLey PreferencialInterinoNuevaCasaBG000000080000.01</v>
          </cell>
          <cell r="K572">
            <v>80000.009999999995</v>
          </cell>
          <cell r="L572">
            <v>120000</v>
          </cell>
          <cell r="M572">
            <v>90</v>
          </cell>
          <cell r="N572">
            <v>30</v>
          </cell>
          <cell r="O572">
            <v>6</v>
          </cell>
          <cell r="P572">
            <v>4.28</v>
          </cell>
        </row>
        <row r="573">
          <cell r="J573" t="str">
            <v>AConstrucciónLey PreferencialInterinoNuevaCasaCOPA000000080000.01</v>
          </cell>
          <cell r="K573">
            <v>80000.009999999995</v>
          </cell>
          <cell r="L573">
            <v>120000</v>
          </cell>
          <cell r="M573">
            <v>90</v>
          </cell>
          <cell r="N573">
            <v>30</v>
          </cell>
          <cell r="O573">
            <v>6</v>
          </cell>
          <cell r="P573">
            <v>4.28</v>
          </cell>
        </row>
        <row r="574">
          <cell r="J574" t="str">
            <v>AConstrucciónLey PreferencialInterinoNuevaCasaFERIA000000080000.01</v>
          </cell>
          <cell r="K574">
            <v>80000.009999999995</v>
          </cell>
          <cell r="L574">
            <v>120000</v>
          </cell>
          <cell r="M574">
            <v>90</v>
          </cell>
          <cell r="N574">
            <v>30</v>
          </cell>
          <cell r="O574">
            <v>6</v>
          </cell>
          <cell r="P574">
            <v>4.28</v>
          </cell>
        </row>
        <row r="575">
          <cell r="J575" t="str">
            <v>AExtensión de PlazoIndividualResidencialUsadaApartamentoBG000000005000.00</v>
          </cell>
          <cell r="K575">
            <v>5000</v>
          </cell>
          <cell r="L575">
            <v>50000000</v>
          </cell>
          <cell r="M575">
            <v>100</v>
          </cell>
          <cell r="N575">
            <v>30</v>
          </cell>
          <cell r="O575">
            <v>0</v>
          </cell>
          <cell r="P575">
            <v>0</v>
          </cell>
        </row>
        <row r="576">
          <cell r="J576" t="str">
            <v>AExtensión de PlazoIndividualResidencialUsadaApartamentoCOPA000000005000.00</v>
          </cell>
          <cell r="K576">
            <v>5000</v>
          </cell>
          <cell r="L576">
            <v>50000000</v>
          </cell>
          <cell r="M576">
            <v>100</v>
          </cell>
          <cell r="N576">
            <v>30</v>
          </cell>
          <cell r="O576">
            <v>0</v>
          </cell>
          <cell r="P576">
            <v>0</v>
          </cell>
        </row>
        <row r="577">
          <cell r="J577" t="str">
            <v>AExtensión de PlazoIndividualResidencialUsadaApartamentoFERIA000000005000.00</v>
          </cell>
          <cell r="K577">
            <v>5000</v>
          </cell>
          <cell r="L577">
            <v>50000000</v>
          </cell>
          <cell r="M577">
            <v>100</v>
          </cell>
          <cell r="N577">
            <v>30</v>
          </cell>
          <cell r="O577">
            <v>0</v>
          </cell>
          <cell r="P577">
            <v>0</v>
          </cell>
        </row>
        <row r="578">
          <cell r="J578" t="str">
            <v>AExtensión de PlazoIndividualResidencialUsadaCasaBG000000005000.00</v>
          </cell>
          <cell r="K578">
            <v>5000</v>
          </cell>
          <cell r="L578">
            <v>50000000</v>
          </cell>
          <cell r="M578">
            <v>100</v>
          </cell>
          <cell r="N578">
            <v>30</v>
          </cell>
          <cell r="O578">
            <v>0</v>
          </cell>
          <cell r="P578">
            <v>0</v>
          </cell>
        </row>
        <row r="579">
          <cell r="J579" t="str">
            <v>AExtensión de PlazoIndividualResidencialUsadaCasaCOPA000000005000.00</v>
          </cell>
          <cell r="K579">
            <v>5000</v>
          </cell>
          <cell r="L579">
            <v>50000000</v>
          </cell>
          <cell r="M579">
            <v>100</v>
          </cell>
          <cell r="N579">
            <v>30</v>
          </cell>
          <cell r="O579">
            <v>0</v>
          </cell>
          <cell r="P579">
            <v>0</v>
          </cell>
        </row>
        <row r="580">
          <cell r="J580" t="str">
            <v>AExtensión de PlazoIndividualResidencialUsadaCasaFERIA000000005000.00</v>
          </cell>
          <cell r="K580">
            <v>5000</v>
          </cell>
          <cell r="L580">
            <v>50000000</v>
          </cell>
          <cell r="M580">
            <v>100</v>
          </cell>
          <cell r="N580">
            <v>30</v>
          </cell>
          <cell r="O580">
            <v>0</v>
          </cell>
          <cell r="P580">
            <v>0</v>
          </cell>
        </row>
        <row r="581">
          <cell r="J581" t="str">
            <v>AExtensión de PlazoLey PreferencialResidencialUsadaApartamentoBG000000005000.00</v>
          </cell>
          <cell r="K581">
            <v>5000</v>
          </cell>
          <cell r="L581">
            <v>120000</v>
          </cell>
          <cell r="M581">
            <v>100</v>
          </cell>
          <cell r="N581">
            <v>30</v>
          </cell>
          <cell r="O581">
            <v>0</v>
          </cell>
          <cell r="P581">
            <v>4.28</v>
          </cell>
        </row>
        <row r="582">
          <cell r="J582" t="str">
            <v>AExtensión de PlazoLey PreferencialResidencialUsadaApartamentoCOPA000000005000.00</v>
          </cell>
          <cell r="K582">
            <v>5000</v>
          </cell>
          <cell r="L582">
            <v>120000</v>
          </cell>
          <cell r="M582">
            <v>100</v>
          </cell>
          <cell r="N582">
            <v>30</v>
          </cell>
          <cell r="O582">
            <v>0</v>
          </cell>
          <cell r="P582">
            <v>4.28</v>
          </cell>
        </row>
        <row r="583">
          <cell r="J583" t="str">
            <v>AExtensión de PlazoLey PreferencialResidencialUsadaApartamentoFERIA000000005000.00</v>
          </cell>
          <cell r="K583">
            <v>5000</v>
          </cell>
          <cell r="L583">
            <v>120000</v>
          </cell>
          <cell r="M583">
            <v>100</v>
          </cell>
          <cell r="N583">
            <v>30</v>
          </cell>
          <cell r="O583">
            <v>0</v>
          </cell>
          <cell r="P583">
            <v>4.28</v>
          </cell>
        </row>
        <row r="584">
          <cell r="J584" t="str">
            <v>AExtensión de PlazoLey PreferencialResidencialUsadaCasaBG000000005000.00</v>
          </cell>
          <cell r="K584">
            <v>5000</v>
          </cell>
          <cell r="L584">
            <v>120000</v>
          </cell>
          <cell r="M584">
            <v>100</v>
          </cell>
          <cell r="N584">
            <v>30</v>
          </cell>
          <cell r="O584">
            <v>0</v>
          </cell>
          <cell r="P584">
            <v>4.28</v>
          </cell>
        </row>
        <row r="585">
          <cell r="J585" t="str">
            <v>AExtensión de PlazoLey PreferencialResidencialUsadaCasaCOPA000000005000.00</v>
          </cell>
          <cell r="K585">
            <v>5000</v>
          </cell>
          <cell r="L585">
            <v>120000</v>
          </cell>
          <cell r="M585">
            <v>100</v>
          </cell>
          <cell r="N585">
            <v>30</v>
          </cell>
          <cell r="O585">
            <v>0</v>
          </cell>
          <cell r="P585">
            <v>4.28</v>
          </cell>
        </row>
        <row r="586">
          <cell r="J586" t="str">
            <v>AExtensión de PlazoLey PreferencialResidencialUsadaCasaFERIA000000005000.00</v>
          </cell>
          <cell r="K586">
            <v>5000</v>
          </cell>
          <cell r="L586">
            <v>120000</v>
          </cell>
          <cell r="M586">
            <v>100</v>
          </cell>
          <cell r="N586">
            <v>30</v>
          </cell>
          <cell r="O586">
            <v>0</v>
          </cell>
          <cell r="P586">
            <v>4.28</v>
          </cell>
        </row>
        <row r="587">
          <cell r="J587" t="str">
            <v>ATraspaso de Otro BancoIndividualResidencialUsadaApartamentoBG000000030000.00</v>
          </cell>
          <cell r="K587">
            <v>30000</v>
          </cell>
          <cell r="L587">
            <v>250000</v>
          </cell>
          <cell r="M587">
            <v>90</v>
          </cell>
          <cell r="N587">
            <v>30</v>
          </cell>
          <cell r="O587">
            <v>5.25</v>
          </cell>
          <cell r="P587">
            <v>0</v>
          </cell>
        </row>
        <row r="588">
          <cell r="J588" t="str">
            <v>ATraspaso de Otro BancoIndividualResidencialUsadaApartamentoBG000000250000.01</v>
          </cell>
          <cell r="K588">
            <v>250000.01</v>
          </cell>
          <cell r="L588">
            <v>500000</v>
          </cell>
          <cell r="M588">
            <v>80</v>
          </cell>
          <cell r="N588">
            <v>30</v>
          </cell>
          <cell r="O588">
            <v>5</v>
          </cell>
          <cell r="P588">
            <v>0</v>
          </cell>
        </row>
        <row r="589">
          <cell r="J589" t="str">
            <v>ATraspaso de Otro BancoIndividualResidencialUsadaApartamentoBG000000500000.01</v>
          </cell>
          <cell r="K589">
            <v>500000.01</v>
          </cell>
          <cell r="L589">
            <v>99999999</v>
          </cell>
          <cell r="M589">
            <v>70</v>
          </cell>
          <cell r="N589">
            <v>30</v>
          </cell>
          <cell r="O589">
            <v>5</v>
          </cell>
          <cell r="P589">
            <v>0</v>
          </cell>
        </row>
        <row r="590">
          <cell r="J590" t="str">
            <v>ATraspaso de Otro BancoIndividualResidencialUsadaApartamentoCOPA000000030000.00</v>
          </cell>
          <cell r="K590">
            <v>30000</v>
          </cell>
          <cell r="L590">
            <v>250000</v>
          </cell>
          <cell r="M590">
            <v>90</v>
          </cell>
          <cell r="N590">
            <v>30</v>
          </cell>
          <cell r="O590">
            <v>5.25</v>
          </cell>
          <cell r="P590">
            <v>0</v>
          </cell>
        </row>
        <row r="591">
          <cell r="J591" t="str">
            <v>ATraspaso de Otro BancoIndividualResidencialUsadaApartamentoCOPA000000250000.01</v>
          </cell>
          <cell r="K591">
            <v>250000.01</v>
          </cell>
          <cell r="L591">
            <v>500000</v>
          </cell>
          <cell r="M591">
            <v>80</v>
          </cell>
          <cell r="N591">
            <v>30</v>
          </cell>
          <cell r="O591">
            <v>5</v>
          </cell>
          <cell r="P591">
            <v>0</v>
          </cell>
        </row>
        <row r="592">
          <cell r="J592" t="str">
            <v>ATraspaso de Otro BancoIndividualResidencialUsadaApartamentoCOPA000000500000.01</v>
          </cell>
          <cell r="K592">
            <v>500000.01</v>
          </cell>
          <cell r="L592">
            <v>99999999</v>
          </cell>
          <cell r="M592">
            <v>70</v>
          </cell>
          <cell r="N592">
            <v>30</v>
          </cell>
          <cell r="O592">
            <v>5</v>
          </cell>
          <cell r="P592">
            <v>0</v>
          </cell>
        </row>
        <row r="593">
          <cell r="J593" t="str">
            <v>ATraspaso de Otro BancoIndividualResidencialUsadaApartamentoFERIA000000040000.00</v>
          </cell>
          <cell r="K593">
            <v>40000</v>
          </cell>
          <cell r="L593">
            <v>200000</v>
          </cell>
          <cell r="M593">
            <v>90</v>
          </cell>
          <cell r="N593">
            <v>30</v>
          </cell>
          <cell r="O593">
            <v>5.25</v>
          </cell>
          <cell r="P593">
            <v>0</v>
          </cell>
        </row>
        <row r="594">
          <cell r="J594" t="str">
            <v>ATraspaso de Otro BancoIndividualResidencialUsadaApartamentoFERIA000000200000.01</v>
          </cell>
          <cell r="K594">
            <v>200000.01</v>
          </cell>
          <cell r="L594">
            <v>99999999</v>
          </cell>
          <cell r="M594">
            <v>80</v>
          </cell>
          <cell r="N594">
            <v>30</v>
          </cell>
          <cell r="O594">
            <v>5</v>
          </cell>
          <cell r="P594">
            <v>0</v>
          </cell>
        </row>
        <row r="595">
          <cell r="J595" t="str">
            <v>ATraspaso de Otro BancoIndividualResidencialUsadaApartamentoFERIA000000500000.01</v>
          </cell>
          <cell r="K595">
            <v>500000.01</v>
          </cell>
          <cell r="L595">
            <v>99999999</v>
          </cell>
          <cell r="M595">
            <v>70</v>
          </cell>
          <cell r="N595">
            <v>30</v>
          </cell>
          <cell r="O595">
            <v>5</v>
          </cell>
          <cell r="P595">
            <v>0</v>
          </cell>
        </row>
        <row r="596">
          <cell r="J596" t="str">
            <v>ATraspaso de Otro BancoIndividualResidencialUsadaCasaBG000000030000.00</v>
          </cell>
          <cell r="K596">
            <v>30000</v>
          </cell>
          <cell r="L596">
            <v>250000</v>
          </cell>
          <cell r="M596">
            <v>90</v>
          </cell>
          <cell r="N596">
            <v>30</v>
          </cell>
          <cell r="O596">
            <v>5.25</v>
          </cell>
          <cell r="P596">
            <v>0</v>
          </cell>
        </row>
        <row r="597">
          <cell r="J597" t="str">
            <v>ATraspaso de Otro BancoIndividualResidencialUsadaCasaBG000000250000.01</v>
          </cell>
          <cell r="K597">
            <v>250000.01</v>
          </cell>
          <cell r="L597">
            <v>500000</v>
          </cell>
          <cell r="M597">
            <v>80</v>
          </cell>
          <cell r="N597">
            <v>30</v>
          </cell>
          <cell r="O597">
            <v>5</v>
          </cell>
          <cell r="P597">
            <v>0</v>
          </cell>
        </row>
        <row r="598">
          <cell r="J598" t="str">
            <v>ATraspaso de Otro BancoIndividualResidencialUsadaCasaBG000000500000.01</v>
          </cell>
          <cell r="K598">
            <v>500000.01</v>
          </cell>
          <cell r="L598">
            <v>99999999</v>
          </cell>
          <cell r="M598">
            <v>70</v>
          </cell>
          <cell r="N598">
            <v>30</v>
          </cell>
          <cell r="O598">
            <v>5</v>
          </cell>
          <cell r="P598">
            <v>0</v>
          </cell>
        </row>
        <row r="599">
          <cell r="J599" t="str">
            <v>ATraspaso de Otro BancoIndividualResidencialUsadaCasaCOPA000000030000.00</v>
          </cell>
          <cell r="K599">
            <v>30000</v>
          </cell>
          <cell r="L599">
            <v>250000</v>
          </cell>
          <cell r="M599">
            <v>90</v>
          </cell>
          <cell r="N599">
            <v>30</v>
          </cell>
          <cell r="O599">
            <v>5.25</v>
          </cell>
          <cell r="P599">
            <v>0</v>
          </cell>
        </row>
        <row r="600">
          <cell r="J600" t="str">
            <v>ATraspaso de Otro BancoIndividualResidencialUsadaCasaCOPA000000250000.01</v>
          </cell>
          <cell r="K600">
            <v>250000.01</v>
          </cell>
          <cell r="L600">
            <v>500000</v>
          </cell>
          <cell r="M600">
            <v>80</v>
          </cell>
          <cell r="N600">
            <v>30</v>
          </cell>
          <cell r="O600">
            <v>5</v>
          </cell>
          <cell r="P600">
            <v>0</v>
          </cell>
        </row>
        <row r="601">
          <cell r="J601" t="str">
            <v>ATraspaso de Otro BancoIndividualResidencialUsadaCasaCOPA000000500000.01</v>
          </cell>
          <cell r="K601">
            <v>500000.01</v>
          </cell>
          <cell r="L601">
            <v>99999999</v>
          </cell>
          <cell r="M601">
            <v>70</v>
          </cell>
          <cell r="N601">
            <v>30</v>
          </cell>
          <cell r="O601">
            <v>5</v>
          </cell>
          <cell r="P601">
            <v>0</v>
          </cell>
        </row>
        <row r="602">
          <cell r="J602" t="str">
            <v>ATraspaso de Otro BancoIndividualResidencialUsadaCasaFERIA000000040000.00</v>
          </cell>
          <cell r="K602">
            <v>40000</v>
          </cell>
          <cell r="L602">
            <v>200000</v>
          </cell>
          <cell r="M602">
            <v>90</v>
          </cell>
          <cell r="N602">
            <v>30</v>
          </cell>
          <cell r="O602">
            <v>5.25</v>
          </cell>
          <cell r="P602">
            <v>0</v>
          </cell>
        </row>
        <row r="603">
          <cell r="J603" t="str">
            <v>ATraspaso de Otro BancoIndividualResidencialUsadaCasaFERIA000000200000.01</v>
          </cell>
          <cell r="K603">
            <v>200000.01</v>
          </cell>
          <cell r="L603">
            <v>99999999</v>
          </cell>
          <cell r="M603">
            <v>80</v>
          </cell>
          <cell r="N603">
            <v>30</v>
          </cell>
          <cell r="O603">
            <v>5</v>
          </cell>
          <cell r="P603">
            <v>0</v>
          </cell>
        </row>
        <row r="604">
          <cell r="J604" t="str">
            <v>ATraspaso de Otro BancoIndividualResidencialUsadaCasaFERIA000000500000.01</v>
          </cell>
          <cell r="K604">
            <v>500000.01</v>
          </cell>
          <cell r="L604">
            <v>99999999</v>
          </cell>
          <cell r="M604">
            <v>70</v>
          </cell>
          <cell r="N604">
            <v>30</v>
          </cell>
          <cell r="O604">
            <v>5</v>
          </cell>
          <cell r="P604">
            <v>0</v>
          </cell>
        </row>
        <row r="605">
          <cell r="J605" t="str">
            <v>ATraspaso por compra de vivienda (Ley Preferencial en BG)Ley PreferencialResidencialUsadaApartamentoBG000000030000.00</v>
          </cell>
          <cell r="K605">
            <v>30000</v>
          </cell>
          <cell r="L605">
            <v>40000</v>
          </cell>
          <cell r="M605">
            <v>95</v>
          </cell>
          <cell r="N605">
            <v>30</v>
          </cell>
          <cell r="O605">
            <v>0</v>
          </cell>
          <cell r="P605">
            <v>8.56</v>
          </cell>
        </row>
        <row r="606">
          <cell r="J606" t="str">
            <v>ATraspaso por compra de vivienda (Ley Preferencial en BG)Ley PreferencialResidencialUsadaApartamentoBG000000040000.01</v>
          </cell>
          <cell r="K606">
            <v>40000.01</v>
          </cell>
          <cell r="L606">
            <v>80000</v>
          </cell>
          <cell r="M606">
            <v>95</v>
          </cell>
          <cell r="N606">
            <v>30</v>
          </cell>
          <cell r="O606">
            <v>1.5</v>
          </cell>
          <cell r="P606">
            <v>8.56</v>
          </cell>
        </row>
        <row r="607">
          <cell r="J607" t="str">
            <v>ATraspaso por compra de vivienda (Ley Preferencial en BG)Ley PreferencialResidencialUsadaApartamentoBG000000080000.01</v>
          </cell>
          <cell r="K607">
            <v>80000.009999999995</v>
          </cell>
          <cell r="L607">
            <v>120000</v>
          </cell>
          <cell r="M607">
            <v>95</v>
          </cell>
          <cell r="N607">
            <v>30</v>
          </cell>
          <cell r="O607">
            <v>1.5</v>
          </cell>
          <cell r="P607">
            <v>8.56</v>
          </cell>
        </row>
        <row r="608">
          <cell r="J608" t="str">
            <v>ATraspaso por compra de vivienda (Ley Preferencial en BG)Ley PreferencialResidencialUsadaApartamentoCOPA000000030000.00</v>
          </cell>
          <cell r="K608">
            <v>30000</v>
          </cell>
          <cell r="L608">
            <v>40000</v>
          </cell>
          <cell r="M608">
            <v>95</v>
          </cell>
          <cell r="N608">
            <v>30</v>
          </cell>
          <cell r="O608">
            <v>0</v>
          </cell>
          <cell r="P608">
            <v>4.28</v>
          </cell>
        </row>
        <row r="609">
          <cell r="J609" t="str">
            <v>ATraspaso por compra de vivienda (Ley Preferencial en BG)Ley PreferencialResidencialUsadaApartamentoCOPA000000040000.01</v>
          </cell>
          <cell r="K609">
            <v>40000.01</v>
          </cell>
          <cell r="L609">
            <v>80000</v>
          </cell>
          <cell r="M609">
            <v>95</v>
          </cell>
          <cell r="N609">
            <v>30</v>
          </cell>
          <cell r="O609">
            <v>1.5</v>
          </cell>
          <cell r="P609">
            <v>4.28</v>
          </cell>
        </row>
        <row r="610">
          <cell r="J610" t="str">
            <v>ATraspaso por compra de vivienda (Ley Preferencial en BG)Ley PreferencialResidencialUsadaApartamentoCOPA000000080000.01</v>
          </cell>
          <cell r="K610">
            <v>80000.009999999995</v>
          </cell>
          <cell r="L610">
            <v>120000</v>
          </cell>
          <cell r="M610">
            <v>95</v>
          </cell>
          <cell r="N610">
            <v>30</v>
          </cell>
          <cell r="O610">
            <v>1.5</v>
          </cell>
          <cell r="P610">
            <v>4.28</v>
          </cell>
        </row>
        <row r="611">
          <cell r="J611" t="str">
            <v>ATraspaso por compra de vivienda (Ley Preferencial en BG)Ley PreferencialResidencialUsadaApartamentoFERIA000000030000.00</v>
          </cell>
          <cell r="K611">
            <v>30000</v>
          </cell>
          <cell r="L611">
            <v>40000</v>
          </cell>
          <cell r="M611">
            <v>95</v>
          </cell>
          <cell r="N611">
            <v>30</v>
          </cell>
          <cell r="O611">
            <v>0</v>
          </cell>
          <cell r="P611">
            <v>4.28</v>
          </cell>
        </row>
        <row r="612">
          <cell r="J612" t="str">
            <v>ATraspaso por compra de vivienda (Ley Preferencial en BG)Ley PreferencialResidencialUsadaApartamentoFERIA000000040000.01</v>
          </cell>
          <cell r="K612">
            <v>40000.01</v>
          </cell>
          <cell r="L612">
            <v>80000</v>
          </cell>
          <cell r="M612">
            <v>95</v>
          </cell>
          <cell r="N612">
            <v>30</v>
          </cell>
          <cell r="O612">
            <v>1.5</v>
          </cell>
          <cell r="P612">
            <v>4.28</v>
          </cell>
        </row>
        <row r="613">
          <cell r="J613" t="str">
            <v>ATraspaso por compra de vivienda (Ley Preferencial en BG)Ley PreferencialResidencialUsadaApartamentoFERIA000000080000.01</v>
          </cell>
          <cell r="K613">
            <v>80000.009999999995</v>
          </cell>
          <cell r="L613">
            <v>120000</v>
          </cell>
          <cell r="M613">
            <v>95</v>
          </cell>
          <cell r="N613">
            <v>30</v>
          </cell>
          <cell r="O613">
            <v>1.5</v>
          </cell>
          <cell r="P613">
            <v>4.28</v>
          </cell>
        </row>
        <row r="614">
          <cell r="J614" t="str">
            <v>ATraspaso por compra de vivienda (Ley Preferencial en BG)Ley PreferencialResidencialUsadaCasaBG000000018000.00</v>
          </cell>
          <cell r="K614">
            <v>18000</v>
          </cell>
          <cell r="L614">
            <v>40000</v>
          </cell>
          <cell r="M614">
            <v>98</v>
          </cell>
          <cell r="N614">
            <v>30</v>
          </cell>
          <cell r="O614">
            <v>0</v>
          </cell>
          <cell r="P614">
            <v>8.56</v>
          </cell>
        </row>
        <row r="615">
          <cell r="J615" t="str">
            <v>ATraspaso por compra de vivienda (Ley Preferencial en BG)Ley PreferencialResidencialUsadaCasaBG000000030000.01</v>
          </cell>
          <cell r="K615">
            <v>30000.01</v>
          </cell>
          <cell r="L615">
            <v>80000</v>
          </cell>
          <cell r="M615">
            <v>98</v>
          </cell>
          <cell r="N615">
            <v>30</v>
          </cell>
          <cell r="O615">
            <v>1.5</v>
          </cell>
          <cell r="P615">
            <v>8.56</v>
          </cell>
        </row>
        <row r="616">
          <cell r="J616" t="str">
            <v>ATraspaso por compra de vivienda (Ley Preferencial en BG)Ley PreferencialResidencialUsadaCasaBG000000080000.01</v>
          </cell>
          <cell r="K616">
            <v>80000.009999999995</v>
          </cell>
          <cell r="L616">
            <v>120000</v>
          </cell>
          <cell r="M616">
            <v>98</v>
          </cell>
          <cell r="N616">
            <v>30</v>
          </cell>
          <cell r="O616">
            <v>1.5</v>
          </cell>
          <cell r="P616">
            <v>8.56</v>
          </cell>
        </row>
        <row r="617">
          <cell r="J617" t="str">
            <v>ATraspaso por compra de vivienda (Ley Preferencial en BG)Ley PreferencialResidencialUsadaCasaCOPA000000018000.00</v>
          </cell>
          <cell r="K617">
            <v>18000</v>
          </cell>
          <cell r="L617">
            <v>40000</v>
          </cell>
          <cell r="M617">
            <v>98</v>
          </cell>
          <cell r="N617">
            <v>30</v>
          </cell>
          <cell r="O617">
            <v>0</v>
          </cell>
          <cell r="P617">
            <v>4.28</v>
          </cell>
        </row>
        <row r="618">
          <cell r="J618" t="str">
            <v>ATraspaso por compra de vivienda (Ley Preferencial en BG)Ley PreferencialResidencialUsadaCasaCOPA000000030000.01</v>
          </cell>
          <cell r="K618">
            <v>30000.01</v>
          </cell>
          <cell r="L618">
            <v>80000</v>
          </cell>
          <cell r="M618">
            <v>98</v>
          </cell>
          <cell r="N618">
            <v>30</v>
          </cell>
          <cell r="O618">
            <v>1.5</v>
          </cell>
          <cell r="P618">
            <v>4.28</v>
          </cell>
        </row>
        <row r="619">
          <cell r="J619" t="str">
            <v>ATraspaso por compra de vivienda (Ley Preferencial en BG)Ley PreferencialResidencialUsadaCasaCOPA000000080000.01</v>
          </cell>
          <cell r="K619">
            <v>80000.009999999995</v>
          </cell>
          <cell r="L619">
            <v>120000</v>
          </cell>
          <cell r="M619">
            <v>98</v>
          </cell>
          <cell r="N619">
            <v>30</v>
          </cell>
          <cell r="O619">
            <v>1.5</v>
          </cell>
          <cell r="P619">
            <v>4.28</v>
          </cell>
        </row>
        <row r="620">
          <cell r="J620" t="str">
            <v>ATraspaso por compra de vivienda (Ley Preferencial en BG)Ley PreferencialResidencialUsadaCasaFERIA000000018000.00</v>
          </cell>
          <cell r="K620">
            <v>18000</v>
          </cell>
          <cell r="L620">
            <v>40000</v>
          </cell>
          <cell r="M620">
            <v>98</v>
          </cell>
          <cell r="N620">
            <v>30</v>
          </cell>
          <cell r="O620">
            <v>0</v>
          </cell>
          <cell r="P620">
            <v>4.28</v>
          </cell>
        </row>
        <row r="621">
          <cell r="J621" t="str">
            <v>ATraspaso por compra de vivienda (Ley Preferencial en BG)Ley PreferencialResidencialUsadaCasaFERIA000000030000.01</v>
          </cell>
          <cell r="K621">
            <v>30000.01</v>
          </cell>
          <cell r="L621">
            <v>80000</v>
          </cell>
          <cell r="M621">
            <v>98</v>
          </cell>
          <cell r="N621">
            <v>30</v>
          </cell>
          <cell r="O621">
            <v>1.5</v>
          </cell>
          <cell r="P621">
            <v>4.28</v>
          </cell>
        </row>
        <row r="622">
          <cell r="J622" t="str">
            <v>ATraspaso por compra de vivienda (Ley Preferencial en BG)Ley PreferencialResidencialUsadaCasaFERIA000000080000.01</v>
          </cell>
          <cell r="K622">
            <v>80000.009999999995</v>
          </cell>
          <cell r="L622">
            <v>120000</v>
          </cell>
          <cell r="M622">
            <v>98</v>
          </cell>
          <cell r="N622">
            <v>30</v>
          </cell>
          <cell r="O622">
            <v>1.5</v>
          </cell>
          <cell r="P622">
            <v>4.28</v>
          </cell>
        </row>
        <row r="623">
          <cell r="J623" t="str">
            <v>BCompra de ViviendaCasco AntiguoResidencialNuevaApartamentoBG000000030000.00</v>
          </cell>
          <cell r="K623">
            <v>30000</v>
          </cell>
          <cell r="L623">
            <v>99999999</v>
          </cell>
          <cell r="M623">
            <v>80</v>
          </cell>
          <cell r="N623">
            <v>30</v>
          </cell>
          <cell r="O623">
            <v>3.25</v>
          </cell>
          <cell r="P623">
            <v>8.56</v>
          </cell>
        </row>
        <row r="624">
          <cell r="J624" t="str">
            <v>BCompra de ViviendaCasco AntiguoResidencialNuevaApartamentoCOPA000000030000.00</v>
          </cell>
          <cell r="K624">
            <v>30000</v>
          </cell>
          <cell r="L624">
            <v>99999999</v>
          </cell>
          <cell r="M624">
            <v>80</v>
          </cell>
          <cell r="N624">
            <v>30</v>
          </cell>
          <cell r="O624">
            <v>3.25</v>
          </cell>
          <cell r="P624">
            <v>4.28</v>
          </cell>
        </row>
        <row r="625">
          <cell r="J625" t="str">
            <v>BCompra de ViviendaCasco AntiguoResidencialNuevaApartamentoFERIA000000030000.00</v>
          </cell>
          <cell r="K625">
            <v>30000</v>
          </cell>
          <cell r="L625">
            <v>99999999</v>
          </cell>
          <cell r="M625">
            <v>80</v>
          </cell>
          <cell r="N625">
            <v>30</v>
          </cell>
          <cell r="O625">
            <v>3.25</v>
          </cell>
          <cell r="P625">
            <v>4.28</v>
          </cell>
        </row>
        <row r="626">
          <cell r="J626" t="str">
            <v>BCompra de ViviendaCasco AntiguoResidencialNuevaCasaBG000000030000.00</v>
          </cell>
          <cell r="K626">
            <v>30000</v>
          </cell>
          <cell r="L626">
            <v>99999999</v>
          </cell>
          <cell r="M626">
            <v>80</v>
          </cell>
          <cell r="N626">
            <v>30</v>
          </cell>
          <cell r="O626">
            <v>3.25</v>
          </cell>
          <cell r="P626">
            <v>8.56</v>
          </cell>
        </row>
        <row r="627">
          <cell r="J627" t="str">
            <v>BCompra de ViviendaCasco AntiguoResidencialNuevaCasaCOPA000000030000.00</v>
          </cell>
          <cell r="K627">
            <v>30000</v>
          </cell>
          <cell r="L627">
            <v>99999999</v>
          </cell>
          <cell r="M627">
            <v>80</v>
          </cell>
          <cell r="N627">
            <v>30</v>
          </cell>
          <cell r="O627">
            <v>3.25</v>
          </cell>
          <cell r="P627">
            <v>4.28</v>
          </cell>
        </row>
        <row r="628">
          <cell r="J628" t="str">
            <v>BCompra de ViviendaCasco AntiguoResidencialNuevaCasaFERIA000000030000.00</v>
          </cell>
          <cell r="K628">
            <v>30000</v>
          </cell>
          <cell r="L628">
            <v>99999999</v>
          </cell>
          <cell r="M628">
            <v>80</v>
          </cell>
          <cell r="N628">
            <v>30</v>
          </cell>
          <cell r="O628">
            <v>3.25</v>
          </cell>
          <cell r="P628">
            <v>4.28</v>
          </cell>
        </row>
        <row r="629">
          <cell r="J629" t="str">
            <v>BCompra de ViviendaCasco AntiguoResidencialUsadaApartamentoBG000000030000.00</v>
          </cell>
          <cell r="K629">
            <v>30000</v>
          </cell>
          <cell r="L629">
            <v>99999999</v>
          </cell>
          <cell r="M629">
            <v>80</v>
          </cell>
          <cell r="N629">
            <v>30</v>
          </cell>
          <cell r="O629">
            <v>3.25</v>
          </cell>
          <cell r="P629">
            <v>8.56</v>
          </cell>
        </row>
        <row r="630">
          <cell r="J630" t="str">
            <v>BCompra de ViviendaCasco AntiguoResidencialUsadaApartamentoCOPA000000030000.00</v>
          </cell>
          <cell r="K630">
            <v>30000</v>
          </cell>
          <cell r="L630">
            <v>99999999</v>
          </cell>
          <cell r="M630">
            <v>80</v>
          </cell>
          <cell r="N630">
            <v>30</v>
          </cell>
          <cell r="O630">
            <v>3.25</v>
          </cell>
          <cell r="P630">
            <v>4.28</v>
          </cell>
        </row>
        <row r="631">
          <cell r="J631" t="str">
            <v>BCompra de ViviendaCasco AntiguoResidencialUsadaApartamentoFERIA000000030000.00</v>
          </cell>
          <cell r="K631">
            <v>30000</v>
          </cell>
          <cell r="L631">
            <v>99999999</v>
          </cell>
          <cell r="M631">
            <v>80</v>
          </cell>
          <cell r="N631">
            <v>30</v>
          </cell>
          <cell r="O631">
            <v>3.25</v>
          </cell>
          <cell r="P631">
            <v>4.28</v>
          </cell>
        </row>
        <row r="632">
          <cell r="J632" t="str">
            <v>BCompra de ViviendaCasco AntiguoResidencialUsadaCasaBG000000030000.00</v>
          </cell>
          <cell r="K632">
            <v>30000</v>
          </cell>
          <cell r="L632">
            <v>99999999</v>
          </cell>
          <cell r="M632">
            <v>80</v>
          </cell>
          <cell r="N632">
            <v>30</v>
          </cell>
          <cell r="O632">
            <v>3.25</v>
          </cell>
          <cell r="P632">
            <v>8.56</v>
          </cell>
        </row>
        <row r="633">
          <cell r="J633" t="str">
            <v>BCompra de ViviendaCasco AntiguoResidencialUsadaCasaCOPA000000030000.00</v>
          </cell>
          <cell r="K633">
            <v>30000</v>
          </cell>
          <cell r="L633">
            <v>99999999</v>
          </cell>
          <cell r="M633">
            <v>80</v>
          </cell>
          <cell r="N633">
            <v>30</v>
          </cell>
          <cell r="O633">
            <v>3.25</v>
          </cell>
          <cell r="P633">
            <v>4.28</v>
          </cell>
        </row>
        <row r="634">
          <cell r="J634" t="str">
            <v>BCompra de ViviendaCasco AntiguoResidencialUsadaCasaFERIA000000030000.00</v>
          </cell>
          <cell r="K634">
            <v>30000</v>
          </cell>
          <cell r="L634">
            <v>99999999</v>
          </cell>
          <cell r="M634">
            <v>80</v>
          </cell>
          <cell r="N634">
            <v>30</v>
          </cell>
          <cell r="O634">
            <v>3.25</v>
          </cell>
          <cell r="P634">
            <v>4.28</v>
          </cell>
        </row>
        <row r="635">
          <cell r="J635" t="str">
            <v>BCompra de ViviendaIndividualReposeídoUsadaApartamentoBG000000030000.00</v>
          </cell>
          <cell r="K635">
            <v>30000</v>
          </cell>
          <cell r="L635">
            <v>250000</v>
          </cell>
          <cell r="M635">
            <v>80</v>
          </cell>
          <cell r="N635">
            <v>30</v>
          </cell>
          <cell r="O635">
            <v>6.5</v>
          </cell>
          <cell r="P635">
            <v>0</v>
          </cell>
        </row>
        <row r="636">
          <cell r="J636" t="str">
            <v>BCompra de ViviendaIndividualReposeídoUsadaApartamentoBG000000250000.01</v>
          </cell>
          <cell r="K636">
            <v>250000.01</v>
          </cell>
          <cell r="L636">
            <v>500000</v>
          </cell>
          <cell r="M636">
            <v>80</v>
          </cell>
          <cell r="N636">
            <v>30</v>
          </cell>
          <cell r="O636">
            <v>6.5</v>
          </cell>
          <cell r="P636">
            <v>0</v>
          </cell>
        </row>
        <row r="637">
          <cell r="J637" t="str">
            <v>BCompra de ViviendaIndividualReposeídoUsadaApartamentoBG000000500000.01</v>
          </cell>
          <cell r="K637">
            <v>500000.01</v>
          </cell>
          <cell r="L637">
            <v>99999999</v>
          </cell>
          <cell r="M637">
            <v>80</v>
          </cell>
          <cell r="N637">
            <v>30</v>
          </cell>
          <cell r="O637">
            <v>6.5</v>
          </cell>
          <cell r="P637">
            <v>0</v>
          </cell>
        </row>
        <row r="638">
          <cell r="J638" t="str">
            <v>BCompra de ViviendaIndividualReposeídoUsadaApartamentoCOPA000000030000.00</v>
          </cell>
          <cell r="K638">
            <v>30000</v>
          </cell>
          <cell r="L638">
            <v>250000</v>
          </cell>
          <cell r="M638">
            <v>80</v>
          </cell>
          <cell r="N638">
            <v>30</v>
          </cell>
          <cell r="O638">
            <v>6.5</v>
          </cell>
          <cell r="P638">
            <v>0</v>
          </cell>
        </row>
        <row r="639">
          <cell r="J639" t="str">
            <v>BCompra de ViviendaIndividualReposeídoUsadaApartamentoCOPA000000250000.01</v>
          </cell>
          <cell r="K639">
            <v>250000.01</v>
          </cell>
          <cell r="L639">
            <v>500000</v>
          </cell>
          <cell r="M639">
            <v>80</v>
          </cell>
          <cell r="N639">
            <v>30</v>
          </cell>
          <cell r="O639">
            <v>6.5</v>
          </cell>
          <cell r="P639">
            <v>0</v>
          </cell>
        </row>
        <row r="640">
          <cell r="J640" t="str">
            <v>BCompra de ViviendaIndividualReposeídoUsadaApartamentoCOPA000000500000.01</v>
          </cell>
          <cell r="K640">
            <v>500000.01</v>
          </cell>
          <cell r="L640">
            <v>99999999</v>
          </cell>
          <cell r="M640">
            <v>80</v>
          </cell>
          <cell r="N640">
            <v>30</v>
          </cell>
          <cell r="O640">
            <v>6.5</v>
          </cell>
          <cell r="P640">
            <v>0</v>
          </cell>
        </row>
        <row r="641">
          <cell r="J641" t="str">
            <v>BCompra de ViviendaIndividualReposeídoUsadaApartamentoFERIA000000030000.00</v>
          </cell>
          <cell r="K641">
            <v>30000</v>
          </cell>
          <cell r="L641">
            <v>250000</v>
          </cell>
          <cell r="M641">
            <v>80</v>
          </cell>
          <cell r="N641">
            <v>30</v>
          </cell>
          <cell r="O641">
            <v>6.5</v>
          </cell>
          <cell r="P641">
            <v>0</v>
          </cell>
        </row>
        <row r="642">
          <cell r="J642" t="str">
            <v>BCompra de ViviendaIndividualReposeídoUsadaApartamentoFERIA000000250000.01</v>
          </cell>
          <cell r="K642">
            <v>250000.01</v>
          </cell>
          <cell r="L642">
            <v>500000</v>
          </cell>
          <cell r="M642">
            <v>80</v>
          </cell>
          <cell r="N642">
            <v>30</v>
          </cell>
          <cell r="O642">
            <v>6.5</v>
          </cell>
          <cell r="P642">
            <v>0</v>
          </cell>
        </row>
        <row r="643">
          <cell r="J643" t="str">
            <v>BCompra de ViviendaIndividualReposeídoUsadaApartamentoFERIA000000500000.01</v>
          </cell>
          <cell r="K643">
            <v>500000.01</v>
          </cell>
          <cell r="L643">
            <v>99999999</v>
          </cell>
          <cell r="M643">
            <v>80</v>
          </cell>
          <cell r="N643">
            <v>30</v>
          </cell>
          <cell r="O643">
            <v>6.5</v>
          </cell>
          <cell r="P643">
            <v>0</v>
          </cell>
        </row>
        <row r="644">
          <cell r="J644" t="str">
            <v>BCompra de ViviendaIndividualReposeídoUsadaCasaBG000000030000.00</v>
          </cell>
          <cell r="K644">
            <v>30000</v>
          </cell>
          <cell r="L644">
            <v>250000</v>
          </cell>
          <cell r="M644">
            <v>80</v>
          </cell>
          <cell r="N644">
            <v>30</v>
          </cell>
          <cell r="O644">
            <v>6.5</v>
          </cell>
          <cell r="P644">
            <v>0</v>
          </cell>
        </row>
        <row r="645">
          <cell r="J645" t="str">
            <v>BCompra de ViviendaIndividualReposeídoUsadaCasaBG000000250000.01</v>
          </cell>
          <cell r="K645">
            <v>250000.01</v>
          </cell>
          <cell r="L645">
            <v>500000</v>
          </cell>
          <cell r="M645">
            <v>80</v>
          </cell>
          <cell r="N645">
            <v>30</v>
          </cell>
          <cell r="O645">
            <v>6.5</v>
          </cell>
          <cell r="P645">
            <v>0</v>
          </cell>
        </row>
        <row r="646">
          <cell r="J646" t="str">
            <v>BCompra de ViviendaIndividualReposeídoUsadaCasaBG000000500000.01</v>
          </cell>
          <cell r="K646">
            <v>500000.01</v>
          </cell>
          <cell r="L646">
            <v>99999999</v>
          </cell>
          <cell r="M646">
            <v>80</v>
          </cell>
          <cell r="N646">
            <v>30</v>
          </cell>
          <cell r="O646">
            <v>6.5</v>
          </cell>
          <cell r="P646">
            <v>0</v>
          </cell>
        </row>
        <row r="647">
          <cell r="J647" t="str">
            <v>BCompra de ViviendaIndividualReposeídoUsadaCasaCOPA000000030000.00</v>
          </cell>
          <cell r="K647">
            <v>30000</v>
          </cell>
          <cell r="L647">
            <v>250000</v>
          </cell>
          <cell r="M647">
            <v>80</v>
          </cell>
          <cell r="N647">
            <v>30</v>
          </cell>
          <cell r="O647">
            <v>6.5</v>
          </cell>
          <cell r="P647">
            <v>0</v>
          </cell>
        </row>
        <row r="648">
          <cell r="J648" t="str">
            <v>BCompra de ViviendaIndividualReposeídoUsadaCasaCOPA000000250000.01</v>
          </cell>
          <cell r="K648">
            <v>250000.01</v>
          </cell>
          <cell r="L648">
            <v>500000</v>
          </cell>
          <cell r="M648">
            <v>80</v>
          </cell>
          <cell r="N648">
            <v>30</v>
          </cell>
          <cell r="O648">
            <v>6.5</v>
          </cell>
          <cell r="P648">
            <v>0</v>
          </cell>
        </row>
        <row r="649">
          <cell r="J649" t="str">
            <v>BCompra de ViviendaIndividualReposeídoUsadaCasaCOPA000000500000.01</v>
          </cell>
          <cell r="K649">
            <v>500000.01</v>
          </cell>
          <cell r="L649">
            <v>99999999</v>
          </cell>
          <cell r="M649">
            <v>80</v>
          </cell>
          <cell r="N649">
            <v>30</v>
          </cell>
          <cell r="O649">
            <v>6.5</v>
          </cell>
          <cell r="P649">
            <v>0</v>
          </cell>
        </row>
        <row r="650">
          <cell r="J650" t="str">
            <v>BCompra de ViviendaIndividualReposeídoUsadaCasaFERIA000000030000.00</v>
          </cell>
          <cell r="K650">
            <v>30000</v>
          </cell>
          <cell r="L650">
            <v>250000</v>
          </cell>
          <cell r="M650">
            <v>80</v>
          </cell>
          <cell r="N650">
            <v>30</v>
          </cell>
          <cell r="O650">
            <v>6.5</v>
          </cell>
          <cell r="P650">
            <v>0</v>
          </cell>
        </row>
        <row r="651">
          <cell r="J651" t="str">
            <v>BCompra de ViviendaIndividualReposeídoUsadaCasaFERIA000000250000.01</v>
          </cell>
          <cell r="K651">
            <v>250000.01</v>
          </cell>
          <cell r="L651">
            <v>500000</v>
          </cell>
          <cell r="M651">
            <v>80</v>
          </cell>
          <cell r="N651">
            <v>30</v>
          </cell>
          <cell r="O651">
            <v>6.5</v>
          </cell>
          <cell r="P651">
            <v>0</v>
          </cell>
        </row>
        <row r="652">
          <cell r="J652" t="str">
            <v>BCompra de ViviendaIndividualReposeídoUsadaCasaFERIA000000500000.01</v>
          </cell>
          <cell r="K652">
            <v>500000.01</v>
          </cell>
          <cell r="L652">
            <v>99999999</v>
          </cell>
          <cell r="M652">
            <v>80</v>
          </cell>
          <cell r="N652">
            <v>30</v>
          </cell>
          <cell r="O652">
            <v>6.5</v>
          </cell>
          <cell r="P652">
            <v>0</v>
          </cell>
        </row>
        <row r="653">
          <cell r="J653" t="str">
            <v>BCompra de ViviendaIndividualResidencialNuevaApartamentoBG000000030000.00</v>
          </cell>
          <cell r="K653">
            <v>30000</v>
          </cell>
          <cell r="L653">
            <v>100000</v>
          </cell>
          <cell r="M653">
            <v>80</v>
          </cell>
          <cell r="N653">
            <v>30</v>
          </cell>
          <cell r="O653">
            <v>6.75</v>
          </cell>
          <cell r="P653">
            <v>0</v>
          </cell>
        </row>
        <row r="654">
          <cell r="J654" t="str">
            <v>BCompra de ViviendaIndividualResidencialNuevaApartamentoBG000000100000.01</v>
          </cell>
          <cell r="K654">
            <v>100000.01</v>
          </cell>
          <cell r="L654">
            <v>250000</v>
          </cell>
          <cell r="M654">
            <v>80</v>
          </cell>
          <cell r="N654">
            <v>30</v>
          </cell>
          <cell r="O654">
            <v>6.75</v>
          </cell>
          <cell r="P654">
            <v>0</v>
          </cell>
        </row>
        <row r="655">
          <cell r="J655" t="str">
            <v>BCompra de ViviendaIndividualResidencialNuevaApartamentoBG000000250000.01</v>
          </cell>
          <cell r="K655">
            <v>250000.01</v>
          </cell>
          <cell r="L655">
            <v>500000</v>
          </cell>
          <cell r="M655">
            <v>80</v>
          </cell>
          <cell r="N655">
            <v>30</v>
          </cell>
          <cell r="O655">
            <v>6.75</v>
          </cell>
          <cell r="P655">
            <v>0</v>
          </cell>
        </row>
        <row r="656">
          <cell r="J656" t="str">
            <v>BCompra de ViviendaIndividualResidencialNuevaApartamentoBG000000500000.01</v>
          </cell>
          <cell r="K656">
            <v>500000.01</v>
          </cell>
          <cell r="L656">
            <v>99999999</v>
          </cell>
          <cell r="M656">
            <v>80</v>
          </cell>
          <cell r="N656">
            <v>30</v>
          </cell>
          <cell r="O656">
            <v>6.75</v>
          </cell>
          <cell r="P656">
            <v>0</v>
          </cell>
        </row>
        <row r="657">
          <cell r="J657" t="str">
            <v>BCompra de ViviendaIndividualResidencialNuevaApartamentoCOPA000000030000.00</v>
          </cell>
          <cell r="K657">
            <v>30000</v>
          </cell>
          <cell r="L657">
            <v>100000</v>
          </cell>
          <cell r="M657">
            <v>80</v>
          </cell>
          <cell r="N657">
            <v>30</v>
          </cell>
          <cell r="O657">
            <v>6.75</v>
          </cell>
          <cell r="P657">
            <v>0</v>
          </cell>
        </row>
        <row r="658">
          <cell r="J658" t="str">
            <v>BCompra de ViviendaIndividualResidencialNuevaApartamentoCOPA000000100000.01</v>
          </cell>
          <cell r="K658">
            <v>100000.01</v>
          </cell>
          <cell r="L658">
            <v>250000</v>
          </cell>
          <cell r="M658">
            <v>80</v>
          </cell>
          <cell r="N658">
            <v>30</v>
          </cell>
          <cell r="O658">
            <v>6.75</v>
          </cell>
          <cell r="P658">
            <v>0</v>
          </cell>
        </row>
        <row r="659">
          <cell r="J659" t="str">
            <v>BCompra de ViviendaIndividualResidencialNuevaApartamentoCOPA000000250000.01</v>
          </cell>
          <cell r="K659">
            <v>250000.01</v>
          </cell>
          <cell r="L659">
            <v>500000</v>
          </cell>
          <cell r="M659">
            <v>80</v>
          </cell>
          <cell r="N659">
            <v>30</v>
          </cell>
          <cell r="O659">
            <v>6.75</v>
          </cell>
          <cell r="P659">
            <v>0</v>
          </cell>
        </row>
        <row r="660">
          <cell r="J660" t="str">
            <v>BCompra de ViviendaIndividualResidencialNuevaApartamentoCOPA000000500000.01</v>
          </cell>
          <cell r="K660">
            <v>500000.01</v>
          </cell>
          <cell r="L660">
            <v>99999999</v>
          </cell>
          <cell r="M660">
            <v>80</v>
          </cell>
          <cell r="N660">
            <v>30</v>
          </cell>
          <cell r="O660">
            <v>6.75</v>
          </cell>
          <cell r="P660">
            <v>0</v>
          </cell>
        </row>
        <row r="661">
          <cell r="J661" t="str">
            <v>BCompra de ViviendaIndividualResidencialNuevaApartamentoFERIA000000030000.00</v>
          </cell>
          <cell r="K661">
            <v>30000</v>
          </cell>
          <cell r="L661">
            <v>100000</v>
          </cell>
          <cell r="M661">
            <v>80</v>
          </cell>
          <cell r="N661">
            <v>30</v>
          </cell>
          <cell r="O661">
            <v>6.75</v>
          </cell>
          <cell r="P661">
            <v>0</v>
          </cell>
        </row>
        <row r="662">
          <cell r="J662" t="str">
            <v>BCompra de ViviendaIndividualResidencialNuevaApartamentoFERIA000000100000.01</v>
          </cell>
          <cell r="K662">
            <v>100000.01</v>
          </cell>
          <cell r="L662">
            <v>250000</v>
          </cell>
          <cell r="M662">
            <v>80</v>
          </cell>
          <cell r="N662">
            <v>30</v>
          </cell>
          <cell r="O662">
            <v>6.75</v>
          </cell>
          <cell r="P662">
            <v>0</v>
          </cell>
        </row>
        <row r="663">
          <cell r="J663" t="str">
            <v>BCompra de ViviendaIndividualResidencialNuevaApartamentoFERIA000000250000.01</v>
          </cell>
          <cell r="K663">
            <v>250000.01</v>
          </cell>
          <cell r="L663">
            <v>500000</v>
          </cell>
          <cell r="M663">
            <v>80</v>
          </cell>
          <cell r="N663">
            <v>30</v>
          </cell>
          <cell r="O663">
            <v>6.75</v>
          </cell>
          <cell r="P663">
            <v>0</v>
          </cell>
        </row>
        <row r="664">
          <cell r="J664" t="str">
            <v>BCompra de ViviendaIndividualResidencialNuevaApartamentoFERIA000000500000.01</v>
          </cell>
          <cell r="K664">
            <v>500000.01</v>
          </cell>
          <cell r="L664">
            <v>99999999</v>
          </cell>
          <cell r="M664">
            <v>80</v>
          </cell>
          <cell r="N664">
            <v>30</v>
          </cell>
          <cell r="O664">
            <v>6.75</v>
          </cell>
          <cell r="P664">
            <v>0</v>
          </cell>
        </row>
        <row r="665">
          <cell r="J665" t="str">
            <v>BCompra de ViviendaIndividualResidencialNuevaCasaBG000000018000.00</v>
          </cell>
          <cell r="K665">
            <v>18000</v>
          </cell>
          <cell r="L665">
            <v>100000</v>
          </cell>
          <cell r="M665">
            <v>80</v>
          </cell>
          <cell r="N665">
            <v>30</v>
          </cell>
          <cell r="O665">
            <v>6.75</v>
          </cell>
          <cell r="P665">
            <v>0</v>
          </cell>
        </row>
        <row r="666">
          <cell r="J666" t="str">
            <v>BCompra de ViviendaIndividualResidencialNuevaCasaBG000000100000.01</v>
          </cell>
          <cell r="K666">
            <v>100000.01</v>
          </cell>
          <cell r="L666">
            <v>250000</v>
          </cell>
          <cell r="M666">
            <v>80</v>
          </cell>
          <cell r="N666">
            <v>30</v>
          </cell>
          <cell r="O666">
            <v>6.75</v>
          </cell>
          <cell r="P666">
            <v>0</v>
          </cell>
        </row>
        <row r="667">
          <cell r="J667" t="str">
            <v>BCompra de ViviendaIndividualResidencialNuevaCasaBG000000250000.01</v>
          </cell>
          <cell r="K667">
            <v>250000.01</v>
          </cell>
          <cell r="L667">
            <v>600000</v>
          </cell>
          <cell r="M667">
            <v>80</v>
          </cell>
          <cell r="N667">
            <v>30</v>
          </cell>
          <cell r="O667">
            <v>6.75</v>
          </cell>
          <cell r="P667">
            <v>0</v>
          </cell>
        </row>
        <row r="668">
          <cell r="J668" t="str">
            <v>BCompra de ViviendaIndividualResidencialNuevaCasaBG000000600000.01</v>
          </cell>
          <cell r="K668">
            <v>600000.01</v>
          </cell>
          <cell r="L668">
            <v>99999999</v>
          </cell>
          <cell r="M668">
            <v>80</v>
          </cell>
          <cell r="N668">
            <v>30</v>
          </cell>
          <cell r="O668">
            <v>6.75</v>
          </cell>
          <cell r="P668">
            <v>0</v>
          </cell>
        </row>
        <row r="669">
          <cell r="J669" t="str">
            <v>BCompra de ViviendaIndividualResidencialNuevaCasaCOPA000000018000.00</v>
          </cell>
          <cell r="K669">
            <v>18000</v>
          </cell>
          <cell r="L669">
            <v>100000</v>
          </cell>
          <cell r="M669">
            <v>80</v>
          </cell>
          <cell r="N669">
            <v>30</v>
          </cell>
          <cell r="O669">
            <v>6.75</v>
          </cell>
          <cell r="P669">
            <v>0</v>
          </cell>
        </row>
        <row r="670">
          <cell r="J670" t="str">
            <v>BCompra de ViviendaIndividualResidencialNuevaCasaCOPA000000100000.01</v>
          </cell>
          <cell r="K670">
            <v>100000.01</v>
          </cell>
          <cell r="L670">
            <v>250000</v>
          </cell>
          <cell r="M670">
            <v>80</v>
          </cell>
          <cell r="N670">
            <v>30</v>
          </cell>
          <cell r="O670">
            <v>6.75</v>
          </cell>
          <cell r="P670">
            <v>0</v>
          </cell>
        </row>
        <row r="671">
          <cell r="J671" t="str">
            <v>BCompra de ViviendaIndividualResidencialNuevaCasaCOPA000000250000.01</v>
          </cell>
          <cell r="K671">
            <v>250000.01</v>
          </cell>
          <cell r="L671">
            <v>600000</v>
          </cell>
          <cell r="M671">
            <v>80</v>
          </cell>
          <cell r="N671">
            <v>30</v>
          </cell>
          <cell r="O671">
            <v>6.75</v>
          </cell>
          <cell r="P671">
            <v>0</v>
          </cell>
        </row>
        <row r="672">
          <cell r="J672" t="str">
            <v>BCompra de ViviendaIndividualResidencialNuevaCasaCOPA000000600000.01</v>
          </cell>
          <cell r="K672">
            <v>600000.01</v>
          </cell>
          <cell r="L672">
            <v>99999999</v>
          </cell>
          <cell r="M672">
            <v>80</v>
          </cell>
          <cell r="N672">
            <v>30</v>
          </cell>
          <cell r="O672">
            <v>6.75</v>
          </cell>
          <cell r="P672">
            <v>0</v>
          </cell>
        </row>
        <row r="673">
          <cell r="J673" t="str">
            <v>BCompra de ViviendaIndividualResidencialNuevaCasaFERIA000000018000.00</v>
          </cell>
          <cell r="K673">
            <v>18000</v>
          </cell>
          <cell r="L673">
            <v>100000</v>
          </cell>
          <cell r="M673">
            <v>80</v>
          </cell>
          <cell r="N673">
            <v>30</v>
          </cell>
          <cell r="O673">
            <v>6.75</v>
          </cell>
          <cell r="P673">
            <v>0</v>
          </cell>
        </row>
        <row r="674">
          <cell r="J674" t="str">
            <v>BCompra de ViviendaIndividualResidencialNuevaCasaFERIA000000100000.01</v>
          </cell>
          <cell r="K674">
            <v>100000.01</v>
          </cell>
          <cell r="L674">
            <v>250000</v>
          </cell>
          <cell r="M674">
            <v>80</v>
          </cell>
          <cell r="N674">
            <v>30</v>
          </cell>
          <cell r="O674">
            <v>6.75</v>
          </cell>
          <cell r="P674">
            <v>0</v>
          </cell>
        </row>
        <row r="675">
          <cell r="J675" t="str">
            <v>BCompra de ViviendaIndividualResidencialNuevaCasaFERIA000000250000.01</v>
          </cell>
          <cell r="K675">
            <v>250000.01</v>
          </cell>
          <cell r="L675">
            <v>600000</v>
          </cell>
          <cell r="M675">
            <v>80</v>
          </cell>
          <cell r="N675">
            <v>30</v>
          </cell>
          <cell r="O675">
            <v>6.75</v>
          </cell>
          <cell r="P675">
            <v>0</v>
          </cell>
        </row>
        <row r="676">
          <cell r="J676" t="str">
            <v>BCompra de ViviendaIndividualResidencialNuevaCasaFERIA000000600000.01</v>
          </cell>
          <cell r="K676">
            <v>600000.01</v>
          </cell>
          <cell r="L676">
            <v>99999999</v>
          </cell>
          <cell r="M676">
            <v>80</v>
          </cell>
          <cell r="N676">
            <v>30</v>
          </cell>
          <cell r="O676">
            <v>6.75</v>
          </cell>
          <cell r="P676">
            <v>0</v>
          </cell>
        </row>
        <row r="677">
          <cell r="J677" t="str">
            <v>BCompra de ViviendaIndividualResidencialUsadaApartamentoBG000000030000.00</v>
          </cell>
          <cell r="K677">
            <v>30000</v>
          </cell>
          <cell r="L677">
            <v>250000</v>
          </cell>
          <cell r="M677">
            <v>80</v>
          </cell>
          <cell r="N677">
            <v>30</v>
          </cell>
          <cell r="O677">
            <v>6.5</v>
          </cell>
          <cell r="P677">
            <v>0</v>
          </cell>
        </row>
        <row r="678">
          <cell r="J678" t="str">
            <v>BCompra de ViviendaIndividualResidencialUsadaApartamentoBG000000250000.01</v>
          </cell>
          <cell r="K678">
            <v>250000.01</v>
          </cell>
          <cell r="L678">
            <v>500000</v>
          </cell>
          <cell r="M678">
            <v>80</v>
          </cell>
          <cell r="N678">
            <v>30</v>
          </cell>
          <cell r="O678">
            <v>6.5</v>
          </cell>
          <cell r="P678">
            <v>0</v>
          </cell>
        </row>
        <row r="679">
          <cell r="J679" t="str">
            <v>BCompra de ViviendaIndividualResidencialUsadaApartamentoBG000000500000.01</v>
          </cell>
          <cell r="K679">
            <v>500000.01</v>
          </cell>
          <cell r="L679">
            <v>99999999</v>
          </cell>
          <cell r="M679">
            <v>80</v>
          </cell>
          <cell r="N679">
            <v>30</v>
          </cell>
          <cell r="O679">
            <v>6.5</v>
          </cell>
          <cell r="P679">
            <v>0</v>
          </cell>
        </row>
        <row r="680">
          <cell r="J680" t="str">
            <v>BCompra de ViviendaIndividualResidencialUsadaApartamentoCOPA000000030000.00</v>
          </cell>
          <cell r="K680">
            <v>30000</v>
          </cell>
          <cell r="L680">
            <v>250000</v>
          </cell>
          <cell r="M680">
            <v>80</v>
          </cell>
          <cell r="N680">
            <v>30</v>
          </cell>
          <cell r="O680">
            <v>6.5</v>
          </cell>
          <cell r="P680">
            <v>0</v>
          </cell>
        </row>
        <row r="681">
          <cell r="J681" t="str">
            <v>BCompra de ViviendaIndividualResidencialUsadaApartamentoCOPA000000250000.01</v>
          </cell>
          <cell r="K681">
            <v>250000.01</v>
          </cell>
          <cell r="L681">
            <v>500000</v>
          </cell>
          <cell r="M681">
            <v>80</v>
          </cell>
          <cell r="N681">
            <v>30</v>
          </cell>
          <cell r="O681">
            <v>6.5</v>
          </cell>
          <cell r="P681">
            <v>0</v>
          </cell>
        </row>
        <row r="682">
          <cell r="J682" t="str">
            <v>BCompra de ViviendaIndividualResidencialUsadaApartamentoCOPA000000500000.01</v>
          </cell>
          <cell r="K682">
            <v>500000.01</v>
          </cell>
          <cell r="L682">
            <v>99999999</v>
          </cell>
          <cell r="M682">
            <v>80</v>
          </cell>
          <cell r="N682">
            <v>30</v>
          </cell>
          <cell r="O682">
            <v>6.5</v>
          </cell>
          <cell r="P682">
            <v>0</v>
          </cell>
        </row>
        <row r="683">
          <cell r="J683" t="str">
            <v>BCompra de ViviendaIndividualResidencialUsadaApartamentoFERIA000000030000.00</v>
          </cell>
          <cell r="K683">
            <v>30000</v>
          </cell>
          <cell r="L683">
            <v>250000</v>
          </cell>
          <cell r="M683">
            <v>80</v>
          </cell>
          <cell r="N683">
            <v>30</v>
          </cell>
          <cell r="O683">
            <v>6.5</v>
          </cell>
          <cell r="P683">
            <v>0</v>
          </cell>
        </row>
        <row r="684">
          <cell r="J684" t="str">
            <v>BCompra de ViviendaIndividualResidencialUsadaApartamentoFERIA000000250000.01</v>
          </cell>
          <cell r="K684">
            <v>250000.01</v>
          </cell>
          <cell r="L684">
            <v>500000</v>
          </cell>
          <cell r="M684">
            <v>80</v>
          </cell>
          <cell r="N684">
            <v>30</v>
          </cell>
          <cell r="O684">
            <v>6.5</v>
          </cell>
          <cell r="P684">
            <v>0</v>
          </cell>
        </row>
        <row r="685">
          <cell r="J685" t="str">
            <v>BCompra de ViviendaIndividualResidencialUsadaApartamentoFERIA000000500000.01</v>
          </cell>
          <cell r="K685">
            <v>500000.01</v>
          </cell>
          <cell r="L685">
            <v>99999999</v>
          </cell>
          <cell r="M685">
            <v>80</v>
          </cell>
          <cell r="N685">
            <v>30</v>
          </cell>
          <cell r="O685">
            <v>6.5</v>
          </cell>
          <cell r="P685">
            <v>0</v>
          </cell>
        </row>
        <row r="686">
          <cell r="J686" t="str">
            <v>BCompra de ViviendaIndividualResidencialUsadaCasaBG000000030000.00</v>
          </cell>
          <cell r="K686">
            <v>30000</v>
          </cell>
          <cell r="L686">
            <v>250000</v>
          </cell>
          <cell r="M686">
            <v>80</v>
          </cell>
          <cell r="N686">
            <v>30</v>
          </cell>
          <cell r="O686">
            <v>6.5</v>
          </cell>
          <cell r="P686">
            <v>0</v>
          </cell>
        </row>
        <row r="687">
          <cell r="J687" t="str">
            <v>BCompra de ViviendaIndividualResidencialUsadaCasaBG000000250000.01</v>
          </cell>
          <cell r="K687">
            <v>250000.01</v>
          </cell>
          <cell r="L687">
            <v>500000</v>
          </cell>
          <cell r="M687">
            <v>80</v>
          </cell>
          <cell r="N687">
            <v>30</v>
          </cell>
          <cell r="O687">
            <v>6.5</v>
          </cell>
          <cell r="P687">
            <v>0</v>
          </cell>
        </row>
        <row r="688">
          <cell r="J688" t="str">
            <v>BCompra de ViviendaIndividualResidencialUsadaCasaBG000000500000.01</v>
          </cell>
          <cell r="K688">
            <v>500000.01</v>
          </cell>
          <cell r="L688">
            <v>99999999</v>
          </cell>
          <cell r="M688">
            <v>80</v>
          </cell>
          <cell r="N688">
            <v>30</v>
          </cell>
          <cell r="O688">
            <v>6.5</v>
          </cell>
          <cell r="P688">
            <v>0</v>
          </cell>
        </row>
        <row r="689">
          <cell r="J689" t="str">
            <v>BCompra de ViviendaIndividualResidencialUsadaCasaCOPA000000030000.00</v>
          </cell>
          <cell r="K689">
            <v>30000</v>
          </cell>
          <cell r="L689">
            <v>250000</v>
          </cell>
          <cell r="M689">
            <v>80</v>
          </cell>
          <cell r="N689">
            <v>30</v>
          </cell>
          <cell r="O689">
            <v>6.5</v>
          </cell>
          <cell r="P689">
            <v>0</v>
          </cell>
        </row>
        <row r="690">
          <cell r="J690" t="str">
            <v>BCompra de ViviendaIndividualResidencialUsadaCasaCOPA000000250000.01</v>
          </cell>
          <cell r="K690">
            <v>250000.01</v>
          </cell>
          <cell r="L690">
            <v>500000</v>
          </cell>
          <cell r="M690">
            <v>80</v>
          </cell>
          <cell r="N690">
            <v>30</v>
          </cell>
          <cell r="O690">
            <v>6.5</v>
          </cell>
          <cell r="P690">
            <v>0</v>
          </cell>
        </row>
        <row r="691">
          <cell r="J691" t="str">
            <v>BCompra de ViviendaIndividualResidencialUsadaCasaCOPA000000500000.01</v>
          </cell>
          <cell r="K691">
            <v>500000.01</v>
          </cell>
          <cell r="L691">
            <v>99999999</v>
          </cell>
          <cell r="M691">
            <v>80</v>
          </cell>
          <cell r="N691">
            <v>30</v>
          </cell>
          <cell r="O691">
            <v>6.5</v>
          </cell>
          <cell r="P691">
            <v>0</v>
          </cell>
        </row>
        <row r="692">
          <cell r="J692" t="str">
            <v>BCompra de ViviendaIndividualResidencialUsadaCasaFERIA000000030000.00</v>
          </cell>
          <cell r="K692">
            <v>30000</v>
          </cell>
          <cell r="L692">
            <v>250000</v>
          </cell>
          <cell r="M692">
            <v>80</v>
          </cell>
          <cell r="N692">
            <v>30</v>
          </cell>
          <cell r="O692">
            <v>6.5</v>
          </cell>
          <cell r="P692">
            <v>0</v>
          </cell>
        </row>
        <row r="693">
          <cell r="J693" t="str">
            <v>BCompra de ViviendaIndividualResidencialUsadaCasaFERIA000000250000.01</v>
          </cell>
          <cell r="K693">
            <v>250000.01</v>
          </cell>
          <cell r="L693">
            <v>500000</v>
          </cell>
          <cell r="M693">
            <v>80</v>
          </cell>
          <cell r="N693">
            <v>30</v>
          </cell>
          <cell r="O693">
            <v>6.5</v>
          </cell>
          <cell r="P693">
            <v>0</v>
          </cell>
        </row>
        <row r="694">
          <cell r="J694" t="str">
            <v>BCompra de ViviendaIndividualResidencialUsadaCasaFERIA000000500000.01</v>
          </cell>
          <cell r="K694">
            <v>500000.01</v>
          </cell>
          <cell r="L694">
            <v>99999999</v>
          </cell>
          <cell r="M694">
            <v>80</v>
          </cell>
          <cell r="N694">
            <v>30</v>
          </cell>
          <cell r="O694">
            <v>6.5</v>
          </cell>
          <cell r="P694">
            <v>0</v>
          </cell>
        </row>
        <row r="695">
          <cell r="J695" t="str">
            <v>BCompra Venta de AccionesCasco AntiguoResidencialNuevaApartamentoBG000000030000.00</v>
          </cell>
          <cell r="K695">
            <v>30000</v>
          </cell>
          <cell r="L695">
            <v>99999999</v>
          </cell>
          <cell r="M695">
            <v>80</v>
          </cell>
          <cell r="N695">
            <v>30</v>
          </cell>
          <cell r="O695">
            <v>3.25</v>
          </cell>
          <cell r="P695">
            <v>4.28</v>
          </cell>
        </row>
        <row r="696">
          <cell r="J696" t="str">
            <v>BCompra Venta de AccionesCasco AntiguoResidencialNuevaCasaBG000000030000.00</v>
          </cell>
          <cell r="K696">
            <v>30000</v>
          </cell>
          <cell r="L696">
            <v>99999999</v>
          </cell>
          <cell r="M696">
            <v>80</v>
          </cell>
          <cell r="N696">
            <v>30</v>
          </cell>
          <cell r="O696">
            <v>3.25</v>
          </cell>
          <cell r="P696">
            <v>4.28</v>
          </cell>
        </row>
        <row r="697">
          <cell r="J697" t="str">
            <v>BCompra Venta de AccionesCasco AntiguoResidencialUsadaApartamentoBG000000030000.00</v>
          </cell>
          <cell r="K697">
            <v>30000</v>
          </cell>
          <cell r="L697">
            <v>99999999</v>
          </cell>
          <cell r="M697">
            <v>80</v>
          </cell>
          <cell r="N697">
            <v>30</v>
          </cell>
          <cell r="O697">
            <v>3.25</v>
          </cell>
          <cell r="P697">
            <v>4.28</v>
          </cell>
        </row>
        <row r="698">
          <cell r="J698" t="str">
            <v>BCompra Venta de AccionesCasco AntiguoResidencialUsadaCasaBG000000030000.00</v>
          </cell>
          <cell r="K698">
            <v>30000</v>
          </cell>
          <cell r="L698">
            <v>99999999</v>
          </cell>
          <cell r="M698">
            <v>80</v>
          </cell>
          <cell r="N698">
            <v>30</v>
          </cell>
          <cell r="O698">
            <v>3.25</v>
          </cell>
          <cell r="P698">
            <v>4.28</v>
          </cell>
        </row>
        <row r="699">
          <cell r="J699" t="str">
            <v>BCompra Venta de AccionesIndividualResidencialNuevaApartamentoBG000000030000.00</v>
          </cell>
          <cell r="K699">
            <v>30000</v>
          </cell>
          <cell r="L699">
            <v>100000</v>
          </cell>
          <cell r="M699">
            <v>80</v>
          </cell>
          <cell r="N699">
            <v>30</v>
          </cell>
          <cell r="O699">
            <v>5.5</v>
          </cell>
          <cell r="P699">
            <v>0</v>
          </cell>
        </row>
        <row r="700">
          <cell r="J700" t="str">
            <v>BCompra Venta de AccionesIndividualResidencialNuevaApartamentoBG000000100000.01</v>
          </cell>
          <cell r="K700">
            <v>100000.01</v>
          </cell>
          <cell r="L700">
            <v>250000</v>
          </cell>
          <cell r="M700">
            <v>80</v>
          </cell>
          <cell r="N700">
            <v>30</v>
          </cell>
          <cell r="O700">
            <v>5.5</v>
          </cell>
          <cell r="P700">
            <v>0</v>
          </cell>
        </row>
        <row r="701">
          <cell r="J701" t="str">
            <v>BCompra Venta de AccionesIndividualResidencialNuevaApartamentoBG000000250000.01</v>
          </cell>
          <cell r="K701">
            <v>250000.01</v>
          </cell>
          <cell r="L701">
            <v>400000</v>
          </cell>
          <cell r="M701">
            <v>80</v>
          </cell>
          <cell r="N701">
            <v>30</v>
          </cell>
          <cell r="O701">
            <v>5.5</v>
          </cell>
          <cell r="P701">
            <v>0</v>
          </cell>
        </row>
        <row r="702">
          <cell r="J702" t="str">
            <v>BCompra Venta de AccionesIndividualResidencialNuevaApartamentoBG000000400000.01</v>
          </cell>
          <cell r="K702">
            <v>400000.01</v>
          </cell>
          <cell r="L702">
            <v>99999999</v>
          </cell>
          <cell r="M702">
            <v>80</v>
          </cell>
          <cell r="N702">
            <v>30</v>
          </cell>
          <cell r="O702">
            <v>5.5</v>
          </cell>
          <cell r="P702">
            <v>0</v>
          </cell>
        </row>
        <row r="703">
          <cell r="J703" t="str">
            <v>BCompra Venta de AccionesIndividualResidencialNuevaCasaBG000000018000.00</v>
          </cell>
          <cell r="K703">
            <v>18000</v>
          </cell>
          <cell r="L703">
            <v>100000</v>
          </cell>
          <cell r="M703">
            <v>80</v>
          </cell>
          <cell r="N703">
            <v>30</v>
          </cell>
          <cell r="O703">
            <v>5.5</v>
          </cell>
          <cell r="P703">
            <v>0</v>
          </cell>
        </row>
        <row r="704">
          <cell r="J704" t="str">
            <v>BCompra Venta de AccionesIndividualResidencialNuevaCasaBG000000100000.01</v>
          </cell>
          <cell r="K704">
            <v>100000.01</v>
          </cell>
          <cell r="L704">
            <v>250000</v>
          </cell>
          <cell r="M704">
            <v>80</v>
          </cell>
          <cell r="N704">
            <v>30</v>
          </cell>
          <cell r="O704">
            <v>5.5</v>
          </cell>
          <cell r="P704">
            <v>0</v>
          </cell>
        </row>
        <row r="705">
          <cell r="J705" t="str">
            <v>BCompra Venta de AccionesIndividualResidencialNuevaCasaBG000000250000.01</v>
          </cell>
          <cell r="K705">
            <v>250000.01</v>
          </cell>
          <cell r="L705">
            <v>600000</v>
          </cell>
          <cell r="M705">
            <v>80</v>
          </cell>
          <cell r="N705">
            <v>30</v>
          </cell>
          <cell r="O705">
            <v>5.5</v>
          </cell>
          <cell r="P705">
            <v>0</v>
          </cell>
        </row>
        <row r="706">
          <cell r="J706" t="str">
            <v>BCompra Venta de AccionesIndividualResidencialNuevaCasaBG000000600000.01</v>
          </cell>
          <cell r="K706">
            <v>600000.01</v>
          </cell>
          <cell r="L706">
            <v>99999999</v>
          </cell>
          <cell r="M706">
            <v>80</v>
          </cell>
          <cell r="N706">
            <v>30</v>
          </cell>
          <cell r="O706">
            <v>5.5</v>
          </cell>
          <cell r="P706">
            <v>0</v>
          </cell>
        </row>
        <row r="707">
          <cell r="J707" t="str">
            <v>BCompra Venta de AccionesIndividualResidencialUsadaApartamentoBG000000030000.00</v>
          </cell>
          <cell r="K707">
            <v>30000</v>
          </cell>
          <cell r="L707">
            <v>250000</v>
          </cell>
          <cell r="M707">
            <v>80</v>
          </cell>
          <cell r="N707">
            <v>30</v>
          </cell>
          <cell r="O707">
            <v>6.5</v>
          </cell>
          <cell r="P707">
            <v>0</v>
          </cell>
        </row>
        <row r="708">
          <cell r="J708" t="str">
            <v>BCompra Venta de AccionesIndividualResidencialUsadaApartamentoBG000000250000.01</v>
          </cell>
          <cell r="K708">
            <v>250000.01</v>
          </cell>
          <cell r="L708">
            <v>500000</v>
          </cell>
          <cell r="M708">
            <v>80</v>
          </cell>
          <cell r="N708">
            <v>30</v>
          </cell>
          <cell r="O708">
            <v>6.5</v>
          </cell>
          <cell r="P708">
            <v>0</v>
          </cell>
        </row>
        <row r="709">
          <cell r="J709" t="str">
            <v>BCompra Venta de AccionesIndividualResidencialUsadaApartamentoBG000000500000.01</v>
          </cell>
          <cell r="K709">
            <v>500000.01</v>
          </cell>
          <cell r="L709">
            <v>99999999</v>
          </cell>
          <cell r="M709">
            <v>80</v>
          </cell>
          <cell r="N709">
            <v>30</v>
          </cell>
          <cell r="O709">
            <v>6.5</v>
          </cell>
          <cell r="P709">
            <v>0</v>
          </cell>
        </row>
        <row r="710">
          <cell r="J710" t="str">
            <v>BCompra Venta de AccionesIndividualResidencialUsadaCasaBG000000030000.00</v>
          </cell>
          <cell r="K710">
            <v>30000</v>
          </cell>
          <cell r="L710">
            <v>250000</v>
          </cell>
          <cell r="M710">
            <v>80</v>
          </cell>
          <cell r="N710">
            <v>30</v>
          </cell>
          <cell r="O710">
            <v>6.5</v>
          </cell>
          <cell r="P710">
            <v>0</v>
          </cell>
        </row>
        <row r="711">
          <cell r="J711" t="str">
            <v>BCompra Venta de AccionesIndividualResidencialUsadaCasaBG000000250000.01</v>
          </cell>
          <cell r="K711">
            <v>250000.01</v>
          </cell>
          <cell r="L711">
            <v>500000</v>
          </cell>
          <cell r="M711">
            <v>80</v>
          </cell>
          <cell r="N711">
            <v>30</v>
          </cell>
          <cell r="O711">
            <v>6.5</v>
          </cell>
          <cell r="P711">
            <v>0</v>
          </cell>
        </row>
        <row r="712">
          <cell r="J712" t="str">
            <v>BCompra Venta de AccionesIndividualResidencialUsadaCasaBG000000500000.01</v>
          </cell>
          <cell r="K712">
            <v>500000.01</v>
          </cell>
          <cell r="L712">
            <v>99999999</v>
          </cell>
          <cell r="M712">
            <v>80</v>
          </cell>
          <cell r="N712">
            <v>30</v>
          </cell>
          <cell r="O712">
            <v>6.5</v>
          </cell>
          <cell r="P712">
            <v>0</v>
          </cell>
        </row>
        <row r="713">
          <cell r="J713" t="str">
            <v>BCompra Vivienda VacacionalIndividualVacacionalNuevaApartamentoBG000000050000.00</v>
          </cell>
          <cell r="K713">
            <v>50000</v>
          </cell>
          <cell r="L713">
            <v>99999999</v>
          </cell>
          <cell r="M713">
            <v>70</v>
          </cell>
          <cell r="N713">
            <v>20</v>
          </cell>
          <cell r="O713">
            <v>6.75</v>
          </cell>
          <cell r="P713">
            <v>0</v>
          </cell>
        </row>
        <row r="714">
          <cell r="J714" t="str">
            <v>BCompra Vivienda VacacionalIndividualVacacionalNuevaApartamentoCOPA000000050000.00</v>
          </cell>
          <cell r="K714">
            <v>50000</v>
          </cell>
          <cell r="L714">
            <v>99999999</v>
          </cell>
          <cell r="M714">
            <v>70</v>
          </cell>
          <cell r="N714">
            <v>20</v>
          </cell>
          <cell r="O714">
            <v>6.75</v>
          </cell>
          <cell r="P714">
            <v>0</v>
          </cell>
        </row>
        <row r="715">
          <cell r="J715" t="str">
            <v>BCompra Vivienda VacacionalIndividualVacacionalNuevaApartamentoFERIA000000050000.00</v>
          </cell>
          <cell r="K715">
            <v>50000</v>
          </cell>
          <cell r="L715">
            <v>99999999</v>
          </cell>
          <cell r="M715">
            <v>70</v>
          </cell>
          <cell r="N715">
            <v>20</v>
          </cell>
          <cell r="O715">
            <v>6.75</v>
          </cell>
          <cell r="P715">
            <v>0</v>
          </cell>
        </row>
        <row r="716">
          <cell r="J716" t="str">
            <v>BCompra Vivienda VacacionalIndividualVacacionalNuevaCasaBG000000050000.00</v>
          </cell>
          <cell r="K716">
            <v>50000</v>
          </cell>
          <cell r="L716">
            <v>99999999</v>
          </cell>
          <cell r="M716">
            <v>70</v>
          </cell>
          <cell r="N716">
            <v>20</v>
          </cell>
          <cell r="O716">
            <v>6.75</v>
          </cell>
          <cell r="P716">
            <v>0</v>
          </cell>
        </row>
        <row r="717">
          <cell r="J717" t="str">
            <v>BCompra Vivienda VacacionalIndividualVacacionalNuevaCasaCOPA000000050000.00</v>
          </cell>
          <cell r="K717">
            <v>50000</v>
          </cell>
          <cell r="L717">
            <v>99999999</v>
          </cell>
          <cell r="M717">
            <v>70</v>
          </cell>
          <cell r="N717">
            <v>20</v>
          </cell>
          <cell r="O717">
            <v>6.75</v>
          </cell>
          <cell r="P717">
            <v>0</v>
          </cell>
        </row>
        <row r="718">
          <cell r="J718" t="str">
            <v>BCompra Vivienda VacacionalIndividualVacacionalNuevaCasaFERIA000000050000.00</v>
          </cell>
          <cell r="K718">
            <v>50000</v>
          </cell>
          <cell r="L718">
            <v>99999999</v>
          </cell>
          <cell r="M718">
            <v>70</v>
          </cell>
          <cell r="N718">
            <v>20</v>
          </cell>
          <cell r="O718">
            <v>6.75</v>
          </cell>
          <cell r="P718">
            <v>0</v>
          </cell>
        </row>
        <row r="719">
          <cell r="J719" t="str">
            <v>BCompra Vivienda VacacionalIndividualVacacionalUsadaApartamentoBG000000050000.00</v>
          </cell>
          <cell r="K719">
            <v>50000</v>
          </cell>
          <cell r="L719">
            <v>99999999</v>
          </cell>
          <cell r="M719">
            <v>70</v>
          </cell>
          <cell r="N719">
            <v>20</v>
          </cell>
          <cell r="O719">
            <v>6.75</v>
          </cell>
          <cell r="P719">
            <v>0</v>
          </cell>
        </row>
        <row r="720">
          <cell r="J720" t="str">
            <v>BCompra Vivienda VacacionalIndividualVacacionalUsadaApartamentoCOPA000000050000.00</v>
          </cell>
          <cell r="K720">
            <v>50000</v>
          </cell>
          <cell r="L720">
            <v>99999999</v>
          </cell>
          <cell r="M720">
            <v>70</v>
          </cell>
          <cell r="N720">
            <v>20</v>
          </cell>
          <cell r="O720">
            <v>6.75</v>
          </cell>
          <cell r="P720">
            <v>0</v>
          </cell>
        </row>
        <row r="721">
          <cell r="J721" t="str">
            <v>BCompra Vivienda VacacionalIndividualVacacionalUsadaApartamentoFERIA000000050000.00</v>
          </cell>
          <cell r="K721">
            <v>50000</v>
          </cell>
          <cell r="L721">
            <v>99999999</v>
          </cell>
          <cell r="M721">
            <v>70</v>
          </cell>
          <cell r="N721">
            <v>20</v>
          </cell>
          <cell r="O721">
            <v>6.75</v>
          </cell>
          <cell r="P721">
            <v>0</v>
          </cell>
        </row>
        <row r="722">
          <cell r="J722" t="str">
            <v>BCompra Vivienda VacacionalIndividualVacacionalUsadaCasaBG000000050000.00</v>
          </cell>
          <cell r="K722">
            <v>50000</v>
          </cell>
          <cell r="L722">
            <v>99999999</v>
          </cell>
          <cell r="M722">
            <v>70</v>
          </cell>
          <cell r="N722">
            <v>20</v>
          </cell>
          <cell r="O722">
            <v>6.75</v>
          </cell>
          <cell r="P722">
            <v>0</v>
          </cell>
        </row>
        <row r="723">
          <cell r="J723" t="str">
            <v>BCompra Vivienda VacacionalIndividualVacacionalUsadaCasaCOPA000000050000.00</v>
          </cell>
          <cell r="K723">
            <v>50000</v>
          </cell>
          <cell r="L723">
            <v>99999999</v>
          </cell>
          <cell r="M723">
            <v>70</v>
          </cell>
          <cell r="N723">
            <v>20</v>
          </cell>
          <cell r="O723">
            <v>6.75</v>
          </cell>
          <cell r="P723">
            <v>0</v>
          </cell>
        </row>
        <row r="724">
          <cell r="J724" t="str">
            <v>BCompra Vivienda VacacionalIndividualVacacionalUsadaCasaFERIA000000050000.00</v>
          </cell>
          <cell r="K724">
            <v>50000</v>
          </cell>
          <cell r="L724">
            <v>99999999</v>
          </cell>
          <cell r="M724">
            <v>70</v>
          </cell>
          <cell r="N724">
            <v>20</v>
          </cell>
          <cell r="O724">
            <v>6.75</v>
          </cell>
          <cell r="P724">
            <v>0</v>
          </cell>
        </row>
        <row r="725">
          <cell r="J725" t="str">
            <v>BTraspaso de Otro BancoIndividualResidencialUsadaApartamentoBG000000030000.00</v>
          </cell>
          <cell r="K725">
            <v>30000</v>
          </cell>
          <cell r="L725">
            <v>250000</v>
          </cell>
          <cell r="M725">
            <v>90</v>
          </cell>
          <cell r="N725">
            <v>30</v>
          </cell>
          <cell r="O725">
            <v>6.25</v>
          </cell>
          <cell r="P725">
            <v>0</v>
          </cell>
        </row>
        <row r="726">
          <cell r="J726" t="str">
            <v>BTraspaso de Otro BancoIndividualResidencialUsadaApartamentoBG000000250000.01</v>
          </cell>
          <cell r="K726">
            <v>250000.01</v>
          </cell>
          <cell r="L726">
            <v>500000</v>
          </cell>
          <cell r="M726">
            <v>80</v>
          </cell>
          <cell r="N726">
            <v>30</v>
          </cell>
          <cell r="O726">
            <v>6.25</v>
          </cell>
          <cell r="P726">
            <v>0</v>
          </cell>
        </row>
        <row r="727">
          <cell r="J727" t="str">
            <v>BTraspaso de Otro BancoIndividualResidencialUsadaApartamentoBG000000500000.01</v>
          </cell>
          <cell r="K727">
            <v>500000.01</v>
          </cell>
          <cell r="L727">
            <v>99999999</v>
          </cell>
          <cell r="M727">
            <v>80</v>
          </cell>
          <cell r="N727">
            <v>30</v>
          </cell>
          <cell r="O727">
            <v>6.25</v>
          </cell>
          <cell r="P727">
            <v>0</v>
          </cell>
        </row>
        <row r="728">
          <cell r="J728" t="str">
            <v>BTraspaso de Otro BancoIndividualResidencialUsadaApartamentoCOPA000000030000.00</v>
          </cell>
          <cell r="K728">
            <v>30000</v>
          </cell>
          <cell r="L728">
            <v>250000</v>
          </cell>
          <cell r="M728">
            <v>90</v>
          </cell>
          <cell r="N728">
            <v>30</v>
          </cell>
          <cell r="O728">
            <v>6.25</v>
          </cell>
          <cell r="P728">
            <v>0</v>
          </cell>
        </row>
        <row r="729">
          <cell r="J729" t="str">
            <v>BTraspaso de Otro BancoIndividualResidencialUsadaApartamentoCOPA000000250000.01</v>
          </cell>
          <cell r="K729">
            <v>250000.01</v>
          </cell>
          <cell r="L729">
            <v>500000</v>
          </cell>
          <cell r="M729">
            <v>80</v>
          </cell>
          <cell r="N729">
            <v>30</v>
          </cell>
          <cell r="O729">
            <v>6.25</v>
          </cell>
          <cell r="P729">
            <v>0</v>
          </cell>
        </row>
        <row r="730">
          <cell r="J730" t="str">
            <v>BTraspaso de Otro BancoIndividualResidencialUsadaApartamentoCOPA000000500000.01</v>
          </cell>
          <cell r="K730">
            <v>500000.01</v>
          </cell>
          <cell r="L730">
            <v>99999999</v>
          </cell>
          <cell r="M730">
            <v>80</v>
          </cell>
          <cell r="N730">
            <v>30</v>
          </cell>
          <cell r="O730">
            <v>6.25</v>
          </cell>
          <cell r="P730">
            <v>0</v>
          </cell>
        </row>
        <row r="731">
          <cell r="J731" t="str">
            <v>BTraspaso de Otro BancoIndividualResidencialUsadaApartamentoFERIA000000030000.00</v>
          </cell>
          <cell r="K731">
            <v>30000</v>
          </cell>
          <cell r="L731">
            <v>250000</v>
          </cell>
          <cell r="M731">
            <v>90</v>
          </cell>
          <cell r="N731">
            <v>30</v>
          </cell>
          <cell r="O731">
            <v>6.25</v>
          </cell>
          <cell r="P731">
            <v>0</v>
          </cell>
        </row>
        <row r="732">
          <cell r="J732" t="str">
            <v>BTraspaso de Otro BancoIndividualResidencialUsadaApartamentoFERIA000000250000.01</v>
          </cell>
          <cell r="K732">
            <v>250000.01</v>
          </cell>
          <cell r="L732">
            <v>500000</v>
          </cell>
          <cell r="M732">
            <v>80</v>
          </cell>
          <cell r="N732">
            <v>30</v>
          </cell>
          <cell r="O732">
            <v>6.25</v>
          </cell>
          <cell r="P732">
            <v>0</v>
          </cell>
        </row>
        <row r="733">
          <cell r="J733" t="str">
            <v>BTraspaso de Otro BancoIndividualResidencialUsadaApartamentoFERIA000000500000.01</v>
          </cell>
          <cell r="K733">
            <v>500000.01</v>
          </cell>
          <cell r="L733">
            <v>99999999</v>
          </cell>
          <cell r="M733">
            <v>80</v>
          </cell>
          <cell r="N733">
            <v>30</v>
          </cell>
          <cell r="O733">
            <v>6.25</v>
          </cell>
          <cell r="P733">
            <v>0</v>
          </cell>
        </row>
        <row r="734">
          <cell r="J734" t="str">
            <v>BTraspaso de Otro BancoIndividualResidencialUsadaCasaBG000000030000.00</v>
          </cell>
          <cell r="K734">
            <v>30000</v>
          </cell>
          <cell r="L734">
            <v>250000</v>
          </cell>
          <cell r="M734">
            <v>80</v>
          </cell>
          <cell r="N734">
            <v>30</v>
          </cell>
          <cell r="O734">
            <v>6.25</v>
          </cell>
          <cell r="P734">
            <v>0</v>
          </cell>
        </row>
        <row r="735">
          <cell r="J735" t="str">
            <v>BTraspaso de Otro BancoIndividualResidencialUsadaCasaBG000000250000.01</v>
          </cell>
          <cell r="K735">
            <v>250000.01</v>
          </cell>
          <cell r="L735">
            <v>500000</v>
          </cell>
          <cell r="M735">
            <v>80</v>
          </cell>
          <cell r="N735">
            <v>30</v>
          </cell>
          <cell r="O735">
            <v>6.25</v>
          </cell>
          <cell r="P735">
            <v>0</v>
          </cell>
        </row>
        <row r="736">
          <cell r="J736" t="str">
            <v>BTraspaso de Otro BancoIndividualResidencialUsadaCasaBG000000500000.01</v>
          </cell>
          <cell r="K736">
            <v>500000.01</v>
          </cell>
          <cell r="L736">
            <v>99999999</v>
          </cell>
          <cell r="M736">
            <v>80</v>
          </cell>
          <cell r="N736">
            <v>30</v>
          </cell>
          <cell r="O736">
            <v>6.25</v>
          </cell>
          <cell r="P736">
            <v>0</v>
          </cell>
        </row>
        <row r="737">
          <cell r="J737" t="str">
            <v>BTraspaso de Otro BancoIndividualResidencialUsadaCasaCOPA000000030000.00</v>
          </cell>
          <cell r="K737">
            <v>30000</v>
          </cell>
          <cell r="L737">
            <v>250000</v>
          </cell>
          <cell r="M737">
            <v>80</v>
          </cell>
          <cell r="N737">
            <v>30</v>
          </cell>
          <cell r="O737">
            <v>6.25</v>
          </cell>
          <cell r="P737">
            <v>0</v>
          </cell>
        </row>
        <row r="738">
          <cell r="J738" t="str">
            <v>BTraspaso de Otro BancoIndividualResidencialUsadaCasaCOPA000000250000.01</v>
          </cell>
          <cell r="K738">
            <v>250000.01</v>
          </cell>
          <cell r="L738">
            <v>500000</v>
          </cell>
          <cell r="M738">
            <v>80</v>
          </cell>
          <cell r="N738">
            <v>30</v>
          </cell>
          <cell r="O738">
            <v>6.25</v>
          </cell>
          <cell r="P738">
            <v>0</v>
          </cell>
        </row>
        <row r="739">
          <cell r="J739" t="str">
            <v>BTraspaso de Otro BancoIndividualResidencialUsadaCasaCOPA000000500000.01</v>
          </cell>
          <cell r="K739">
            <v>500000.01</v>
          </cell>
          <cell r="L739">
            <v>99999999</v>
          </cell>
          <cell r="M739">
            <v>80</v>
          </cell>
          <cell r="N739">
            <v>30</v>
          </cell>
          <cell r="O739">
            <v>6.25</v>
          </cell>
          <cell r="P739">
            <v>0</v>
          </cell>
        </row>
        <row r="740">
          <cell r="J740" t="str">
            <v>BTraspaso de Otro BancoIndividualResidencialUsadaCasaFERIA000000030000.00</v>
          </cell>
          <cell r="K740">
            <v>30000</v>
          </cell>
          <cell r="L740">
            <v>250000</v>
          </cell>
          <cell r="M740">
            <v>80</v>
          </cell>
          <cell r="N740">
            <v>30</v>
          </cell>
          <cell r="O740">
            <v>6.25</v>
          </cell>
          <cell r="P740">
            <v>0</v>
          </cell>
        </row>
        <row r="741">
          <cell r="J741" t="str">
            <v>BTraspaso de Otro BancoIndividualResidencialUsadaCasaFERIA000000250000.01</v>
          </cell>
          <cell r="K741">
            <v>250000.01</v>
          </cell>
          <cell r="L741">
            <v>500000</v>
          </cell>
          <cell r="M741">
            <v>80</v>
          </cell>
          <cell r="N741">
            <v>30</v>
          </cell>
          <cell r="O741">
            <v>6.25</v>
          </cell>
          <cell r="P741">
            <v>0</v>
          </cell>
        </row>
        <row r="742">
          <cell r="J742" t="str">
            <v>BTraspaso de Otro BancoIndividualResidencialUsadaCasaFERIA000000500000.01</v>
          </cell>
          <cell r="K742">
            <v>500000.01</v>
          </cell>
          <cell r="L742">
            <v>99999999</v>
          </cell>
          <cell r="M742">
            <v>80</v>
          </cell>
          <cell r="N742">
            <v>30</v>
          </cell>
          <cell r="O742">
            <v>6.25</v>
          </cell>
          <cell r="P742">
            <v>0</v>
          </cell>
        </row>
        <row r="743">
          <cell r="J743" t="str">
            <v>CCompra de ViviendaCasco AntiguoResidencialNuevaApartamentoBG000000030000.00</v>
          </cell>
          <cell r="K743">
            <v>30000</v>
          </cell>
          <cell r="L743">
            <v>99999999</v>
          </cell>
          <cell r="M743">
            <v>70</v>
          </cell>
          <cell r="N743">
            <v>25</v>
          </cell>
          <cell r="O743">
            <v>3.25</v>
          </cell>
          <cell r="P743">
            <v>8.56</v>
          </cell>
        </row>
        <row r="744">
          <cell r="J744" t="str">
            <v>CCompra de ViviendaCasco AntiguoResidencialNuevaApartamentoCOPA000000030000.00</v>
          </cell>
          <cell r="K744">
            <v>30000</v>
          </cell>
          <cell r="L744">
            <v>99999999</v>
          </cell>
          <cell r="M744">
            <v>70</v>
          </cell>
          <cell r="N744">
            <v>25</v>
          </cell>
          <cell r="O744">
            <v>3.25</v>
          </cell>
          <cell r="P744">
            <v>4.28</v>
          </cell>
        </row>
        <row r="745">
          <cell r="J745" t="str">
            <v>CCompra de ViviendaCasco AntiguoResidencialNuevaApartamentoFERIA000000030000.00</v>
          </cell>
          <cell r="K745">
            <v>30000</v>
          </cell>
          <cell r="L745">
            <v>99999999</v>
          </cell>
          <cell r="M745">
            <v>70</v>
          </cell>
          <cell r="N745">
            <v>25</v>
          </cell>
          <cell r="O745">
            <v>3.25</v>
          </cell>
          <cell r="P745">
            <v>4.28</v>
          </cell>
        </row>
        <row r="746">
          <cell r="J746" t="str">
            <v>CCompra de ViviendaCasco AntiguoResidencialNuevaCasaBG000000030000.00</v>
          </cell>
          <cell r="K746">
            <v>30000</v>
          </cell>
          <cell r="L746">
            <v>99999999</v>
          </cell>
          <cell r="M746">
            <v>70</v>
          </cell>
          <cell r="N746">
            <v>25</v>
          </cell>
          <cell r="O746">
            <v>3.25</v>
          </cell>
          <cell r="P746">
            <v>8.56</v>
          </cell>
        </row>
        <row r="747">
          <cell r="J747" t="str">
            <v>CCompra de ViviendaCasco AntiguoResidencialNuevaCasaCOPA000000030000.00</v>
          </cell>
          <cell r="K747">
            <v>30000</v>
          </cell>
          <cell r="L747">
            <v>99999999</v>
          </cell>
          <cell r="M747">
            <v>70</v>
          </cell>
          <cell r="N747">
            <v>25</v>
          </cell>
          <cell r="O747">
            <v>3.25</v>
          </cell>
          <cell r="P747">
            <v>4.28</v>
          </cell>
        </row>
        <row r="748">
          <cell r="J748" t="str">
            <v>CCompra de ViviendaCasco AntiguoResidencialNuevaCasaFERIA000000030000.00</v>
          </cell>
          <cell r="K748">
            <v>30000</v>
          </cell>
          <cell r="L748">
            <v>99999999</v>
          </cell>
          <cell r="M748">
            <v>70</v>
          </cell>
          <cell r="N748">
            <v>25</v>
          </cell>
          <cell r="O748">
            <v>3.25</v>
          </cell>
          <cell r="P748">
            <v>4.28</v>
          </cell>
        </row>
        <row r="749">
          <cell r="J749" t="str">
            <v>CCompra de ViviendaCasco AntiguoResidencialUsadaApartamentoBG000000030000.00</v>
          </cell>
          <cell r="K749">
            <v>30000</v>
          </cell>
          <cell r="L749">
            <v>99999999</v>
          </cell>
          <cell r="M749">
            <v>70</v>
          </cell>
          <cell r="N749">
            <v>25</v>
          </cell>
          <cell r="O749">
            <v>3.25</v>
          </cell>
          <cell r="P749">
            <v>8.56</v>
          </cell>
        </row>
        <row r="750">
          <cell r="J750" t="str">
            <v>CCompra de ViviendaCasco AntiguoResidencialUsadaApartamentoCOPA000000030000.00</v>
          </cell>
          <cell r="K750">
            <v>30000</v>
          </cell>
          <cell r="L750">
            <v>99999999</v>
          </cell>
          <cell r="M750">
            <v>70</v>
          </cell>
          <cell r="N750">
            <v>25</v>
          </cell>
          <cell r="O750">
            <v>3.25</v>
          </cell>
          <cell r="P750">
            <v>4.28</v>
          </cell>
        </row>
        <row r="751">
          <cell r="J751" t="str">
            <v>CCompra de ViviendaCasco AntiguoResidencialUsadaApartamentoFERIA000000030000.00</v>
          </cell>
          <cell r="K751">
            <v>30000</v>
          </cell>
          <cell r="L751">
            <v>99999999</v>
          </cell>
          <cell r="M751">
            <v>70</v>
          </cell>
          <cell r="N751">
            <v>25</v>
          </cell>
          <cell r="O751">
            <v>3.25</v>
          </cell>
          <cell r="P751">
            <v>4.28</v>
          </cell>
        </row>
        <row r="752">
          <cell r="J752" t="str">
            <v>CCompra de ViviendaCasco AntiguoResidencialUsadaCasaBG000000030000.00</v>
          </cell>
          <cell r="K752">
            <v>30000</v>
          </cell>
          <cell r="L752">
            <v>99999999</v>
          </cell>
          <cell r="M752">
            <v>70</v>
          </cell>
          <cell r="N752">
            <v>25</v>
          </cell>
          <cell r="O752">
            <v>3.25</v>
          </cell>
          <cell r="P752">
            <v>8.56</v>
          </cell>
        </row>
        <row r="753">
          <cell r="J753" t="str">
            <v>CCompra de ViviendaCasco AntiguoResidencialUsadaCasaCOPA000000030000.00</v>
          </cell>
          <cell r="K753">
            <v>30000</v>
          </cell>
          <cell r="L753">
            <v>99999999</v>
          </cell>
          <cell r="M753">
            <v>70</v>
          </cell>
          <cell r="N753">
            <v>25</v>
          </cell>
          <cell r="O753">
            <v>3.25</v>
          </cell>
          <cell r="P753">
            <v>4.28</v>
          </cell>
        </row>
        <row r="754">
          <cell r="J754" t="str">
            <v>CCompra de ViviendaCasco AntiguoResidencialUsadaCasaFERIA000000030000.00</v>
          </cell>
          <cell r="K754">
            <v>30000</v>
          </cell>
          <cell r="L754">
            <v>99999999</v>
          </cell>
          <cell r="M754">
            <v>70</v>
          </cell>
          <cell r="N754">
            <v>25</v>
          </cell>
          <cell r="O754">
            <v>3.25</v>
          </cell>
          <cell r="P754">
            <v>4.28</v>
          </cell>
        </row>
        <row r="755">
          <cell r="J755" t="str">
            <v>CCompra de ViviendaIndividualReposeídoUsadaApartamentoBG000000030000.00</v>
          </cell>
          <cell r="K755">
            <v>30000</v>
          </cell>
          <cell r="L755">
            <v>250000</v>
          </cell>
          <cell r="M755">
            <v>70</v>
          </cell>
          <cell r="N755">
            <v>25</v>
          </cell>
          <cell r="O755">
            <v>6.75</v>
          </cell>
          <cell r="P755">
            <v>0</v>
          </cell>
        </row>
        <row r="756">
          <cell r="J756" t="str">
            <v>CCompra de ViviendaIndividualReposeídoUsadaApartamentoBG000000250000.01</v>
          </cell>
          <cell r="K756">
            <v>250000.01</v>
          </cell>
          <cell r="L756">
            <v>500000</v>
          </cell>
          <cell r="M756">
            <v>70</v>
          </cell>
          <cell r="N756">
            <v>25</v>
          </cell>
          <cell r="O756">
            <v>6.75</v>
          </cell>
          <cell r="P756">
            <v>0</v>
          </cell>
        </row>
        <row r="757">
          <cell r="J757" t="str">
            <v>CCompra de ViviendaIndividualReposeídoUsadaApartamentoBG000000500000.01</v>
          </cell>
          <cell r="K757">
            <v>500000.01</v>
          </cell>
          <cell r="L757">
            <v>99999999</v>
          </cell>
          <cell r="M757">
            <v>70</v>
          </cell>
          <cell r="N757">
            <v>25</v>
          </cell>
          <cell r="O757">
            <v>6.75</v>
          </cell>
          <cell r="P757">
            <v>0</v>
          </cell>
        </row>
        <row r="758">
          <cell r="J758" t="str">
            <v>CCompra de ViviendaIndividualReposeídoUsadaApartamentoCOPA000000030000.00</v>
          </cell>
          <cell r="K758">
            <v>30000</v>
          </cell>
          <cell r="L758">
            <v>250000</v>
          </cell>
          <cell r="M758">
            <v>70</v>
          </cell>
          <cell r="N758">
            <v>25</v>
          </cell>
          <cell r="O758">
            <v>6.75</v>
          </cell>
          <cell r="P758">
            <v>0</v>
          </cell>
        </row>
        <row r="759">
          <cell r="J759" t="str">
            <v>CCompra de ViviendaIndividualReposeídoUsadaApartamentoCOPA000000250000.01</v>
          </cell>
          <cell r="K759">
            <v>250000.01</v>
          </cell>
          <cell r="L759">
            <v>500000</v>
          </cell>
          <cell r="M759">
            <v>70</v>
          </cell>
          <cell r="N759">
            <v>25</v>
          </cell>
          <cell r="O759">
            <v>6.75</v>
          </cell>
          <cell r="P759">
            <v>0</v>
          </cell>
        </row>
        <row r="760">
          <cell r="J760" t="str">
            <v>CCompra de ViviendaIndividualReposeídoUsadaApartamentoCOPA000000500000.01</v>
          </cell>
          <cell r="K760">
            <v>500000.01</v>
          </cell>
          <cell r="L760">
            <v>99999999</v>
          </cell>
          <cell r="M760">
            <v>70</v>
          </cell>
          <cell r="N760">
            <v>25</v>
          </cell>
          <cell r="O760">
            <v>6.75</v>
          </cell>
          <cell r="P760">
            <v>0</v>
          </cell>
        </row>
        <row r="761">
          <cell r="J761" t="str">
            <v>CCompra de ViviendaIndividualReposeídoUsadaApartamentoFERIA000000030000.00</v>
          </cell>
          <cell r="K761">
            <v>30000</v>
          </cell>
          <cell r="L761">
            <v>250000</v>
          </cell>
          <cell r="M761">
            <v>70</v>
          </cell>
          <cell r="N761">
            <v>25</v>
          </cell>
          <cell r="O761">
            <v>6.75</v>
          </cell>
          <cell r="P761">
            <v>0</v>
          </cell>
        </row>
        <row r="762">
          <cell r="J762" t="str">
            <v>CCompra de ViviendaIndividualReposeídoUsadaApartamentoFERIA000000250000.01</v>
          </cell>
          <cell r="K762">
            <v>250000.01</v>
          </cell>
          <cell r="L762">
            <v>500000</v>
          </cell>
          <cell r="M762">
            <v>70</v>
          </cell>
          <cell r="N762">
            <v>25</v>
          </cell>
          <cell r="O762">
            <v>6.75</v>
          </cell>
          <cell r="P762">
            <v>0</v>
          </cell>
        </row>
        <row r="763">
          <cell r="J763" t="str">
            <v>CCompra de ViviendaIndividualReposeídoUsadaApartamentoFERIA000000500000.01</v>
          </cell>
          <cell r="K763">
            <v>500000.01</v>
          </cell>
          <cell r="L763">
            <v>99999999</v>
          </cell>
          <cell r="M763">
            <v>70</v>
          </cell>
          <cell r="N763">
            <v>25</v>
          </cell>
          <cell r="O763">
            <v>6.75</v>
          </cell>
          <cell r="P763">
            <v>0</v>
          </cell>
        </row>
        <row r="764">
          <cell r="J764" t="str">
            <v>CCompra de ViviendaIndividualReposeídoUsadaCasaBG000000030000.00</v>
          </cell>
          <cell r="K764">
            <v>30000</v>
          </cell>
          <cell r="L764">
            <v>250000</v>
          </cell>
          <cell r="M764">
            <v>70</v>
          </cell>
          <cell r="N764">
            <v>25</v>
          </cell>
          <cell r="O764">
            <v>6.75</v>
          </cell>
          <cell r="P764">
            <v>0</v>
          </cell>
        </row>
        <row r="765">
          <cell r="J765" t="str">
            <v>CCompra de ViviendaIndividualReposeídoUsadaCasaBG000000250000.01</v>
          </cell>
          <cell r="K765">
            <v>250000.01</v>
          </cell>
          <cell r="L765">
            <v>500000</v>
          </cell>
          <cell r="M765">
            <v>70</v>
          </cell>
          <cell r="N765">
            <v>25</v>
          </cell>
          <cell r="O765">
            <v>6.75</v>
          </cell>
          <cell r="P765">
            <v>0</v>
          </cell>
        </row>
        <row r="766">
          <cell r="J766" t="str">
            <v>CCompra de ViviendaIndividualReposeídoUsadaCasaBG000000500000.01</v>
          </cell>
          <cell r="K766">
            <v>500000.01</v>
          </cell>
          <cell r="L766">
            <v>99999999</v>
          </cell>
          <cell r="M766">
            <v>70</v>
          </cell>
          <cell r="N766">
            <v>25</v>
          </cell>
          <cell r="O766">
            <v>6.75</v>
          </cell>
          <cell r="P766">
            <v>0</v>
          </cell>
        </row>
        <row r="767">
          <cell r="J767" t="str">
            <v>CCompra de ViviendaIndividualReposeídoUsadaCasaCOPA000000030000.00</v>
          </cell>
          <cell r="K767">
            <v>30000</v>
          </cell>
          <cell r="L767">
            <v>250000</v>
          </cell>
          <cell r="M767">
            <v>70</v>
          </cell>
          <cell r="N767">
            <v>25</v>
          </cell>
          <cell r="O767">
            <v>6.75</v>
          </cell>
          <cell r="P767">
            <v>0</v>
          </cell>
        </row>
        <row r="768">
          <cell r="J768" t="str">
            <v>CCompra de ViviendaIndividualReposeídoUsadaCasaCOPA000000250000.01</v>
          </cell>
          <cell r="K768">
            <v>250000.01</v>
          </cell>
          <cell r="L768">
            <v>500000</v>
          </cell>
          <cell r="M768">
            <v>70</v>
          </cell>
          <cell r="N768">
            <v>25</v>
          </cell>
          <cell r="O768">
            <v>6.75</v>
          </cell>
          <cell r="P768">
            <v>0</v>
          </cell>
        </row>
        <row r="769">
          <cell r="J769" t="str">
            <v>CCompra de ViviendaIndividualReposeídoUsadaCasaCOPA000000500000.01</v>
          </cell>
          <cell r="K769">
            <v>500000.01</v>
          </cell>
          <cell r="L769">
            <v>99999999</v>
          </cell>
          <cell r="M769">
            <v>70</v>
          </cell>
          <cell r="N769">
            <v>25</v>
          </cell>
          <cell r="O769">
            <v>6.75</v>
          </cell>
          <cell r="P769">
            <v>0</v>
          </cell>
        </row>
        <row r="770">
          <cell r="J770" t="str">
            <v>CCompra de ViviendaIndividualReposeídoUsadaCasaFERIA000000030000.00</v>
          </cell>
          <cell r="K770">
            <v>30000</v>
          </cell>
          <cell r="L770">
            <v>250000</v>
          </cell>
          <cell r="M770">
            <v>70</v>
          </cell>
          <cell r="N770">
            <v>25</v>
          </cell>
          <cell r="O770">
            <v>6.75</v>
          </cell>
          <cell r="P770">
            <v>0</v>
          </cell>
        </row>
        <row r="771">
          <cell r="J771" t="str">
            <v>CCompra de ViviendaIndividualReposeídoUsadaCasaFERIA000000250000.01</v>
          </cell>
          <cell r="K771">
            <v>250000.01</v>
          </cell>
          <cell r="L771">
            <v>500000</v>
          </cell>
          <cell r="M771">
            <v>70</v>
          </cell>
          <cell r="N771">
            <v>25</v>
          </cell>
          <cell r="O771">
            <v>6.75</v>
          </cell>
          <cell r="P771">
            <v>0</v>
          </cell>
        </row>
        <row r="772">
          <cell r="J772" t="str">
            <v>CCompra de ViviendaIndividualReposeídoUsadaCasaFERIA000000500000.01</v>
          </cell>
          <cell r="K772">
            <v>500000.01</v>
          </cell>
          <cell r="L772">
            <v>99999999</v>
          </cell>
          <cell r="M772">
            <v>70</v>
          </cell>
          <cell r="N772">
            <v>25</v>
          </cell>
          <cell r="O772">
            <v>6.75</v>
          </cell>
          <cell r="P772">
            <v>0</v>
          </cell>
        </row>
        <row r="773">
          <cell r="J773" t="str">
            <v>CCompra de ViviendaIndividualResidencialNuevaApartamentoBG000000030000.00</v>
          </cell>
          <cell r="K773">
            <v>30000</v>
          </cell>
          <cell r="L773">
            <v>100000</v>
          </cell>
          <cell r="M773">
            <v>70</v>
          </cell>
          <cell r="N773">
            <v>25</v>
          </cell>
          <cell r="O773">
            <v>6.75</v>
          </cell>
          <cell r="P773">
            <v>0</v>
          </cell>
        </row>
        <row r="774">
          <cell r="J774" t="str">
            <v>CCompra de ViviendaIndividualResidencialNuevaApartamentoBG000000100000.01</v>
          </cell>
          <cell r="K774">
            <v>100000.01</v>
          </cell>
          <cell r="L774">
            <v>250000</v>
          </cell>
          <cell r="M774">
            <v>70</v>
          </cell>
          <cell r="N774">
            <v>25</v>
          </cell>
          <cell r="O774">
            <v>6.75</v>
          </cell>
          <cell r="P774">
            <v>0</v>
          </cell>
        </row>
        <row r="775">
          <cell r="J775" t="str">
            <v>CCompra de ViviendaIndividualResidencialNuevaApartamentoBG000000250000.01</v>
          </cell>
          <cell r="K775">
            <v>250000.01</v>
          </cell>
          <cell r="L775">
            <v>500000</v>
          </cell>
          <cell r="M775">
            <v>70</v>
          </cell>
          <cell r="N775">
            <v>25</v>
          </cell>
          <cell r="O775">
            <v>6.75</v>
          </cell>
          <cell r="P775">
            <v>0</v>
          </cell>
        </row>
        <row r="776">
          <cell r="J776" t="str">
            <v>CCompra de ViviendaIndividualResidencialNuevaApartamentoBG000000500000.01</v>
          </cell>
          <cell r="K776">
            <v>500000.01</v>
          </cell>
          <cell r="L776">
            <v>99999999</v>
          </cell>
          <cell r="M776">
            <v>70</v>
          </cell>
          <cell r="N776">
            <v>25</v>
          </cell>
          <cell r="O776">
            <v>6.75</v>
          </cell>
          <cell r="P776">
            <v>0</v>
          </cell>
        </row>
        <row r="777">
          <cell r="J777" t="str">
            <v>CCompra de ViviendaIndividualResidencialNuevaApartamentoCOPA000000030000.00</v>
          </cell>
          <cell r="K777">
            <v>30000</v>
          </cell>
          <cell r="L777">
            <v>100000</v>
          </cell>
          <cell r="M777">
            <v>70</v>
          </cell>
          <cell r="N777">
            <v>25</v>
          </cell>
          <cell r="O777">
            <v>6.75</v>
          </cell>
          <cell r="P777">
            <v>0</v>
          </cell>
        </row>
        <row r="778">
          <cell r="J778" t="str">
            <v>CCompra de ViviendaIndividualResidencialNuevaApartamentoCOPA000000100000.01</v>
          </cell>
          <cell r="K778">
            <v>100000.01</v>
          </cell>
          <cell r="L778">
            <v>250000</v>
          </cell>
          <cell r="M778">
            <v>70</v>
          </cell>
          <cell r="N778">
            <v>25</v>
          </cell>
          <cell r="O778">
            <v>6.75</v>
          </cell>
          <cell r="P778">
            <v>0</v>
          </cell>
        </row>
        <row r="779">
          <cell r="J779" t="str">
            <v>CCompra de ViviendaIndividualResidencialNuevaApartamentoCOPA000000250000.01</v>
          </cell>
          <cell r="K779">
            <v>250000.01</v>
          </cell>
          <cell r="L779">
            <v>500000</v>
          </cell>
          <cell r="M779">
            <v>70</v>
          </cell>
          <cell r="N779">
            <v>25</v>
          </cell>
          <cell r="O779">
            <v>6.75</v>
          </cell>
          <cell r="P779">
            <v>0</v>
          </cell>
        </row>
        <row r="780">
          <cell r="J780" t="str">
            <v>CCompra de ViviendaIndividualResidencialNuevaApartamentoCOPA000000500000.01</v>
          </cell>
          <cell r="K780">
            <v>500000.01</v>
          </cell>
          <cell r="L780">
            <v>99999999</v>
          </cell>
          <cell r="M780">
            <v>70</v>
          </cell>
          <cell r="N780">
            <v>25</v>
          </cell>
          <cell r="O780">
            <v>6.75</v>
          </cell>
          <cell r="P780">
            <v>0</v>
          </cell>
        </row>
        <row r="781">
          <cell r="J781" t="str">
            <v>CCompra de ViviendaIndividualResidencialNuevaApartamentoFERIA000000030000.00</v>
          </cell>
          <cell r="K781">
            <v>30000</v>
          </cell>
          <cell r="L781">
            <v>100000</v>
          </cell>
          <cell r="M781">
            <v>70</v>
          </cell>
          <cell r="N781">
            <v>25</v>
          </cell>
          <cell r="O781">
            <v>6.75</v>
          </cell>
          <cell r="P781">
            <v>0</v>
          </cell>
        </row>
        <row r="782">
          <cell r="J782" t="str">
            <v>CCompra de ViviendaIndividualResidencialNuevaApartamentoFERIA000000100000.01</v>
          </cell>
          <cell r="K782">
            <v>100000.01</v>
          </cell>
          <cell r="L782">
            <v>250000</v>
          </cell>
          <cell r="M782">
            <v>70</v>
          </cell>
          <cell r="N782">
            <v>25</v>
          </cell>
          <cell r="O782">
            <v>6.75</v>
          </cell>
          <cell r="P782">
            <v>0</v>
          </cell>
        </row>
        <row r="783">
          <cell r="J783" t="str">
            <v>CCompra de ViviendaIndividualResidencialNuevaApartamentoFERIA000000250000.01</v>
          </cell>
          <cell r="K783">
            <v>250000.01</v>
          </cell>
          <cell r="L783">
            <v>500000</v>
          </cell>
          <cell r="M783">
            <v>70</v>
          </cell>
          <cell r="N783">
            <v>25</v>
          </cell>
          <cell r="O783">
            <v>6.75</v>
          </cell>
          <cell r="P783">
            <v>0</v>
          </cell>
        </row>
        <row r="784">
          <cell r="J784" t="str">
            <v>CCompra de ViviendaIndividualResidencialNuevaApartamentoFERIA000000500000.01</v>
          </cell>
          <cell r="K784">
            <v>500000.01</v>
          </cell>
          <cell r="L784">
            <v>99999999</v>
          </cell>
          <cell r="M784">
            <v>70</v>
          </cell>
          <cell r="N784">
            <v>25</v>
          </cell>
          <cell r="O784">
            <v>6.75</v>
          </cell>
          <cell r="P784">
            <v>0</v>
          </cell>
        </row>
        <row r="785">
          <cell r="J785" t="str">
            <v>CCompra de ViviendaIndividualResidencialNuevaCasaBG000000018000.00</v>
          </cell>
          <cell r="K785">
            <v>18000</v>
          </cell>
          <cell r="L785">
            <v>100000</v>
          </cell>
          <cell r="M785">
            <v>70</v>
          </cell>
          <cell r="N785">
            <v>25</v>
          </cell>
          <cell r="O785">
            <v>6.75</v>
          </cell>
          <cell r="P785">
            <v>0</v>
          </cell>
        </row>
        <row r="786">
          <cell r="J786" t="str">
            <v>CCompra de ViviendaIndividualResidencialNuevaCasaBG000000100000.01</v>
          </cell>
          <cell r="K786">
            <v>100000.01</v>
          </cell>
          <cell r="L786">
            <v>250000</v>
          </cell>
          <cell r="M786">
            <v>70</v>
          </cell>
          <cell r="N786">
            <v>25</v>
          </cell>
          <cell r="O786">
            <v>6.75</v>
          </cell>
          <cell r="P786">
            <v>0</v>
          </cell>
        </row>
        <row r="787">
          <cell r="J787" t="str">
            <v>CCompra de ViviendaIndividualResidencialNuevaCasaBG000000250000.01</v>
          </cell>
          <cell r="K787">
            <v>250000.01</v>
          </cell>
          <cell r="L787">
            <v>600000</v>
          </cell>
          <cell r="M787">
            <v>70</v>
          </cell>
          <cell r="N787">
            <v>25</v>
          </cell>
          <cell r="O787">
            <v>6.75</v>
          </cell>
          <cell r="P787">
            <v>0</v>
          </cell>
        </row>
        <row r="788">
          <cell r="J788" t="str">
            <v>CCompra de ViviendaIndividualResidencialNuevaCasaBG000000600000.01</v>
          </cell>
          <cell r="K788">
            <v>600000.01</v>
          </cell>
          <cell r="L788">
            <v>99999999</v>
          </cell>
          <cell r="M788">
            <v>70</v>
          </cell>
          <cell r="N788">
            <v>25</v>
          </cell>
          <cell r="O788">
            <v>6.75</v>
          </cell>
          <cell r="P788">
            <v>0</v>
          </cell>
        </row>
        <row r="789">
          <cell r="J789" t="str">
            <v>CCompra de ViviendaIndividualResidencialNuevaCasaCOPA000000018000.00</v>
          </cell>
          <cell r="K789">
            <v>18000</v>
          </cell>
          <cell r="L789">
            <v>100000</v>
          </cell>
          <cell r="M789">
            <v>70</v>
          </cell>
          <cell r="N789">
            <v>25</v>
          </cell>
          <cell r="O789">
            <v>6.75</v>
          </cell>
          <cell r="P789">
            <v>0</v>
          </cell>
        </row>
        <row r="790">
          <cell r="J790" t="str">
            <v>CCompra de ViviendaIndividualResidencialNuevaCasaCOPA000000100000.01</v>
          </cell>
          <cell r="K790">
            <v>100000.01</v>
          </cell>
          <cell r="L790">
            <v>250000</v>
          </cell>
          <cell r="M790">
            <v>70</v>
          </cell>
          <cell r="N790">
            <v>25</v>
          </cell>
          <cell r="O790">
            <v>6.75</v>
          </cell>
          <cell r="P790">
            <v>0</v>
          </cell>
        </row>
        <row r="791">
          <cell r="J791" t="str">
            <v>CCompra de ViviendaIndividualResidencialNuevaCasaCOPA000000250000.01</v>
          </cell>
          <cell r="K791">
            <v>250000.01</v>
          </cell>
          <cell r="L791">
            <v>600000</v>
          </cell>
          <cell r="M791">
            <v>70</v>
          </cell>
          <cell r="N791">
            <v>25</v>
          </cell>
          <cell r="O791">
            <v>6.75</v>
          </cell>
          <cell r="P791">
            <v>0</v>
          </cell>
        </row>
        <row r="792">
          <cell r="J792" t="str">
            <v>CCompra de ViviendaIndividualResidencialNuevaCasaCOPA000000600000.01</v>
          </cell>
          <cell r="K792">
            <v>600000.01</v>
          </cell>
          <cell r="L792">
            <v>99999999</v>
          </cell>
          <cell r="M792">
            <v>70</v>
          </cell>
          <cell r="N792">
            <v>25</v>
          </cell>
          <cell r="O792">
            <v>6.75</v>
          </cell>
          <cell r="P792">
            <v>0</v>
          </cell>
        </row>
        <row r="793">
          <cell r="J793" t="str">
            <v>CCompra de ViviendaIndividualResidencialNuevaCasaFERIA000000018000.00</v>
          </cell>
          <cell r="K793">
            <v>18000</v>
          </cell>
          <cell r="L793">
            <v>100000</v>
          </cell>
          <cell r="M793">
            <v>70</v>
          </cell>
          <cell r="N793">
            <v>25</v>
          </cell>
          <cell r="O793">
            <v>6.75</v>
          </cell>
          <cell r="P793">
            <v>0</v>
          </cell>
        </row>
        <row r="794">
          <cell r="J794" t="str">
            <v>CCompra de ViviendaIndividualResidencialNuevaCasaFERIA000000100000.01</v>
          </cell>
          <cell r="K794">
            <v>100000.01</v>
          </cell>
          <cell r="L794">
            <v>250000</v>
          </cell>
          <cell r="M794">
            <v>70</v>
          </cell>
          <cell r="N794">
            <v>25</v>
          </cell>
          <cell r="O794">
            <v>6.75</v>
          </cell>
          <cell r="P794">
            <v>0</v>
          </cell>
        </row>
        <row r="795">
          <cell r="J795" t="str">
            <v>CCompra de ViviendaIndividualResidencialNuevaCasaFERIA000000250000.01</v>
          </cell>
          <cell r="K795">
            <v>250000.01</v>
          </cell>
          <cell r="L795">
            <v>600000</v>
          </cell>
          <cell r="M795">
            <v>70</v>
          </cell>
          <cell r="N795">
            <v>25</v>
          </cell>
          <cell r="O795">
            <v>6.75</v>
          </cell>
          <cell r="P795">
            <v>0</v>
          </cell>
        </row>
        <row r="796">
          <cell r="J796" t="str">
            <v>CCompra de ViviendaIndividualResidencialNuevaCasaFERIA000000600000.01</v>
          </cell>
          <cell r="K796">
            <v>600000.01</v>
          </cell>
          <cell r="L796">
            <v>99999999</v>
          </cell>
          <cell r="M796">
            <v>70</v>
          </cell>
          <cell r="N796">
            <v>25</v>
          </cell>
          <cell r="O796">
            <v>6.75</v>
          </cell>
          <cell r="P796">
            <v>0</v>
          </cell>
        </row>
        <row r="797">
          <cell r="J797" t="str">
            <v>CCompra de ViviendaIndividualResidencialUsadaApartamentoBG000000030000.00</v>
          </cell>
          <cell r="K797">
            <v>30000</v>
          </cell>
          <cell r="L797">
            <v>250000</v>
          </cell>
          <cell r="M797">
            <v>70</v>
          </cell>
          <cell r="N797">
            <v>25</v>
          </cell>
          <cell r="O797">
            <v>6.75</v>
          </cell>
          <cell r="P797">
            <v>0</v>
          </cell>
        </row>
        <row r="798">
          <cell r="J798" t="str">
            <v>CCompra de ViviendaIndividualResidencialUsadaApartamentoBG000000250000.01</v>
          </cell>
          <cell r="K798">
            <v>250000.01</v>
          </cell>
          <cell r="L798">
            <v>500000</v>
          </cell>
          <cell r="M798">
            <v>70</v>
          </cell>
          <cell r="N798">
            <v>25</v>
          </cell>
          <cell r="O798">
            <v>6.75</v>
          </cell>
          <cell r="P798">
            <v>0</v>
          </cell>
        </row>
        <row r="799">
          <cell r="J799" t="str">
            <v>CCompra de ViviendaIndividualResidencialUsadaApartamentoBG000000500000.01</v>
          </cell>
          <cell r="K799">
            <v>500000.01</v>
          </cell>
          <cell r="L799">
            <v>99999999</v>
          </cell>
          <cell r="M799">
            <v>70</v>
          </cell>
          <cell r="N799">
            <v>25</v>
          </cell>
          <cell r="O799">
            <v>6.75</v>
          </cell>
          <cell r="P799">
            <v>0</v>
          </cell>
        </row>
        <row r="800">
          <cell r="J800" t="str">
            <v>CCompra de ViviendaIndividualResidencialUsadaApartamentoCOPA000000030000.00</v>
          </cell>
          <cell r="K800">
            <v>30000</v>
          </cell>
          <cell r="L800">
            <v>250000</v>
          </cell>
          <cell r="M800">
            <v>70</v>
          </cell>
          <cell r="N800">
            <v>25</v>
          </cell>
          <cell r="O800">
            <v>6.75</v>
          </cell>
          <cell r="P800">
            <v>0</v>
          </cell>
        </row>
        <row r="801">
          <cell r="J801" t="str">
            <v>CCompra de ViviendaIndividualResidencialUsadaApartamentoCOPA000000250000.01</v>
          </cell>
          <cell r="K801">
            <v>250000.01</v>
          </cell>
          <cell r="L801">
            <v>500000</v>
          </cell>
          <cell r="M801">
            <v>70</v>
          </cell>
          <cell r="N801">
            <v>25</v>
          </cell>
          <cell r="O801">
            <v>6.75</v>
          </cell>
          <cell r="P801">
            <v>0</v>
          </cell>
        </row>
        <row r="802">
          <cell r="J802" t="str">
            <v>CCompra de ViviendaIndividualResidencialUsadaApartamentoCOPA000000500000.01</v>
          </cell>
          <cell r="K802">
            <v>500000.01</v>
          </cell>
          <cell r="L802">
            <v>99999999</v>
          </cell>
          <cell r="M802">
            <v>70</v>
          </cell>
          <cell r="N802">
            <v>25</v>
          </cell>
          <cell r="O802">
            <v>6.75</v>
          </cell>
          <cell r="P802">
            <v>0</v>
          </cell>
        </row>
        <row r="803">
          <cell r="J803" t="str">
            <v>CCompra de ViviendaIndividualResidencialUsadaApartamentoFERIA000000030000.00</v>
          </cell>
          <cell r="K803">
            <v>30000</v>
          </cell>
          <cell r="L803">
            <v>250000</v>
          </cell>
          <cell r="M803">
            <v>70</v>
          </cell>
          <cell r="N803">
            <v>25</v>
          </cell>
          <cell r="O803">
            <v>6.75</v>
          </cell>
          <cell r="P803">
            <v>0</v>
          </cell>
        </row>
        <row r="804">
          <cell r="J804" t="str">
            <v>CCompra de ViviendaIndividualResidencialUsadaApartamentoFERIA000000250000.01</v>
          </cell>
          <cell r="K804">
            <v>250000.01</v>
          </cell>
          <cell r="L804">
            <v>500000</v>
          </cell>
          <cell r="M804">
            <v>70</v>
          </cell>
          <cell r="N804">
            <v>25</v>
          </cell>
          <cell r="O804">
            <v>6.75</v>
          </cell>
          <cell r="P804">
            <v>0</v>
          </cell>
        </row>
        <row r="805">
          <cell r="J805" t="str">
            <v>CCompra de ViviendaIndividualResidencialUsadaApartamentoFERIA000000500000.01</v>
          </cell>
          <cell r="K805">
            <v>500000.01</v>
          </cell>
          <cell r="L805">
            <v>99999999</v>
          </cell>
          <cell r="M805">
            <v>70</v>
          </cell>
          <cell r="N805">
            <v>25</v>
          </cell>
          <cell r="O805">
            <v>6.75</v>
          </cell>
          <cell r="P805">
            <v>0</v>
          </cell>
        </row>
        <row r="806">
          <cell r="J806" t="str">
            <v>CCompra de ViviendaIndividualResidencialUsadaCasaBG000000030000.00</v>
          </cell>
          <cell r="K806">
            <v>30000</v>
          </cell>
          <cell r="L806">
            <v>250000</v>
          </cell>
          <cell r="M806">
            <v>70</v>
          </cell>
          <cell r="N806">
            <v>25</v>
          </cell>
          <cell r="O806">
            <v>6.75</v>
          </cell>
          <cell r="P806">
            <v>0</v>
          </cell>
        </row>
        <row r="807">
          <cell r="J807" t="str">
            <v>CCompra de ViviendaIndividualResidencialUsadaCasaBG000000500000.01</v>
          </cell>
          <cell r="K807">
            <v>500000.01</v>
          </cell>
          <cell r="L807">
            <v>99999999</v>
          </cell>
          <cell r="M807">
            <v>70</v>
          </cell>
          <cell r="N807">
            <v>25</v>
          </cell>
          <cell r="O807">
            <v>6.75</v>
          </cell>
          <cell r="P807">
            <v>0</v>
          </cell>
        </row>
        <row r="808">
          <cell r="J808" t="str">
            <v>CCompra de ViviendaIndividualResidencialUsadaCasaBG000002500000.01</v>
          </cell>
          <cell r="K808">
            <v>2500000.0099999998</v>
          </cell>
          <cell r="L808">
            <v>500000</v>
          </cell>
          <cell r="M808">
            <v>70</v>
          </cell>
          <cell r="N808">
            <v>25</v>
          </cell>
          <cell r="O808">
            <v>6.75</v>
          </cell>
          <cell r="P808">
            <v>0</v>
          </cell>
        </row>
        <row r="809">
          <cell r="J809" t="str">
            <v>CCompra de ViviendaIndividualResidencialUsadaCasaCOPA000000030000.00</v>
          </cell>
          <cell r="K809">
            <v>30000</v>
          </cell>
          <cell r="L809">
            <v>250000</v>
          </cell>
          <cell r="M809">
            <v>70</v>
          </cell>
          <cell r="N809">
            <v>25</v>
          </cell>
          <cell r="O809">
            <v>6.75</v>
          </cell>
          <cell r="P809">
            <v>0</v>
          </cell>
        </row>
        <row r="810">
          <cell r="J810" t="str">
            <v>CCompra de ViviendaIndividualResidencialUsadaCasaCOPA000000500000.01</v>
          </cell>
          <cell r="K810">
            <v>500000.01</v>
          </cell>
          <cell r="L810">
            <v>99999999</v>
          </cell>
          <cell r="M810">
            <v>70</v>
          </cell>
          <cell r="N810">
            <v>25</v>
          </cell>
          <cell r="O810">
            <v>6.75</v>
          </cell>
          <cell r="P810">
            <v>0</v>
          </cell>
        </row>
        <row r="811">
          <cell r="J811" t="str">
            <v>CCompra de ViviendaIndividualResidencialUsadaCasaCOPA000002500000.01</v>
          </cell>
          <cell r="K811">
            <v>2500000.0099999998</v>
          </cell>
          <cell r="L811">
            <v>500000</v>
          </cell>
          <cell r="M811">
            <v>70</v>
          </cell>
          <cell r="N811">
            <v>25</v>
          </cell>
          <cell r="O811">
            <v>6.75</v>
          </cell>
          <cell r="P811">
            <v>0</v>
          </cell>
        </row>
        <row r="812">
          <cell r="J812" t="str">
            <v>CCompra de ViviendaIndividualResidencialUsadaCasaFERIA000000030000.00</v>
          </cell>
          <cell r="K812">
            <v>30000</v>
          </cell>
          <cell r="L812">
            <v>250000</v>
          </cell>
          <cell r="M812">
            <v>70</v>
          </cell>
          <cell r="N812">
            <v>25</v>
          </cell>
          <cell r="O812">
            <v>6.75</v>
          </cell>
          <cell r="P812">
            <v>0</v>
          </cell>
        </row>
        <row r="813">
          <cell r="J813" t="str">
            <v>CCompra de ViviendaIndividualResidencialUsadaCasaFERIA000000500000.01</v>
          </cell>
          <cell r="K813">
            <v>500000.01</v>
          </cell>
          <cell r="L813">
            <v>99999999</v>
          </cell>
          <cell r="M813">
            <v>70</v>
          </cell>
          <cell r="N813">
            <v>25</v>
          </cell>
          <cell r="O813">
            <v>6.75</v>
          </cell>
          <cell r="P813">
            <v>0</v>
          </cell>
        </row>
        <row r="814">
          <cell r="J814" t="str">
            <v>CCompra de ViviendaIndividualResidencialUsadaCasaFERIA000002500000.01</v>
          </cell>
          <cell r="K814">
            <v>2500000.0099999998</v>
          </cell>
          <cell r="L814">
            <v>500000</v>
          </cell>
          <cell r="M814">
            <v>70</v>
          </cell>
          <cell r="N814">
            <v>25</v>
          </cell>
          <cell r="O814">
            <v>6.75</v>
          </cell>
          <cell r="P814">
            <v>0</v>
          </cell>
        </row>
        <row r="815">
          <cell r="J815" t="str">
            <v>CCompra Venta de AccionesCasco AntiguoResidencialNuevaApartamentoBG000000030000.00</v>
          </cell>
          <cell r="K815">
            <v>30000</v>
          </cell>
          <cell r="L815">
            <v>99999999</v>
          </cell>
          <cell r="M815">
            <v>70</v>
          </cell>
          <cell r="N815">
            <v>25</v>
          </cell>
          <cell r="O815">
            <v>3.25</v>
          </cell>
          <cell r="P815">
            <v>4.28</v>
          </cell>
        </row>
        <row r="816">
          <cell r="J816" t="str">
            <v>CCompra Venta de AccionesCasco AntiguoResidencialNuevaCasaBG000000030000.00</v>
          </cell>
          <cell r="K816">
            <v>30000</v>
          </cell>
          <cell r="L816">
            <v>99999999</v>
          </cell>
          <cell r="M816">
            <v>70</v>
          </cell>
          <cell r="N816">
            <v>25</v>
          </cell>
          <cell r="O816">
            <v>3.25</v>
          </cell>
          <cell r="P816">
            <v>4.28</v>
          </cell>
        </row>
        <row r="817">
          <cell r="J817" t="str">
            <v>CCompra Venta de AccionesCasco AntiguoResidencialUsadaApartamentoBG000000030000.00</v>
          </cell>
          <cell r="K817">
            <v>30000</v>
          </cell>
          <cell r="L817">
            <v>99999999</v>
          </cell>
          <cell r="M817">
            <v>70</v>
          </cell>
          <cell r="N817">
            <v>25</v>
          </cell>
          <cell r="O817">
            <v>3.25</v>
          </cell>
          <cell r="P817">
            <v>4.28</v>
          </cell>
        </row>
        <row r="818">
          <cell r="J818" t="str">
            <v>CCompra Venta de AccionesCasco AntiguoResidencialUsadaCasaBG000000030000.00</v>
          </cell>
          <cell r="K818">
            <v>30000</v>
          </cell>
          <cell r="L818">
            <v>99999999</v>
          </cell>
          <cell r="M818">
            <v>70</v>
          </cell>
          <cell r="N818">
            <v>25</v>
          </cell>
          <cell r="O818">
            <v>3.25</v>
          </cell>
          <cell r="P818">
            <v>4.28</v>
          </cell>
        </row>
        <row r="819">
          <cell r="J819" t="str">
            <v>CCompra Venta de AccionesIndividualResidencialNuevaApartamentoBG000000030000.00</v>
          </cell>
          <cell r="K819">
            <v>30000</v>
          </cell>
          <cell r="L819">
            <v>100000</v>
          </cell>
          <cell r="M819">
            <v>70</v>
          </cell>
          <cell r="N819">
            <v>25</v>
          </cell>
          <cell r="O819">
            <v>6.5</v>
          </cell>
          <cell r="P819">
            <v>0</v>
          </cell>
        </row>
        <row r="820">
          <cell r="J820" t="str">
            <v>CCompra Venta de AccionesIndividualResidencialNuevaApartamentoBG000000100000.01</v>
          </cell>
          <cell r="K820">
            <v>100000.01</v>
          </cell>
          <cell r="L820">
            <v>250000</v>
          </cell>
          <cell r="M820">
            <v>70</v>
          </cell>
          <cell r="N820">
            <v>25</v>
          </cell>
          <cell r="O820">
            <v>6.5</v>
          </cell>
          <cell r="P820">
            <v>0</v>
          </cell>
        </row>
        <row r="821">
          <cell r="J821" t="str">
            <v>CCompra Venta de AccionesIndividualResidencialNuevaApartamentoBG000000250000.01</v>
          </cell>
          <cell r="K821">
            <v>250000.01</v>
          </cell>
          <cell r="L821">
            <v>400000</v>
          </cell>
          <cell r="M821">
            <v>70</v>
          </cell>
          <cell r="N821">
            <v>25</v>
          </cell>
          <cell r="O821">
            <v>6.5</v>
          </cell>
          <cell r="P821">
            <v>0</v>
          </cell>
        </row>
        <row r="822">
          <cell r="J822" t="str">
            <v>CCompra Venta de AccionesIndividualResidencialNuevaApartamentoBG000000400000.01</v>
          </cell>
          <cell r="K822">
            <v>400000.01</v>
          </cell>
          <cell r="L822">
            <v>99999999</v>
          </cell>
          <cell r="M822">
            <v>70</v>
          </cell>
          <cell r="N822">
            <v>25</v>
          </cell>
          <cell r="O822">
            <v>6.5</v>
          </cell>
          <cell r="P822">
            <v>0</v>
          </cell>
        </row>
        <row r="823">
          <cell r="J823" t="str">
            <v>CCompra Venta de AccionesIndividualResidencialNuevaCasaBG000000018000.00</v>
          </cell>
          <cell r="K823">
            <v>18000</v>
          </cell>
          <cell r="L823">
            <v>100000</v>
          </cell>
          <cell r="M823">
            <v>70</v>
          </cell>
          <cell r="N823">
            <v>25</v>
          </cell>
          <cell r="O823">
            <v>6.5</v>
          </cell>
          <cell r="P823">
            <v>0</v>
          </cell>
        </row>
        <row r="824">
          <cell r="J824" t="str">
            <v>CCompra Venta de AccionesIndividualResidencialNuevaCasaBG000000100000.01</v>
          </cell>
          <cell r="K824">
            <v>100000.01</v>
          </cell>
          <cell r="L824">
            <v>250000</v>
          </cell>
          <cell r="M824">
            <v>70</v>
          </cell>
          <cell r="N824">
            <v>25</v>
          </cell>
          <cell r="O824">
            <v>6.5</v>
          </cell>
          <cell r="P824">
            <v>0</v>
          </cell>
        </row>
        <row r="825">
          <cell r="J825" t="str">
            <v>CCompra Venta de AccionesIndividualResidencialNuevaCasaBG000000250000.01</v>
          </cell>
          <cell r="K825">
            <v>250000.01</v>
          </cell>
          <cell r="L825">
            <v>600000</v>
          </cell>
          <cell r="M825">
            <v>70</v>
          </cell>
          <cell r="N825">
            <v>25</v>
          </cell>
          <cell r="O825">
            <v>6.5</v>
          </cell>
          <cell r="P825">
            <v>0</v>
          </cell>
        </row>
        <row r="826">
          <cell r="J826" t="str">
            <v>CCompra Venta de AccionesIndividualResidencialNuevaCasaBG000000600000.01</v>
          </cell>
          <cell r="K826">
            <v>600000.01</v>
          </cell>
          <cell r="L826">
            <v>99999999</v>
          </cell>
          <cell r="M826">
            <v>70</v>
          </cell>
          <cell r="N826">
            <v>25</v>
          </cell>
          <cell r="O826">
            <v>6.5</v>
          </cell>
          <cell r="P826">
            <v>0</v>
          </cell>
        </row>
        <row r="827">
          <cell r="J827" t="str">
            <v>CCompra Venta de AccionesIndividualResidencialUsadaApartamentoBG000000030000.00</v>
          </cell>
          <cell r="K827">
            <v>30000</v>
          </cell>
          <cell r="L827">
            <v>250000</v>
          </cell>
          <cell r="M827">
            <v>70</v>
          </cell>
          <cell r="N827">
            <v>25</v>
          </cell>
          <cell r="O827">
            <v>6.75</v>
          </cell>
          <cell r="P827">
            <v>0</v>
          </cell>
        </row>
        <row r="828">
          <cell r="J828" t="str">
            <v>CCompra Venta de AccionesIndividualResidencialUsadaApartamentoBG000000250000.01</v>
          </cell>
          <cell r="K828">
            <v>250000.01</v>
          </cell>
          <cell r="L828">
            <v>500000</v>
          </cell>
          <cell r="M828">
            <v>70</v>
          </cell>
          <cell r="N828">
            <v>25</v>
          </cell>
          <cell r="O828">
            <v>6.75</v>
          </cell>
          <cell r="P828">
            <v>0</v>
          </cell>
        </row>
        <row r="829">
          <cell r="J829" t="str">
            <v>CCompra Venta de AccionesIndividualResidencialUsadaApartamentoBG000000500000.01</v>
          </cell>
          <cell r="K829">
            <v>500000.01</v>
          </cell>
          <cell r="L829">
            <v>99999999</v>
          </cell>
          <cell r="M829">
            <v>70</v>
          </cell>
          <cell r="N829">
            <v>25</v>
          </cell>
          <cell r="O829">
            <v>6.75</v>
          </cell>
          <cell r="P829">
            <v>0</v>
          </cell>
        </row>
        <row r="830">
          <cell r="J830" t="str">
            <v>CCompra Venta de AccionesIndividualResidencialUsadaCasaBG000000030000.00</v>
          </cell>
          <cell r="K830">
            <v>30000</v>
          </cell>
          <cell r="L830">
            <v>250000</v>
          </cell>
          <cell r="M830">
            <v>70</v>
          </cell>
          <cell r="N830">
            <v>25</v>
          </cell>
          <cell r="O830">
            <v>6.75</v>
          </cell>
          <cell r="P830">
            <v>0</v>
          </cell>
        </row>
        <row r="831">
          <cell r="J831" t="str">
            <v>CCompra Venta de AccionesIndividualResidencialUsadaCasaBG000000250000.01</v>
          </cell>
          <cell r="K831">
            <v>250000.01</v>
          </cell>
          <cell r="L831">
            <v>500000</v>
          </cell>
          <cell r="M831">
            <v>70</v>
          </cell>
          <cell r="N831">
            <v>25</v>
          </cell>
          <cell r="O831">
            <v>6.75</v>
          </cell>
          <cell r="P831">
            <v>0</v>
          </cell>
        </row>
        <row r="832">
          <cell r="J832" t="str">
            <v>CCompra Venta de AccionesIndividualResidencialUsadaCasaBG000000500000.01</v>
          </cell>
          <cell r="K832">
            <v>500000.01</v>
          </cell>
          <cell r="L832">
            <v>99999999</v>
          </cell>
          <cell r="M832">
            <v>70</v>
          </cell>
          <cell r="N832">
            <v>25</v>
          </cell>
          <cell r="O832">
            <v>6.75</v>
          </cell>
          <cell r="P832">
            <v>0</v>
          </cell>
        </row>
        <row r="833">
          <cell r="J833" t="str">
            <v>CCompra Vivienda VacacionalIndividualVacacionalNuevaApartamentoBG000000050000.00</v>
          </cell>
          <cell r="K833">
            <v>50000</v>
          </cell>
          <cell r="L833">
            <v>99999999</v>
          </cell>
          <cell r="M833">
            <v>60</v>
          </cell>
          <cell r="N833">
            <v>20</v>
          </cell>
          <cell r="O833">
            <v>7.5</v>
          </cell>
          <cell r="P833">
            <v>0</v>
          </cell>
        </row>
        <row r="834">
          <cell r="J834" t="str">
            <v>CCompra Vivienda VacacionalIndividualVacacionalNuevaApartamentoCOPA000000050000.00</v>
          </cell>
          <cell r="K834">
            <v>50000</v>
          </cell>
          <cell r="L834">
            <v>99999999</v>
          </cell>
          <cell r="M834">
            <v>60</v>
          </cell>
          <cell r="N834">
            <v>20</v>
          </cell>
          <cell r="O834">
            <v>7.5</v>
          </cell>
          <cell r="P834">
            <v>0</v>
          </cell>
        </row>
        <row r="835">
          <cell r="J835" t="str">
            <v>CCompra Vivienda VacacionalIndividualVacacionalNuevaApartamentoFERIA000000050000.00</v>
          </cell>
          <cell r="K835">
            <v>50000</v>
          </cell>
          <cell r="L835">
            <v>99999999</v>
          </cell>
          <cell r="M835">
            <v>60</v>
          </cell>
          <cell r="N835">
            <v>20</v>
          </cell>
          <cell r="O835">
            <v>7.5</v>
          </cell>
          <cell r="P835">
            <v>0</v>
          </cell>
        </row>
        <row r="836">
          <cell r="J836" t="str">
            <v>CCompra Vivienda VacacionalIndividualVacacionalNuevaCasaBG000000050000.00</v>
          </cell>
          <cell r="K836">
            <v>50000</v>
          </cell>
          <cell r="L836">
            <v>99999999</v>
          </cell>
          <cell r="M836">
            <v>60</v>
          </cell>
          <cell r="N836">
            <v>20</v>
          </cell>
          <cell r="O836">
            <v>7.5</v>
          </cell>
          <cell r="P836">
            <v>0</v>
          </cell>
        </row>
        <row r="837">
          <cell r="J837" t="str">
            <v>CCompra Vivienda VacacionalIndividualVacacionalNuevaCasaCOPA000000050000.00</v>
          </cell>
          <cell r="K837">
            <v>50000</v>
          </cell>
          <cell r="L837">
            <v>99999999</v>
          </cell>
          <cell r="M837">
            <v>60</v>
          </cell>
          <cell r="N837">
            <v>20</v>
          </cell>
          <cell r="O837">
            <v>7.5</v>
          </cell>
          <cell r="P837">
            <v>0</v>
          </cell>
        </row>
        <row r="838">
          <cell r="J838" t="str">
            <v>CCompra Vivienda VacacionalIndividualVacacionalNuevaCasaFERIA000000050000.00</v>
          </cell>
          <cell r="K838">
            <v>50000</v>
          </cell>
          <cell r="L838">
            <v>99999999</v>
          </cell>
          <cell r="M838">
            <v>60</v>
          </cell>
          <cell r="N838">
            <v>20</v>
          </cell>
          <cell r="O838">
            <v>7.5</v>
          </cell>
          <cell r="P838">
            <v>0</v>
          </cell>
        </row>
        <row r="839">
          <cell r="J839" t="str">
            <v>CCompra Vivienda VacacionalIndividualVacacionalUsadaApartamentoBG000000050000.00</v>
          </cell>
          <cell r="K839">
            <v>50000</v>
          </cell>
          <cell r="L839">
            <v>99999999</v>
          </cell>
          <cell r="M839">
            <v>60</v>
          </cell>
          <cell r="N839">
            <v>20</v>
          </cell>
          <cell r="O839">
            <v>7.5</v>
          </cell>
          <cell r="P839">
            <v>0</v>
          </cell>
        </row>
        <row r="840">
          <cell r="J840" t="str">
            <v>CCompra Vivienda VacacionalIndividualVacacionalUsadaApartamentoCOPA000000050000.00</v>
          </cell>
          <cell r="K840">
            <v>50000</v>
          </cell>
          <cell r="L840">
            <v>99999999</v>
          </cell>
          <cell r="M840">
            <v>60</v>
          </cell>
          <cell r="N840">
            <v>20</v>
          </cell>
          <cell r="O840">
            <v>7.5</v>
          </cell>
          <cell r="P840">
            <v>0</v>
          </cell>
        </row>
        <row r="841">
          <cell r="J841" t="str">
            <v>CCompra Vivienda VacacionalIndividualVacacionalUsadaApartamentoFERIA000000050000.00</v>
          </cell>
          <cell r="K841">
            <v>50000</v>
          </cell>
          <cell r="L841">
            <v>99999999</v>
          </cell>
          <cell r="M841">
            <v>60</v>
          </cell>
          <cell r="N841">
            <v>20</v>
          </cell>
          <cell r="O841">
            <v>7.5</v>
          </cell>
          <cell r="P841">
            <v>0</v>
          </cell>
        </row>
        <row r="842">
          <cell r="J842" t="str">
            <v>CCompra Vivienda VacacionalIndividualVacacionalUsadaCasaBG000000050000.00</v>
          </cell>
          <cell r="K842">
            <v>50000</v>
          </cell>
          <cell r="L842">
            <v>99999999</v>
          </cell>
          <cell r="M842">
            <v>60</v>
          </cell>
          <cell r="N842">
            <v>20</v>
          </cell>
          <cell r="O842">
            <v>7.5</v>
          </cell>
          <cell r="P842">
            <v>0</v>
          </cell>
        </row>
        <row r="843">
          <cell r="J843" t="str">
            <v>CCompra Vivienda VacacionalIndividualVacacionalUsadaCasaCOPA000000050000.00</v>
          </cell>
          <cell r="K843">
            <v>50000</v>
          </cell>
          <cell r="L843">
            <v>99999999</v>
          </cell>
          <cell r="M843">
            <v>60</v>
          </cell>
          <cell r="N843">
            <v>20</v>
          </cell>
          <cell r="O843">
            <v>7.5</v>
          </cell>
          <cell r="P843">
            <v>0</v>
          </cell>
        </row>
        <row r="844">
          <cell r="J844" t="str">
            <v>CCompra Vivienda VacacionalIndividualVacacionalUsadaCasaFERIA000000050000.00</v>
          </cell>
          <cell r="K844">
            <v>50000</v>
          </cell>
          <cell r="L844">
            <v>99999999</v>
          </cell>
          <cell r="M844">
            <v>60</v>
          </cell>
          <cell r="N844">
            <v>20</v>
          </cell>
          <cell r="O844">
            <v>7.5</v>
          </cell>
          <cell r="P844">
            <v>0</v>
          </cell>
        </row>
        <row r="845">
          <cell r="J845" t="str">
            <v>CTraspaso de Otro BancoIndividualResidencialUsadaApartamentoBG000000030000.00</v>
          </cell>
          <cell r="K845">
            <v>30000</v>
          </cell>
          <cell r="L845">
            <v>250000</v>
          </cell>
          <cell r="M845">
            <v>70</v>
          </cell>
          <cell r="N845">
            <v>25</v>
          </cell>
          <cell r="O845">
            <v>6.5</v>
          </cell>
          <cell r="P845">
            <v>0</v>
          </cell>
        </row>
        <row r="846">
          <cell r="J846" t="str">
            <v>CTraspaso de Otro BancoIndividualResidencialUsadaApartamentoBG000000250000.01</v>
          </cell>
          <cell r="K846">
            <v>250000.01</v>
          </cell>
          <cell r="L846">
            <v>500000</v>
          </cell>
          <cell r="M846">
            <v>70</v>
          </cell>
          <cell r="N846">
            <v>25</v>
          </cell>
          <cell r="O846">
            <v>6.5</v>
          </cell>
          <cell r="P846">
            <v>0</v>
          </cell>
        </row>
        <row r="847">
          <cell r="J847" t="str">
            <v>CTraspaso de Otro BancoIndividualResidencialUsadaApartamentoBG000000500000.01</v>
          </cell>
          <cell r="K847">
            <v>500000.01</v>
          </cell>
          <cell r="L847">
            <v>99999999</v>
          </cell>
          <cell r="M847">
            <v>70</v>
          </cell>
          <cell r="N847">
            <v>25</v>
          </cell>
          <cell r="O847">
            <v>6.5</v>
          </cell>
          <cell r="P847">
            <v>0</v>
          </cell>
        </row>
        <row r="848">
          <cell r="J848" t="str">
            <v>CTraspaso de Otro BancoIndividualResidencialUsadaApartamentoCOPA000000030000.00</v>
          </cell>
          <cell r="K848">
            <v>30000</v>
          </cell>
          <cell r="L848">
            <v>250000</v>
          </cell>
          <cell r="M848">
            <v>70</v>
          </cell>
          <cell r="N848">
            <v>25</v>
          </cell>
          <cell r="O848">
            <v>6.5</v>
          </cell>
          <cell r="P848">
            <v>0</v>
          </cell>
        </row>
        <row r="849">
          <cell r="J849" t="str">
            <v>CTraspaso de Otro BancoIndividualResidencialUsadaApartamentoCOPA000000250000.01</v>
          </cell>
          <cell r="K849">
            <v>250000.01</v>
          </cell>
          <cell r="L849">
            <v>500000</v>
          </cell>
          <cell r="M849">
            <v>70</v>
          </cell>
          <cell r="N849">
            <v>25</v>
          </cell>
          <cell r="O849">
            <v>6.5</v>
          </cell>
          <cell r="P849">
            <v>0</v>
          </cell>
        </row>
        <row r="850">
          <cell r="J850" t="str">
            <v>CTraspaso de Otro BancoIndividualResidencialUsadaApartamentoCOPA000000500000.01</v>
          </cell>
          <cell r="K850">
            <v>500000.01</v>
          </cell>
          <cell r="L850">
            <v>99999999</v>
          </cell>
          <cell r="M850">
            <v>70</v>
          </cell>
          <cell r="N850">
            <v>25</v>
          </cell>
          <cell r="O850">
            <v>6.5</v>
          </cell>
          <cell r="P850">
            <v>0</v>
          </cell>
        </row>
        <row r="851">
          <cell r="J851" t="str">
            <v>CTraspaso de Otro BancoIndividualResidencialUsadaApartamentoFERIA000000030000.00</v>
          </cell>
          <cell r="K851">
            <v>30000</v>
          </cell>
          <cell r="L851">
            <v>250000</v>
          </cell>
          <cell r="M851">
            <v>70</v>
          </cell>
          <cell r="N851">
            <v>25</v>
          </cell>
          <cell r="O851">
            <v>6.5</v>
          </cell>
          <cell r="P851">
            <v>0</v>
          </cell>
        </row>
        <row r="852">
          <cell r="J852" t="str">
            <v>CTraspaso de Otro BancoIndividualResidencialUsadaApartamentoFERIA000000250000.01</v>
          </cell>
          <cell r="K852">
            <v>250000.01</v>
          </cell>
          <cell r="L852">
            <v>500000</v>
          </cell>
          <cell r="M852">
            <v>70</v>
          </cell>
          <cell r="N852">
            <v>25</v>
          </cell>
          <cell r="O852">
            <v>6.5</v>
          </cell>
          <cell r="P852">
            <v>0</v>
          </cell>
        </row>
        <row r="853">
          <cell r="J853" t="str">
            <v>CTraspaso de Otro BancoIndividualResidencialUsadaApartamentoFERIA000000500000.01</v>
          </cell>
          <cell r="K853">
            <v>500000.01</v>
          </cell>
          <cell r="L853">
            <v>99999999</v>
          </cell>
          <cell r="M853">
            <v>70</v>
          </cell>
          <cell r="N853">
            <v>25</v>
          </cell>
          <cell r="O853">
            <v>6.5</v>
          </cell>
          <cell r="P853">
            <v>0</v>
          </cell>
        </row>
        <row r="854">
          <cell r="J854" t="str">
            <v>CTraspaso de Otro BancoIndividualResidencialUsadaCasaBG000000030000.00</v>
          </cell>
          <cell r="K854">
            <v>30000</v>
          </cell>
          <cell r="L854">
            <v>250000</v>
          </cell>
          <cell r="M854">
            <v>70</v>
          </cell>
          <cell r="N854">
            <v>25</v>
          </cell>
          <cell r="O854">
            <v>6.5</v>
          </cell>
          <cell r="P854">
            <v>0</v>
          </cell>
        </row>
        <row r="855">
          <cell r="J855" t="str">
            <v>CTraspaso de Otro BancoIndividualResidencialUsadaCasaBG000000250000.01</v>
          </cell>
          <cell r="K855">
            <v>250000.01</v>
          </cell>
          <cell r="L855">
            <v>500000</v>
          </cell>
          <cell r="M855">
            <v>70</v>
          </cell>
          <cell r="N855">
            <v>25</v>
          </cell>
          <cell r="O855">
            <v>6.5</v>
          </cell>
          <cell r="P855">
            <v>0</v>
          </cell>
        </row>
        <row r="856">
          <cell r="J856" t="str">
            <v>CTraspaso de Otro BancoIndividualResidencialUsadaCasaBG000000500000.01</v>
          </cell>
          <cell r="K856">
            <v>500000.01</v>
          </cell>
          <cell r="L856">
            <v>99999999</v>
          </cell>
          <cell r="M856">
            <v>70</v>
          </cell>
          <cell r="N856">
            <v>25</v>
          </cell>
          <cell r="O856">
            <v>6.5</v>
          </cell>
          <cell r="P856">
            <v>0</v>
          </cell>
        </row>
        <row r="857">
          <cell r="J857" t="str">
            <v>CTraspaso de Otro BancoIndividualResidencialUsadaCasaCOPA000000030000.00</v>
          </cell>
          <cell r="K857">
            <v>30000</v>
          </cell>
          <cell r="L857">
            <v>250000</v>
          </cell>
          <cell r="M857">
            <v>70</v>
          </cell>
          <cell r="N857">
            <v>25</v>
          </cell>
          <cell r="O857">
            <v>6.5</v>
          </cell>
          <cell r="P857">
            <v>0</v>
          </cell>
        </row>
        <row r="858">
          <cell r="J858" t="str">
            <v>CTraspaso de Otro BancoIndividualResidencialUsadaCasaCOPA000000250000.01</v>
          </cell>
          <cell r="K858">
            <v>250000.01</v>
          </cell>
          <cell r="L858">
            <v>500000</v>
          </cell>
          <cell r="M858">
            <v>70</v>
          </cell>
          <cell r="N858">
            <v>25</v>
          </cell>
          <cell r="O858">
            <v>6.5</v>
          </cell>
          <cell r="P858">
            <v>0</v>
          </cell>
        </row>
        <row r="859">
          <cell r="J859" t="str">
            <v>CTraspaso de Otro BancoIndividualResidencialUsadaCasaCOPA000000500000.01</v>
          </cell>
          <cell r="K859">
            <v>500000.01</v>
          </cell>
          <cell r="L859">
            <v>99999999</v>
          </cell>
          <cell r="M859">
            <v>70</v>
          </cell>
          <cell r="N859">
            <v>25</v>
          </cell>
          <cell r="O859">
            <v>6.5</v>
          </cell>
          <cell r="P859">
            <v>0</v>
          </cell>
        </row>
        <row r="860">
          <cell r="J860" t="str">
            <v>CTraspaso de Otro BancoIndividualResidencialUsadaCasaFERIA000000030000.00</v>
          </cell>
          <cell r="K860">
            <v>30000</v>
          </cell>
          <cell r="L860">
            <v>250000</v>
          </cell>
          <cell r="M860">
            <v>70</v>
          </cell>
          <cell r="N860">
            <v>25</v>
          </cell>
          <cell r="O860">
            <v>6.5</v>
          </cell>
          <cell r="P860">
            <v>0</v>
          </cell>
        </row>
        <row r="861">
          <cell r="J861" t="str">
            <v>CTraspaso de Otro BancoIndividualResidencialUsadaCasaFERIA000000250000.01</v>
          </cell>
          <cell r="K861">
            <v>250000.01</v>
          </cell>
          <cell r="L861">
            <v>500000</v>
          </cell>
          <cell r="M861">
            <v>70</v>
          </cell>
          <cell r="N861">
            <v>25</v>
          </cell>
          <cell r="O861">
            <v>6.5</v>
          </cell>
          <cell r="P861">
            <v>0</v>
          </cell>
        </row>
        <row r="862">
          <cell r="J862" t="str">
            <v>CTraspaso de Otro BancoIndividualResidencialUsadaCasaFERIA000000500000.01</v>
          </cell>
          <cell r="K862">
            <v>500000.01</v>
          </cell>
          <cell r="L862">
            <v>99999999</v>
          </cell>
          <cell r="M862">
            <v>70</v>
          </cell>
          <cell r="N862">
            <v>25</v>
          </cell>
          <cell r="O862">
            <v>6.5</v>
          </cell>
          <cell r="P862">
            <v>0</v>
          </cell>
        </row>
        <row r="863">
          <cell r="J863" t="str">
            <v>DCompra de ViviendaIndividualReposeído (BG)UsadaApartamentoBG000000030000.00</v>
          </cell>
          <cell r="K863">
            <v>30000</v>
          </cell>
          <cell r="L863">
            <v>250000</v>
          </cell>
          <cell r="M863">
            <v>85</v>
          </cell>
          <cell r="N863">
            <v>30</v>
          </cell>
          <cell r="O863">
            <v>5.5</v>
          </cell>
          <cell r="P863">
            <v>0</v>
          </cell>
        </row>
        <row r="864">
          <cell r="J864" t="str">
            <v>DCompra de ViviendaIndividualReposeído (BG)UsadaApartamentoBG000000250000.01</v>
          </cell>
          <cell r="K864">
            <v>250000.01</v>
          </cell>
          <cell r="L864">
            <v>500000</v>
          </cell>
          <cell r="M864">
            <v>80</v>
          </cell>
          <cell r="N864">
            <v>30</v>
          </cell>
          <cell r="O864">
            <v>5.25</v>
          </cell>
          <cell r="P864">
            <v>0</v>
          </cell>
        </row>
        <row r="865">
          <cell r="J865" t="str">
            <v>DCompra de ViviendaIndividualReposeído (BG)UsadaApartamentoBG000000500000.01</v>
          </cell>
          <cell r="K865">
            <v>500000.01</v>
          </cell>
          <cell r="L865">
            <v>99999999</v>
          </cell>
          <cell r="M865">
            <v>80</v>
          </cell>
          <cell r="N865">
            <v>30</v>
          </cell>
          <cell r="O865">
            <v>5.25</v>
          </cell>
          <cell r="P865">
            <v>0</v>
          </cell>
        </row>
        <row r="866">
          <cell r="J866" t="str">
            <v>DCompra de ViviendaIndividualReposeído (BG)UsadaApartamentoCOPA000000030000.00</v>
          </cell>
          <cell r="K866">
            <v>30000</v>
          </cell>
          <cell r="L866">
            <v>250000</v>
          </cell>
          <cell r="M866">
            <v>85</v>
          </cell>
          <cell r="N866">
            <v>30</v>
          </cell>
          <cell r="O866">
            <v>5.5</v>
          </cell>
          <cell r="P866">
            <v>0</v>
          </cell>
        </row>
        <row r="867">
          <cell r="J867" t="str">
            <v>DCompra de ViviendaIndividualReposeído (BG)UsadaApartamentoCOPA000000250000.01</v>
          </cell>
          <cell r="K867">
            <v>250000.01</v>
          </cell>
          <cell r="L867">
            <v>500000</v>
          </cell>
          <cell r="M867">
            <v>80</v>
          </cell>
          <cell r="N867">
            <v>30</v>
          </cell>
          <cell r="O867">
            <v>5.25</v>
          </cell>
          <cell r="P867">
            <v>0</v>
          </cell>
        </row>
        <row r="868">
          <cell r="J868" t="str">
            <v>DCompra de ViviendaIndividualReposeído (BG)UsadaApartamentoCOPA000000500000.01</v>
          </cell>
          <cell r="K868">
            <v>500000.01</v>
          </cell>
          <cell r="L868">
            <v>99999999</v>
          </cell>
          <cell r="M868">
            <v>80</v>
          </cell>
          <cell r="N868">
            <v>30</v>
          </cell>
          <cell r="O868">
            <v>5.25</v>
          </cell>
          <cell r="P868">
            <v>0</v>
          </cell>
        </row>
        <row r="869">
          <cell r="J869" t="str">
            <v>DCompra de ViviendaIndividualReposeído (BG)UsadaApartamentoFERIA000000030000.00</v>
          </cell>
          <cell r="K869">
            <v>30000</v>
          </cell>
          <cell r="L869">
            <v>250000</v>
          </cell>
          <cell r="M869">
            <v>85</v>
          </cell>
          <cell r="N869">
            <v>30</v>
          </cell>
          <cell r="O869">
            <v>5.5</v>
          </cell>
          <cell r="P869">
            <v>0</v>
          </cell>
        </row>
        <row r="870">
          <cell r="J870" t="str">
            <v>DCompra de ViviendaIndividualReposeído (BG)UsadaApartamentoFERIA000000250000.01</v>
          </cell>
          <cell r="K870">
            <v>250000.01</v>
          </cell>
          <cell r="L870">
            <v>500000</v>
          </cell>
          <cell r="M870">
            <v>80</v>
          </cell>
          <cell r="N870">
            <v>30</v>
          </cell>
          <cell r="O870">
            <v>5.25</v>
          </cell>
          <cell r="P870">
            <v>0</v>
          </cell>
        </row>
        <row r="871">
          <cell r="J871" t="str">
            <v>DCompra de ViviendaIndividualReposeído (BG)UsadaApartamentoFERIA000000500000.01</v>
          </cell>
          <cell r="K871">
            <v>500000.01</v>
          </cell>
          <cell r="L871">
            <v>99999999</v>
          </cell>
          <cell r="M871">
            <v>80</v>
          </cell>
          <cell r="N871">
            <v>30</v>
          </cell>
          <cell r="O871">
            <v>5.25</v>
          </cell>
          <cell r="P871">
            <v>0</v>
          </cell>
        </row>
        <row r="872">
          <cell r="J872" t="str">
            <v>DCompra de ViviendaIndividualReposeído (BG)UsadaCasaBG000000030000.00</v>
          </cell>
          <cell r="K872">
            <v>30000</v>
          </cell>
          <cell r="L872">
            <v>250000</v>
          </cell>
          <cell r="M872">
            <v>85</v>
          </cell>
          <cell r="N872">
            <v>30</v>
          </cell>
          <cell r="O872">
            <v>5.5</v>
          </cell>
          <cell r="P872">
            <v>0</v>
          </cell>
        </row>
        <row r="873">
          <cell r="J873" t="str">
            <v>DCompra de ViviendaIndividualReposeído (BG)UsadaCasaBG000000250000.01</v>
          </cell>
          <cell r="K873">
            <v>250000.01</v>
          </cell>
          <cell r="L873">
            <v>500000</v>
          </cell>
          <cell r="M873">
            <v>80</v>
          </cell>
          <cell r="N873">
            <v>30</v>
          </cell>
          <cell r="O873">
            <v>5.25</v>
          </cell>
          <cell r="P873">
            <v>0</v>
          </cell>
        </row>
        <row r="874">
          <cell r="J874" t="str">
            <v>DCompra de ViviendaIndividualReposeído (BG)UsadaCasaBG000000500000.01</v>
          </cell>
          <cell r="K874">
            <v>500000.01</v>
          </cell>
          <cell r="L874">
            <v>99999999</v>
          </cell>
          <cell r="M874">
            <v>80</v>
          </cell>
          <cell r="N874">
            <v>30</v>
          </cell>
          <cell r="O874">
            <v>5.25</v>
          </cell>
          <cell r="P874">
            <v>0</v>
          </cell>
        </row>
        <row r="875">
          <cell r="J875" t="str">
            <v>DCompra de ViviendaIndividualReposeído (BG)UsadaCasaCOPA000000030000.00</v>
          </cell>
          <cell r="K875">
            <v>30000</v>
          </cell>
          <cell r="L875">
            <v>250000</v>
          </cell>
          <cell r="M875">
            <v>85</v>
          </cell>
          <cell r="N875">
            <v>30</v>
          </cell>
          <cell r="O875">
            <v>5.5</v>
          </cell>
          <cell r="P875">
            <v>0</v>
          </cell>
        </row>
        <row r="876">
          <cell r="J876" t="str">
            <v>DCompra de ViviendaIndividualReposeído (BG)UsadaCasaCOPA000000250000.01</v>
          </cell>
          <cell r="K876">
            <v>250000.01</v>
          </cell>
          <cell r="L876">
            <v>500000</v>
          </cell>
          <cell r="M876">
            <v>80</v>
          </cell>
          <cell r="N876">
            <v>30</v>
          </cell>
          <cell r="O876">
            <v>5.25</v>
          </cell>
          <cell r="P876">
            <v>0</v>
          </cell>
        </row>
        <row r="877">
          <cell r="J877" t="str">
            <v>DCompra de ViviendaIndividualReposeído (BG)UsadaCasaCOPA000000500000.01</v>
          </cell>
          <cell r="K877">
            <v>500000.01</v>
          </cell>
          <cell r="L877">
            <v>99999999</v>
          </cell>
          <cell r="M877">
            <v>80</v>
          </cell>
          <cell r="N877">
            <v>30</v>
          </cell>
          <cell r="O877">
            <v>5.25</v>
          </cell>
          <cell r="P877">
            <v>0</v>
          </cell>
        </row>
        <row r="878">
          <cell r="J878" t="str">
            <v>DCompra de ViviendaIndividualReposeído (BG)UsadaCasaFERIA000000030000.00</v>
          </cell>
          <cell r="K878">
            <v>30000</v>
          </cell>
          <cell r="L878">
            <v>250000</v>
          </cell>
          <cell r="M878">
            <v>85</v>
          </cell>
          <cell r="N878">
            <v>30</v>
          </cell>
          <cell r="O878">
            <v>5.5</v>
          </cell>
          <cell r="P878">
            <v>0</v>
          </cell>
        </row>
        <row r="879">
          <cell r="J879" t="str">
            <v>DCompra de ViviendaIndividualReposeído (BG)UsadaCasaFERIA000000250000.01</v>
          </cell>
          <cell r="K879">
            <v>250000.01</v>
          </cell>
          <cell r="L879">
            <v>500000</v>
          </cell>
          <cell r="M879">
            <v>80</v>
          </cell>
          <cell r="N879">
            <v>30</v>
          </cell>
          <cell r="O879">
            <v>5.25</v>
          </cell>
          <cell r="P879">
            <v>0</v>
          </cell>
        </row>
        <row r="880">
          <cell r="J880" t="str">
            <v>DCompra de ViviendaIndividualReposeído (BG)UsadaCasaFERIA000000500000.01</v>
          </cell>
          <cell r="K880">
            <v>500000.01</v>
          </cell>
          <cell r="L880">
            <v>99999999</v>
          </cell>
          <cell r="M880">
            <v>80</v>
          </cell>
          <cell r="N880">
            <v>30</v>
          </cell>
          <cell r="O880">
            <v>5.25</v>
          </cell>
          <cell r="P880">
            <v>0</v>
          </cell>
        </row>
        <row r="881">
          <cell r="J881" t="str">
            <v>DCompra de ViviendaIndividualResidencialNuevaApartamentoBG000000120000.01</v>
          </cell>
          <cell r="K881">
            <v>120000.01</v>
          </cell>
          <cell r="L881">
            <v>250000</v>
          </cell>
          <cell r="M881">
            <v>85</v>
          </cell>
          <cell r="N881">
            <v>25</v>
          </cell>
          <cell r="O881">
            <v>5.25</v>
          </cell>
          <cell r="P881">
            <v>0</v>
          </cell>
        </row>
        <row r="882">
          <cell r="J882" t="str">
            <v>DCompra de ViviendaIndividualResidencialNuevaApartamentoBG000000250000.01</v>
          </cell>
          <cell r="K882">
            <v>250000.01</v>
          </cell>
          <cell r="L882">
            <v>500000</v>
          </cell>
          <cell r="M882">
            <v>80</v>
          </cell>
          <cell r="N882">
            <v>25</v>
          </cell>
          <cell r="O882">
            <v>5</v>
          </cell>
          <cell r="P882">
            <v>0</v>
          </cell>
        </row>
        <row r="883">
          <cell r="J883" t="str">
            <v>DCompra de ViviendaIndividualResidencialNuevaApartamentoBG000000500000.01</v>
          </cell>
          <cell r="K883">
            <v>500000.01</v>
          </cell>
          <cell r="L883">
            <v>99999999</v>
          </cell>
          <cell r="M883">
            <v>80</v>
          </cell>
          <cell r="N883">
            <v>25</v>
          </cell>
          <cell r="O883">
            <v>5</v>
          </cell>
          <cell r="P883">
            <v>0</v>
          </cell>
        </row>
        <row r="884">
          <cell r="J884" t="str">
            <v>DCompra de ViviendaIndividualResidencialNuevaApartamentoCOPA000000100000.01</v>
          </cell>
          <cell r="K884">
            <v>100000.01</v>
          </cell>
          <cell r="L884">
            <v>250000</v>
          </cell>
          <cell r="M884">
            <v>85</v>
          </cell>
          <cell r="N884">
            <v>25</v>
          </cell>
          <cell r="O884">
            <v>5.25</v>
          </cell>
          <cell r="P884">
            <v>0</v>
          </cell>
        </row>
        <row r="885">
          <cell r="J885" t="str">
            <v>DCompra de ViviendaIndividualResidencialNuevaApartamentoCOPA000000250000.01</v>
          </cell>
          <cell r="K885">
            <v>250000.01</v>
          </cell>
          <cell r="L885">
            <v>500000</v>
          </cell>
          <cell r="M885">
            <v>80</v>
          </cell>
          <cell r="N885">
            <v>25</v>
          </cell>
          <cell r="O885">
            <v>5</v>
          </cell>
          <cell r="P885">
            <v>0</v>
          </cell>
        </row>
        <row r="886">
          <cell r="J886" t="str">
            <v>DCompra de ViviendaIndividualResidencialNuevaApartamentoCOPA000000500000.01</v>
          </cell>
          <cell r="K886">
            <v>500000.01</v>
          </cell>
          <cell r="L886">
            <v>99999999</v>
          </cell>
          <cell r="M886">
            <v>80</v>
          </cell>
          <cell r="N886">
            <v>25</v>
          </cell>
          <cell r="O886">
            <v>5</v>
          </cell>
          <cell r="P886">
            <v>0</v>
          </cell>
        </row>
        <row r="887">
          <cell r="J887" t="str">
            <v>DCompra de ViviendaIndividualResidencialNuevaApartamentoFERIA000000100000.01</v>
          </cell>
          <cell r="K887">
            <v>100000.01</v>
          </cell>
          <cell r="L887">
            <v>250000</v>
          </cell>
          <cell r="M887">
            <v>85</v>
          </cell>
          <cell r="N887">
            <v>25</v>
          </cell>
          <cell r="O887">
            <v>5.25</v>
          </cell>
          <cell r="P887">
            <v>0</v>
          </cell>
        </row>
        <row r="888">
          <cell r="J888" t="str">
            <v>DCompra de ViviendaIndividualResidencialNuevaApartamentoFERIA000000250000.01</v>
          </cell>
          <cell r="K888">
            <v>250000.01</v>
          </cell>
          <cell r="L888">
            <v>500000</v>
          </cell>
          <cell r="M888">
            <v>80</v>
          </cell>
          <cell r="N888">
            <v>25</v>
          </cell>
          <cell r="O888">
            <v>5</v>
          </cell>
          <cell r="P888">
            <v>0</v>
          </cell>
        </row>
        <row r="889">
          <cell r="J889" t="str">
            <v>DCompra de ViviendaIndividualResidencialNuevaApartamentoFERIA000000500000.01</v>
          </cell>
          <cell r="K889">
            <v>500000.01</v>
          </cell>
          <cell r="L889">
            <v>99999999</v>
          </cell>
          <cell r="M889">
            <v>80</v>
          </cell>
          <cell r="N889">
            <v>25</v>
          </cell>
          <cell r="O889">
            <v>5</v>
          </cell>
          <cell r="P889">
            <v>0</v>
          </cell>
        </row>
        <row r="890">
          <cell r="J890" t="str">
            <v>DCompra de ViviendaIndividualResidencialNuevaCasaBG000000120000.01</v>
          </cell>
          <cell r="K890">
            <v>120000.01</v>
          </cell>
          <cell r="L890">
            <v>250000</v>
          </cell>
          <cell r="M890">
            <v>85</v>
          </cell>
          <cell r="N890">
            <v>30</v>
          </cell>
          <cell r="O890">
            <v>5.25</v>
          </cell>
          <cell r="P890">
            <v>0</v>
          </cell>
        </row>
        <row r="891">
          <cell r="J891" t="str">
            <v>DCompra de ViviendaIndividualResidencialNuevaCasaBG000000250000.01</v>
          </cell>
          <cell r="K891">
            <v>250000.01</v>
          </cell>
          <cell r="L891">
            <v>500000</v>
          </cell>
          <cell r="M891">
            <v>80</v>
          </cell>
          <cell r="N891">
            <v>30</v>
          </cell>
          <cell r="O891">
            <v>5</v>
          </cell>
          <cell r="P891">
            <v>0</v>
          </cell>
        </row>
        <row r="892">
          <cell r="J892" t="str">
            <v>DCompra de ViviendaIndividualResidencialNuevaCasaBG000000500000.01</v>
          </cell>
          <cell r="K892">
            <v>500000.01</v>
          </cell>
          <cell r="L892">
            <v>99999999</v>
          </cell>
          <cell r="M892">
            <v>80</v>
          </cell>
          <cell r="N892">
            <v>30</v>
          </cell>
          <cell r="O892">
            <v>5</v>
          </cell>
          <cell r="P892">
            <v>0</v>
          </cell>
        </row>
        <row r="893">
          <cell r="J893" t="str">
            <v>DCompra de ViviendaIndividualResidencialNuevaCasaCOPA000000100000.01</v>
          </cell>
          <cell r="K893">
            <v>100000.01</v>
          </cell>
          <cell r="L893">
            <v>250000</v>
          </cell>
          <cell r="M893">
            <v>85</v>
          </cell>
          <cell r="N893">
            <v>30</v>
          </cell>
          <cell r="O893">
            <v>5.25</v>
          </cell>
          <cell r="P893">
            <v>0</v>
          </cell>
        </row>
        <row r="894">
          <cell r="J894" t="str">
            <v>DCompra de ViviendaIndividualResidencialNuevaCasaCOPA000000250000.01</v>
          </cell>
          <cell r="K894">
            <v>250000.01</v>
          </cell>
          <cell r="L894">
            <v>500000</v>
          </cell>
          <cell r="M894">
            <v>80</v>
          </cell>
          <cell r="N894">
            <v>30</v>
          </cell>
          <cell r="O894">
            <v>5</v>
          </cell>
          <cell r="P894">
            <v>0</v>
          </cell>
        </row>
        <row r="895">
          <cell r="J895" t="str">
            <v>DCompra de ViviendaIndividualResidencialNuevaCasaCOPA000000500000.01</v>
          </cell>
          <cell r="K895">
            <v>500000.01</v>
          </cell>
          <cell r="L895">
            <v>99999999</v>
          </cell>
          <cell r="M895">
            <v>80</v>
          </cell>
          <cell r="N895">
            <v>30</v>
          </cell>
          <cell r="O895">
            <v>5</v>
          </cell>
          <cell r="P895">
            <v>0</v>
          </cell>
        </row>
        <row r="896">
          <cell r="J896" t="str">
            <v>DCompra de ViviendaIndividualResidencialNuevaCasaFERIA000000100000.01</v>
          </cell>
          <cell r="K896">
            <v>100000.01</v>
          </cell>
          <cell r="L896">
            <v>250000</v>
          </cell>
          <cell r="M896">
            <v>85</v>
          </cell>
          <cell r="N896">
            <v>30</v>
          </cell>
          <cell r="O896">
            <v>5.25</v>
          </cell>
          <cell r="P896">
            <v>0</v>
          </cell>
        </row>
        <row r="897">
          <cell r="J897" t="str">
            <v>DCompra de ViviendaIndividualResidencialNuevaCasaFERIA000000250000.01</v>
          </cell>
          <cell r="K897">
            <v>250000.01</v>
          </cell>
          <cell r="L897">
            <v>500000</v>
          </cell>
          <cell r="M897">
            <v>80</v>
          </cell>
          <cell r="N897">
            <v>30</v>
          </cell>
          <cell r="O897">
            <v>5</v>
          </cell>
          <cell r="P897">
            <v>0</v>
          </cell>
        </row>
        <row r="898">
          <cell r="J898" t="str">
            <v>DCompra de ViviendaIndividualResidencialNuevaCasaFERIA000000500000.01</v>
          </cell>
          <cell r="K898">
            <v>500000.01</v>
          </cell>
          <cell r="L898">
            <v>99999999</v>
          </cell>
          <cell r="M898">
            <v>80</v>
          </cell>
          <cell r="N898">
            <v>30</v>
          </cell>
          <cell r="O898">
            <v>5</v>
          </cell>
          <cell r="P898">
            <v>0</v>
          </cell>
        </row>
        <row r="899">
          <cell r="J899" t="str">
            <v>DCompra de ViviendaIndividualResidencialUsadaApartamentoBG000000030000.00</v>
          </cell>
          <cell r="K899">
            <v>30000</v>
          </cell>
          <cell r="L899">
            <v>250000</v>
          </cell>
          <cell r="M899">
            <v>85</v>
          </cell>
          <cell r="N899">
            <v>30</v>
          </cell>
          <cell r="O899">
            <v>5.5</v>
          </cell>
          <cell r="P899">
            <v>0</v>
          </cell>
        </row>
        <row r="900">
          <cell r="J900" t="str">
            <v>DCompra de ViviendaIndividualResidencialUsadaApartamentoBG000000250000.01</v>
          </cell>
          <cell r="K900">
            <v>250000.01</v>
          </cell>
          <cell r="L900">
            <v>500000</v>
          </cell>
          <cell r="M900">
            <v>80</v>
          </cell>
          <cell r="N900">
            <v>25</v>
          </cell>
          <cell r="O900">
            <v>5.25</v>
          </cell>
          <cell r="P900">
            <v>0</v>
          </cell>
        </row>
        <row r="901">
          <cell r="J901" t="str">
            <v>DCompra de ViviendaIndividualResidencialUsadaApartamentoBG000000500000.01</v>
          </cell>
          <cell r="K901">
            <v>500000.01</v>
          </cell>
          <cell r="L901">
            <v>99999999</v>
          </cell>
          <cell r="M901">
            <v>80</v>
          </cell>
          <cell r="N901">
            <v>25</v>
          </cell>
          <cell r="O901">
            <v>5.25</v>
          </cell>
          <cell r="P901">
            <v>0</v>
          </cell>
        </row>
        <row r="902">
          <cell r="J902" t="str">
            <v>DCompra de ViviendaIndividualResidencialUsadaApartamentoCOPA000000030000.00</v>
          </cell>
          <cell r="K902">
            <v>30000</v>
          </cell>
          <cell r="L902">
            <v>250000</v>
          </cell>
          <cell r="M902">
            <v>85</v>
          </cell>
          <cell r="N902">
            <v>30</v>
          </cell>
          <cell r="O902">
            <v>5.5</v>
          </cell>
          <cell r="P902">
            <v>0</v>
          </cell>
        </row>
        <row r="903">
          <cell r="J903" t="str">
            <v>DCompra de ViviendaIndividualResidencialUsadaApartamentoCOPA000000250000.01</v>
          </cell>
          <cell r="K903">
            <v>250000.01</v>
          </cell>
          <cell r="L903">
            <v>500000</v>
          </cell>
          <cell r="M903">
            <v>80</v>
          </cell>
          <cell r="N903">
            <v>25</v>
          </cell>
          <cell r="O903">
            <v>5.25</v>
          </cell>
          <cell r="P903">
            <v>0</v>
          </cell>
        </row>
        <row r="904">
          <cell r="J904" t="str">
            <v>DCompra de ViviendaIndividualResidencialUsadaApartamentoCOPA000000500000.01</v>
          </cell>
          <cell r="K904">
            <v>500000.01</v>
          </cell>
          <cell r="L904">
            <v>99999999</v>
          </cell>
          <cell r="M904">
            <v>80</v>
          </cell>
          <cell r="N904">
            <v>25</v>
          </cell>
          <cell r="O904">
            <v>5.25</v>
          </cell>
          <cell r="P904">
            <v>0</v>
          </cell>
        </row>
        <row r="905">
          <cell r="J905" t="str">
            <v>DCompra de ViviendaIndividualResidencialUsadaApartamentoFERIA000000030000.00</v>
          </cell>
          <cell r="K905">
            <v>30000</v>
          </cell>
          <cell r="L905">
            <v>250000</v>
          </cell>
          <cell r="M905">
            <v>85</v>
          </cell>
          <cell r="N905">
            <v>30</v>
          </cell>
          <cell r="O905">
            <v>5.5</v>
          </cell>
          <cell r="P905">
            <v>0</v>
          </cell>
        </row>
        <row r="906">
          <cell r="J906" t="str">
            <v>DCompra de ViviendaIndividualResidencialUsadaApartamentoFERIA000000250000.01</v>
          </cell>
          <cell r="K906">
            <v>250000.01</v>
          </cell>
          <cell r="L906">
            <v>500000</v>
          </cell>
          <cell r="M906">
            <v>80</v>
          </cell>
          <cell r="N906">
            <v>25</v>
          </cell>
          <cell r="O906">
            <v>5.25</v>
          </cell>
          <cell r="P906">
            <v>0</v>
          </cell>
        </row>
        <row r="907">
          <cell r="J907" t="str">
            <v>DCompra de ViviendaIndividualResidencialUsadaApartamentoFERIA000000500000.01</v>
          </cell>
          <cell r="K907">
            <v>500000.01</v>
          </cell>
          <cell r="L907">
            <v>99999999</v>
          </cell>
          <cell r="M907">
            <v>80</v>
          </cell>
          <cell r="N907">
            <v>25</v>
          </cell>
          <cell r="O907">
            <v>5.25</v>
          </cell>
          <cell r="P907">
            <v>0</v>
          </cell>
        </row>
        <row r="908">
          <cell r="J908" t="str">
            <v>DCompra de ViviendaIndividualResidencialUsadaCasaBG000000030000.00</v>
          </cell>
          <cell r="K908">
            <v>30000</v>
          </cell>
          <cell r="L908">
            <v>250000</v>
          </cell>
          <cell r="M908">
            <v>85</v>
          </cell>
          <cell r="N908">
            <v>30</v>
          </cell>
          <cell r="O908">
            <v>5.5</v>
          </cell>
          <cell r="P908">
            <v>0</v>
          </cell>
        </row>
        <row r="909">
          <cell r="J909" t="str">
            <v>DCompra de ViviendaIndividualResidencialUsadaCasaBG000000250000.01</v>
          </cell>
          <cell r="K909">
            <v>250000.01</v>
          </cell>
          <cell r="L909">
            <v>500000</v>
          </cell>
          <cell r="M909">
            <v>80</v>
          </cell>
          <cell r="N909">
            <v>30</v>
          </cell>
          <cell r="O909">
            <v>5.25</v>
          </cell>
          <cell r="P909">
            <v>0</v>
          </cell>
        </row>
        <row r="910">
          <cell r="J910" t="str">
            <v>DCompra de ViviendaIndividualResidencialUsadaCasaBG000000500000.01</v>
          </cell>
          <cell r="K910">
            <v>500000.01</v>
          </cell>
          <cell r="L910">
            <v>99999999</v>
          </cell>
          <cell r="M910">
            <v>80</v>
          </cell>
          <cell r="N910">
            <v>30</v>
          </cell>
          <cell r="O910">
            <v>5.25</v>
          </cell>
          <cell r="P910">
            <v>0</v>
          </cell>
        </row>
        <row r="911">
          <cell r="J911" t="str">
            <v>DCompra de ViviendaIndividualResidencialUsadaCasaCOPA000000030000.00</v>
          </cell>
          <cell r="K911">
            <v>30000</v>
          </cell>
          <cell r="L911">
            <v>250000</v>
          </cell>
          <cell r="M911">
            <v>85</v>
          </cell>
          <cell r="N911">
            <v>30</v>
          </cell>
          <cell r="O911">
            <v>5.5</v>
          </cell>
          <cell r="P911">
            <v>0</v>
          </cell>
        </row>
        <row r="912">
          <cell r="J912" t="str">
            <v>DCompra de ViviendaIndividualResidencialUsadaCasaCOPA000000250000.01</v>
          </cell>
          <cell r="K912">
            <v>250000.01</v>
          </cell>
          <cell r="L912">
            <v>500000</v>
          </cell>
          <cell r="M912">
            <v>80</v>
          </cell>
          <cell r="N912">
            <v>30</v>
          </cell>
          <cell r="O912">
            <v>5.25</v>
          </cell>
          <cell r="P912">
            <v>0</v>
          </cell>
        </row>
        <row r="913">
          <cell r="J913" t="str">
            <v>DCompra de ViviendaIndividualResidencialUsadaCasaCOPA000000500000.01</v>
          </cell>
          <cell r="K913">
            <v>500000.01</v>
          </cell>
          <cell r="L913">
            <v>99999999</v>
          </cell>
          <cell r="M913">
            <v>80</v>
          </cell>
          <cell r="N913">
            <v>30</v>
          </cell>
          <cell r="O913">
            <v>5.25</v>
          </cell>
          <cell r="P913">
            <v>0</v>
          </cell>
        </row>
        <row r="914">
          <cell r="J914" t="str">
            <v>DCompra de ViviendaIndividualResidencialUsadaCasaFERIA000000030000.00</v>
          </cell>
          <cell r="K914">
            <v>30000</v>
          </cell>
          <cell r="L914">
            <v>250000</v>
          </cell>
          <cell r="M914">
            <v>85</v>
          </cell>
          <cell r="N914">
            <v>30</v>
          </cell>
          <cell r="O914">
            <v>5.5</v>
          </cell>
          <cell r="P914">
            <v>0</v>
          </cell>
        </row>
        <row r="915">
          <cell r="J915" t="str">
            <v>DCompra de ViviendaIndividualResidencialUsadaCasaFERIA000000250000.01</v>
          </cell>
          <cell r="K915">
            <v>250000.01</v>
          </cell>
          <cell r="L915">
            <v>500000</v>
          </cell>
          <cell r="M915">
            <v>80</v>
          </cell>
          <cell r="N915">
            <v>30</v>
          </cell>
          <cell r="O915">
            <v>5.25</v>
          </cell>
          <cell r="P915">
            <v>0</v>
          </cell>
        </row>
        <row r="916">
          <cell r="J916" t="str">
            <v>DCompra de ViviendaIndividualResidencialUsadaCasaFERIA000000500000.01</v>
          </cell>
          <cell r="K916">
            <v>500000.01</v>
          </cell>
          <cell r="L916">
            <v>99999999</v>
          </cell>
          <cell r="M916">
            <v>80</v>
          </cell>
          <cell r="N916">
            <v>30</v>
          </cell>
          <cell r="O916">
            <v>5.25</v>
          </cell>
          <cell r="P916">
            <v>0</v>
          </cell>
        </row>
        <row r="917">
          <cell r="J917" t="str">
            <v>DCompra de ViviendaLey PreferencialReposeído (BG)UsadaApartamentoBG000000015000.00</v>
          </cell>
          <cell r="K917">
            <v>15000</v>
          </cell>
          <cell r="L917">
            <v>40000</v>
          </cell>
          <cell r="M917">
            <v>98</v>
          </cell>
          <cell r="N917">
            <v>30</v>
          </cell>
          <cell r="O917">
            <v>0</v>
          </cell>
          <cell r="P917">
            <v>8.56</v>
          </cell>
        </row>
        <row r="918">
          <cell r="J918" t="str">
            <v>DCompra de ViviendaLey PreferencialReposeído (BG)UsadaApartamentoBG000000040000.01</v>
          </cell>
          <cell r="K918">
            <v>40000.01</v>
          </cell>
          <cell r="L918">
            <v>80000</v>
          </cell>
          <cell r="M918">
            <v>98</v>
          </cell>
          <cell r="N918">
            <v>30</v>
          </cell>
          <cell r="O918">
            <v>1.5</v>
          </cell>
          <cell r="P918">
            <v>8.56</v>
          </cell>
        </row>
        <row r="919">
          <cell r="J919" t="str">
            <v>DCompra de ViviendaLey PreferencialReposeído (BG)UsadaApartamentoBG000000080000.01</v>
          </cell>
          <cell r="K919">
            <v>80000.009999999995</v>
          </cell>
          <cell r="L919">
            <v>120000</v>
          </cell>
          <cell r="M919">
            <v>85</v>
          </cell>
          <cell r="N919">
            <v>30</v>
          </cell>
          <cell r="O919">
            <v>1.5</v>
          </cell>
          <cell r="P919">
            <v>8.56</v>
          </cell>
        </row>
        <row r="920">
          <cell r="J920" t="str">
            <v>DCompra de ViviendaLey PreferencialReposeído (BG)UsadaApartamentoCOPA000000015000.00</v>
          </cell>
          <cell r="K920">
            <v>15000</v>
          </cell>
          <cell r="L920">
            <v>40000</v>
          </cell>
          <cell r="M920">
            <v>98</v>
          </cell>
          <cell r="N920">
            <v>30</v>
          </cell>
          <cell r="O920">
            <v>0</v>
          </cell>
          <cell r="P920">
            <v>4.28</v>
          </cell>
        </row>
        <row r="921">
          <cell r="J921" t="str">
            <v>DCompra de ViviendaLey PreferencialReposeído (BG)UsadaApartamentoCOPA000000040000.01</v>
          </cell>
          <cell r="K921">
            <v>40000.01</v>
          </cell>
          <cell r="L921">
            <v>80000</v>
          </cell>
          <cell r="M921">
            <v>98</v>
          </cell>
          <cell r="N921">
            <v>30</v>
          </cell>
          <cell r="O921">
            <v>1.5</v>
          </cell>
          <cell r="P921">
            <v>4.28</v>
          </cell>
        </row>
        <row r="922">
          <cell r="J922" t="str">
            <v>DCompra de ViviendaLey PreferencialReposeído (BG)UsadaApartamentoCOPA000000080000.01</v>
          </cell>
          <cell r="K922">
            <v>80000.009999999995</v>
          </cell>
          <cell r="L922">
            <v>120000</v>
          </cell>
          <cell r="M922">
            <v>85</v>
          </cell>
          <cell r="N922">
            <v>30</v>
          </cell>
          <cell r="O922">
            <v>1.5</v>
          </cell>
          <cell r="P922">
            <v>4.28</v>
          </cell>
        </row>
        <row r="923">
          <cell r="J923" t="str">
            <v>DCompra de ViviendaLey PreferencialReposeído (BG)UsadaApartamentoFERIA000000015000.00</v>
          </cell>
          <cell r="K923">
            <v>15000</v>
          </cell>
          <cell r="L923">
            <v>40000</v>
          </cell>
          <cell r="M923">
            <v>95</v>
          </cell>
          <cell r="N923">
            <v>30</v>
          </cell>
          <cell r="O923">
            <v>0</v>
          </cell>
          <cell r="P923">
            <v>4.28</v>
          </cell>
        </row>
        <row r="924">
          <cell r="J924" t="str">
            <v>DCompra de ViviendaLey PreferencialReposeído (BG)UsadaApartamentoFERIA000000040000.01</v>
          </cell>
          <cell r="K924">
            <v>40000.01</v>
          </cell>
          <cell r="L924">
            <v>80000</v>
          </cell>
          <cell r="M924">
            <v>95</v>
          </cell>
          <cell r="N924">
            <v>30</v>
          </cell>
          <cell r="O924">
            <v>1.5</v>
          </cell>
          <cell r="P924">
            <v>4.28</v>
          </cell>
        </row>
        <row r="925">
          <cell r="J925" t="str">
            <v>DCompra de ViviendaLey PreferencialReposeído (BG)UsadaApartamentoFERIA000000080000.01</v>
          </cell>
          <cell r="K925">
            <v>80000.009999999995</v>
          </cell>
          <cell r="L925">
            <v>120000</v>
          </cell>
          <cell r="M925">
            <v>85</v>
          </cell>
          <cell r="N925">
            <v>30</v>
          </cell>
          <cell r="O925">
            <v>1.5</v>
          </cell>
          <cell r="P925">
            <v>8.56</v>
          </cell>
        </row>
        <row r="926">
          <cell r="J926" t="str">
            <v>DCompra de ViviendaLey PreferencialReposeído (BG)UsadaCasaBG000000015000.00</v>
          </cell>
          <cell r="K926">
            <v>15000</v>
          </cell>
          <cell r="L926">
            <v>40000</v>
          </cell>
          <cell r="M926">
            <v>98</v>
          </cell>
          <cell r="N926">
            <v>30</v>
          </cell>
          <cell r="O926">
            <v>0</v>
          </cell>
          <cell r="P926">
            <v>8.56</v>
          </cell>
        </row>
        <row r="927">
          <cell r="J927" t="str">
            <v>DCompra de ViviendaLey PreferencialReposeído (BG)UsadaCasaBG000000040000.01</v>
          </cell>
          <cell r="K927">
            <v>40000.01</v>
          </cell>
          <cell r="L927">
            <v>80000</v>
          </cell>
          <cell r="M927">
            <v>98</v>
          </cell>
          <cell r="N927">
            <v>30</v>
          </cell>
          <cell r="O927">
            <v>1.5</v>
          </cell>
          <cell r="P927">
            <v>8.56</v>
          </cell>
        </row>
        <row r="928">
          <cell r="J928" t="str">
            <v>DCompra de ViviendaLey PreferencialReposeído (BG)UsadaCasaBG000000080000.01</v>
          </cell>
          <cell r="K928">
            <v>80000.009999999995</v>
          </cell>
          <cell r="L928">
            <v>120000</v>
          </cell>
          <cell r="M928">
            <v>85</v>
          </cell>
          <cell r="N928">
            <v>30</v>
          </cell>
          <cell r="O928">
            <v>1.5</v>
          </cell>
          <cell r="P928">
            <v>8.56</v>
          </cell>
        </row>
        <row r="929">
          <cell r="J929" t="str">
            <v>DCompra de ViviendaLey PreferencialReposeído (BG)UsadaCasaCOPA000000015000.00</v>
          </cell>
          <cell r="K929">
            <v>15000</v>
          </cell>
          <cell r="L929">
            <v>40000</v>
          </cell>
          <cell r="M929">
            <v>98</v>
          </cell>
          <cell r="N929">
            <v>30</v>
          </cell>
          <cell r="O929">
            <v>0</v>
          </cell>
          <cell r="P929">
            <v>4.28</v>
          </cell>
        </row>
        <row r="930">
          <cell r="J930" t="str">
            <v>DCompra de ViviendaLey PreferencialReposeído (BG)UsadaCasaCOPA000000040000.01</v>
          </cell>
          <cell r="K930">
            <v>40000.01</v>
          </cell>
          <cell r="L930">
            <v>80000</v>
          </cell>
          <cell r="M930">
            <v>98</v>
          </cell>
          <cell r="N930">
            <v>30</v>
          </cell>
          <cell r="O930">
            <v>1.5</v>
          </cell>
          <cell r="P930">
            <v>4.28</v>
          </cell>
        </row>
        <row r="931">
          <cell r="J931" t="str">
            <v>DCompra de ViviendaLey PreferencialReposeído (BG)UsadaCasaCOPA000000080000.01</v>
          </cell>
          <cell r="K931">
            <v>80000.009999999995</v>
          </cell>
          <cell r="L931">
            <v>120000</v>
          </cell>
          <cell r="M931">
            <v>85</v>
          </cell>
          <cell r="N931">
            <v>30</v>
          </cell>
          <cell r="O931">
            <v>1.5</v>
          </cell>
          <cell r="P931">
            <v>4.28</v>
          </cell>
        </row>
        <row r="932">
          <cell r="J932" t="str">
            <v>DCompra de ViviendaLey PreferencialReposeído (BG)UsadaCasaFERIA000000015000.00</v>
          </cell>
          <cell r="K932">
            <v>15000</v>
          </cell>
          <cell r="L932">
            <v>40000</v>
          </cell>
          <cell r="M932">
            <v>95</v>
          </cell>
          <cell r="N932">
            <v>30</v>
          </cell>
          <cell r="O932">
            <v>0</v>
          </cell>
          <cell r="P932">
            <v>4.28</v>
          </cell>
        </row>
        <row r="933">
          <cell r="J933" t="str">
            <v>DCompra de ViviendaLey PreferencialReposeído (BG)UsadaCasaFERIA000000040000.01</v>
          </cell>
          <cell r="K933">
            <v>40000.01</v>
          </cell>
          <cell r="L933">
            <v>80000</v>
          </cell>
          <cell r="M933">
            <v>95</v>
          </cell>
          <cell r="N933">
            <v>30</v>
          </cell>
          <cell r="O933">
            <v>1.5</v>
          </cell>
          <cell r="P933">
            <v>4.28</v>
          </cell>
        </row>
        <row r="934">
          <cell r="J934" t="str">
            <v>DCompra de ViviendaLey PreferencialReposeído (BG)UsadaCasaFERIA000000080000.01</v>
          </cell>
          <cell r="K934">
            <v>80000.009999999995</v>
          </cell>
          <cell r="L934">
            <v>120000</v>
          </cell>
          <cell r="M934">
            <v>85</v>
          </cell>
          <cell r="N934">
            <v>30</v>
          </cell>
          <cell r="O934">
            <v>1.5</v>
          </cell>
          <cell r="P934">
            <v>8.56</v>
          </cell>
        </row>
        <row r="935">
          <cell r="J935" t="str">
            <v>DCompra de ViviendaLey PreferencialResidencialNuevaApartamentoBG000000030000.00</v>
          </cell>
          <cell r="K935">
            <v>30000</v>
          </cell>
          <cell r="L935">
            <v>40000</v>
          </cell>
          <cell r="M935">
            <v>95</v>
          </cell>
          <cell r="N935">
            <v>30</v>
          </cell>
          <cell r="O935">
            <v>0</v>
          </cell>
          <cell r="P935">
            <v>8.56</v>
          </cell>
        </row>
        <row r="936">
          <cell r="J936" t="str">
            <v>DCompra de ViviendaLey PreferencialResidencialNuevaApartamentoBG000000040000.01</v>
          </cell>
          <cell r="K936">
            <v>40000.01</v>
          </cell>
          <cell r="L936">
            <v>80000</v>
          </cell>
          <cell r="M936">
            <v>95</v>
          </cell>
          <cell r="N936">
            <v>30</v>
          </cell>
          <cell r="O936">
            <v>1.5</v>
          </cell>
          <cell r="P936">
            <v>8.56</v>
          </cell>
        </row>
        <row r="937">
          <cell r="J937" t="str">
            <v>DCompra de ViviendaLey PreferencialResidencialNuevaApartamentoBG000000080000.01</v>
          </cell>
          <cell r="K937">
            <v>80000.009999999995</v>
          </cell>
          <cell r="L937">
            <v>120000</v>
          </cell>
          <cell r="M937">
            <v>85</v>
          </cell>
          <cell r="N937">
            <v>30</v>
          </cell>
          <cell r="O937">
            <v>1.5</v>
          </cell>
          <cell r="P937">
            <v>8.56</v>
          </cell>
        </row>
        <row r="938">
          <cell r="J938" t="str">
            <v>DCompra de ViviendaLey PreferencialResidencialNuevaApartamentoCOPA000000030000.00</v>
          </cell>
          <cell r="K938">
            <v>30000</v>
          </cell>
          <cell r="L938">
            <v>40000</v>
          </cell>
          <cell r="M938">
            <v>95</v>
          </cell>
          <cell r="N938">
            <v>30</v>
          </cell>
          <cell r="O938">
            <v>0</v>
          </cell>
          <cell r="P938">
            <v>4.28</v>
          </cell>
        </row>
        <row r="939">
          <cell r="J939" t="str">
            <v>DCompra de ViviendaLey PreferencialResidencialNuevaApartamentoCOPA000000040000.01</v>
          </cell>
          <cell r="K939">
            <v>40000.01</v>
          </cell>
          <cell r="L939">
            <v>80000</v>
          </cell>
          <cell r="M939">
            <v>95</v>
          </cell>
          <cell r="N939">
            <v>30</v>
          </cell>
          <cell r="O939">
            <v>1.5</v>
          </cell>
          <cell r="P939">
            <v>4.28</v>
          </cell>
        </row>
        <row r="940">
          <cell r="J940" t="str">
            <v>DCompra de ViviendaLey PreferencialResidencialNuevaApartamentoCOPA000000080000.01</v>
          </cell>
          <cell r="K940">
            <v>80000.009999999995</v>
          </cell>
          <cell r="L940">
            <v>120000</v>
          </cell>
          <cell r="M940">
            <v>85</v>
          </cell>
          <cell r="N940">
            <v>30</v>
          </cell>
          <cell r="O940">
            <v>1.5</v>
          </cell>
          <cell r="P940">
            <v>4.28</v>
          </cell>
        </row>
        <row r="941">
          <cell r="J941" t="str">
            <v>DCompra de ViviendaLey PreferencialResidencialNuevaApartamentoFERIA000000030000.00</v>
          </cell>
          <cell r="K941">
            <v>30000</v>
          </cell>
          <cell r="L941">
            <v>40000</v>
          </cell>
          <cell r="M941">
            <v>95</v>
          </cell>
          <cell r="N941">
            <v>30</v>
          </cell>
          <cell r="O941">
            <v>0</v>
          </cell>
          <cell r="P941">
            <v>4.28</v>
          </cell>
        </row>
        <row r="942">
          <cell r="J942" t="str">
            <v>DCompra de ViviendaLey PreferencialResidencialNuevaApartamentoFERIA000000040000.01</v>
          </cell>
          <cell r="K942">
            <v>40000.01</v>
          </cell>
          <cell r="L942">
            <v>80000</v>
          </cell>
          <cell r="M942">
            <v>95</v>
          </cell>
          <cell r="N942">
            <v>30</v>
          </cell>
          <cell r="O942">
            <v>1.5</v>
          </cell>
          <cell r="P942">
            <v>4.28</v>
          </cell>
        </row>
        <row r="943">
          <cell r="J943" t="str">
            <v>DCompra de ViviendaLey PreferencialResidencialNuevaApartamentoFERIA000000080000.01</v>
          </cell>
          <cell r="K943">
            <v>80000.009999999995</v>
          </cell>
          <cell r="L943">
            <v>120000</v>
          </cell>
          <cell r="M943">
            <v>85</v>
          </cell>
          <cell r="N943">
            <v>30</v>
          </cell>
          <cell r="O943">
            <v>1.5</v>
          </cell>
          <cell r="P943">
            <v>8.56</v>
          </cell>
        </row>
        <row r="944">
          <cell r="J944" t="str">
            <v>DCompra de ViviendaLey PreferencialResidencialNuevaCasaBG000000018000.00</v>
          </cell>
          <cell r="K944">
            <v>18000</v>
          </cell>
          <cell r="L944">
            <v>40000</v>
          </cell>
          <cell r="M944">
            <v>98</v>
          </cell>
          <cell r="N944">
            <v>30</v>
          </cell>
          <cell r="O944">
            <v>0</v>
          </cell>
          <cell r="P944">
            <v>8.56</v>
          </cell>
        </row>
        <row r="945">
          <cell r="J945" t="str">
            <v>DCompra de ViviendaLey PreferencialResidencialNuevaCasaBG000000040000.01</v>
          </cell>
          <cell r="K945">
            <v>40000.01</v>
          </cell>
          <cell r="L945">
            <v>80000</v>
          </cell>
          <cell r="M945">
            <v>98</v>
          </cell>
          <cell r="N945">
            <v>30</v>
          </cell>
          <cell r="O945">
            <v>1.5</v>
          </cell>
          <cell r="P945">
            <v>8.56</v>
          </cell>
        </row>
        <row r="946">
          <cell r="J946" t="str">
            <v>DCompra de ViviendaLey PreferencialResidencialNuevaCasaBG000000080000.01</v>
          </cell>
          <cell r="K946">
            <v>80000.009999999995</v>
          </cell>
          <cell r="L946">
            <v>120000</v>
          </cell>
          <cell r="M946">
            <v>85</v>
          </cell>
          <cell r="N946">
            <v>30</v>
          </cell>
          <cell r="O946">
            <v>1.5</v>
          </cell>
          <cell r="P946">
            <v>8.56</v>
          </cell>
        </row>
        <row r="947">
          <cell r="J947" t="str">
            <v>DCompra de ViviendaLey PreferencialResidencialNuevaCasaCOPA000000018000.00</v>
          </cell>
          <cell r="K947">
            <v>18000</v>
          </cell>
          <cell r="L947">
            <v>40000</v>
          </cell>
          <cell r="M947">
            <v>98</v>
          </cell>
          <cell r="N947">
            <v>30</v>
          </cell>
          <cell r="O947">
            <v>0</v>
          </cell>
          <cell r="P947">
            <v>4.28</v>
          </cell>
        </row>
        <row r="948">
          <cell r="J948" t="str">
            <v>DCompra de ViviendaLey PreferencialResidencialNuevaCasaCOPA000000040000.01</v>
          </cell>
          <cell r="K948">
            <v>40000.01</v>
          </cell>
          <cell r="L948">
            <v>80000</v>
          </cell>
          <cell r="M948">
            <v>98</v>
          </cell>
          <cell r="N948">
            <v>30</v>
          </cell>
          <cell r="O948">
            <v>1.5</v>
          </cell>
          <cell r="P948">
            <v>4.28</v>
          </cell>
        </row>
        <row r="949">
          <cell r="J949" t="str">
            <v>DCompra de ViviendaLey PreferencialResidencialNuevaCasaCOPA000000080000.01</v>
          </cell>
          <cell r="K949">
            <v>80000.009999999995</v>
          </cell>
          <cell r="L949">
            <v>120000</v>
          </cell>
          <cell r="M949">
            <v>85</v>
          </cell>
          <cell r="N949">
            <v>30</v>
          </cell>
          <cell r="O949">
            <v>1.5</v>
          </cell>
          <cell r="P949">
            <v>4.28</v>
          </cell>
        </row>
        <row r="950">
          <cell r="J950" t="str">
            <v>DCompra de ViviendaLey PreferencialResidencialNuevaCasaFERIA000000018000.00</v>
          </cell>
          <cell r="K950">
            <v>18000</v>
          </cell>
          <cell r="L950">
            <v>40000</v>
          </cell>
          <cell r="M950">
            <v>98</v>
          </cell>
          <cell r="N950">
            <v>30</v>
          </cell>
          <cell r="O950">
            <v>0</v>
          </cell>
          <cell r="P950">
            <v>4.28</v>
          </cell>
        </row>
        <row r="951">
          <cell r="J951" t="str">
            <v>DCompra de ViviendaLey PreferencialResidencialNuevaCasaFERIA000000040000.01</v>
          </cell>
          <cell r="K951">
            <v>40000.01</v>
          </cell>
          <cell r="L951">
            <v>80000</v>
          </cell>
          <cell r="M951">
            <v>98</v>
          </cell>
          <cell r="N951">
            <v>30</v>
          </cell>
          <cell r="O951">
            <v>1.5</v>
          </cell>
          <cell r="P951">
            <v>4.28</v>
          </cell>
        </row>
        <row r="952">
          <cell r="J952" t="str">
            <v>DCompra de ViviendaLey PreferencialResidencialNuevaCasaFERIA000000080000.01</v>
          </cell>
          <cell r="K952">
            <v>80000.009999999995</v>
          </cell>
          <cell r="L952">
            <v>120000</v>
          </cell>
          <cell r="M952">
            <v>85</v>
          </cell>
          <cell r="N952">
            <v>30</v>
          </cell>
          <cell r="O952">
            <v>1.5</v>
          </cell>
          <cell r="P952">
            <v>8.56</v>
          </cell>
        </row>
        <row r="953">
          <cell r="J953" t="str">
            <v>DCompra de ViviendaLey PreferencialResidencialUsadaCasaBG000000080000.01</v>
          </cell>
          <cell r="K953">
            <v>80000.009999999995</v>
          </cell>
          <cell r="L953">
            <v>120000</v>
          </cell>
          <cell r="M953">
            <v>85</v>
          </cell>
          <cell r="N953">
            <v>30</v>
          </cell>
          <cell r="O953">
            <v>1.5</v>
          </cell>
          <cell r="P953">
            <v>8.56</v>
          </cell>
        </row>
        <row r="954">
          <cell r="J954" t="str">
            <v>DCompra de ViviendaLey PreferencialResidencialUsadaCasaCOPA000000080000.01</v>
          </cell>
          <cell r="K954">
            <v>80000.009999999995</v>
          </cell>
          <cell r="L954">
            <v>120000</v>
          </cell>
          <cell r="M954">
            <v>85</v>
          </cell>
          <cell r="N954">
            <v>30</v>
          </cell>
          <cell r="O954">
            <v>1.5</v>
          </cell>
          <cell r="P954">
            <v>4.28</v>
          </cell>
        </row>
        <row r="955">
          <cell r="J955" t="str">
            <v>DCompra de ViviendaLey PreferencialResidencialUsadaCasaFERIA000000080000.01</v>
          </cell>
          <cell r="K955">
            <v>80000.009999999995</v>
          </cell>
          <cell r="L955">
            <v>120000</v>
          </cell>
          <cell r="M955">
            <v>85</v>
          </cell>
          <cell r="N955">
            <v>30</v>
          </cell>
          <cell r="O955">
            <v>1.5</v>
          </cell>
          <cell r="P955">
            <v>8.56</v>
          </cell>
        </row>
        <row r="956">
          <cell r="J956" t="str">
            <v>DCompra Venta de AccionesIndividualResidencialNuevaApartamentoBG000000120000.01</v>
          </cell>
          <cell r="K956">
            <v>120000.01</v>
          </cell>
          <cell r="L956">
            <v>200000</v>
          </cell>
          <cell r="M956">
            <v>85</v>
          </cell>
          <cell r="N956">
            <v>25</v>
          </cell>
          <cell r="O956">
            <v>5.25</v>
          </cell>
          <cell r="P956">
            <v>0</v>
          </cell>
        </row>
        <row r="957">
          <cell r="J957" t="str">
            <v>DCompra Venta de AccionesIndividualResidencialNuevaApartamentoBG000000200000.01</v>
          </cell>
          <cell r="K957">
            <v>200000.01</v>
          </cell>
          <cell r="L957">
            <v>500000</v>
          </cell>
          <cell r="M957">
            <v>80</v>
          </cell>
          <cell r="N957">
            <v>25</v>
          </cell>
          <cell r="O957">
            <v>5.25</v>
          </cell>
          <cell r="P957">
            <v>0</v>
          </cell>
        </row>
        <row r="958">
          <cell r="J958" t="str">
            <v>DCompra Venta de AccionesIndividualResidencialNuevaApartamentoBG000000500000.01</v>
          </cell>
          <cell r="K958">
            <v>500000.01</v>
          </cell>
          <cell r="L958">
            <v>99999999</v>
          </cell>
          <cell r="M958">
            <v>80</v>
          </cell>
          <cell r="N958">
            <v>25</v>
          </cell>
          <cell r="O958">
            <v>5</v>
          </cell>
          <cell r="P958">
            <v>0</v>
          </cell>
        </row>
        <row r="959">
          <cell r="J959" t="str">
            <v>DCompra Venta de AccionesIndividualResidencialNuevaCasaBG000000120000.01</v>
          </cell>
          <cell r="K959">
            <v>120000.01</v>
          </cell>
          <cell r="L959">
            <v>200000</v>
          </cell>
          <cell r="M959">
            <v>85</v>
          </cell>
          <cell r="N959">
            <v>30</v>
          </cell>
          <cell r="O959">
            <v>5.25</v>
          </cell>
          <cell r="P959">
            <v>0</v>
          </cell>
        </row>
        <row r="960">
          <cell r="J960" t="str">
            <v>DCompra Venta de AccionesIndividualResidencialNuevaCasaBG000000200000.01</v>
          </cell>
          <cell r="K960">
            <v>200000.01</v>
          </cell>
          <cell r="L960">
            <v>500000</v>
          </cell>
          <cell r="M960">
            <v>80</v>
          </cell>
          <cell r="N960">
            <v>30</v>
          </cell>
          <cell r="O960">
            <v>5.25</v>
          </cell>
          <cell r="P960">
            <v>0</v>
          </cell>
        </row>
        <row r="961">
          <cell r="J961" t="str">
            <v>DCompra Venta de AccionesIndividualResidencialNuevaCasaBG000000500000.01</v>
          </cell>
          <cell r="K961">
            <v>500000.01</v>
          </cell>
          <cell r="L961">
            <v>99999999</v>
          </cell>
          <cell r="M961">
            <v>80</v>
          </cell>
          <cell r="N961">
            <v>30</v>
          </cell>
          <cell r="O961">
            <v>5</v>
          </cell>
          <cell r="P961">
            <v>0</v>
          </cell>
        </row>
        <row r="962">
          <cell r="J962" t="str">
            <v>DCompra Venta de AccionesIndividualResidencialUsadaApartamentoBG000000030000.00</v>
          </cell>
          <cell r="K962">
            <v>30000</v>
          </cell>
          <cell r="L962">
            <v>200000</v>
          </cell>
          <cell r="M962">
            <v>85</v>
          </cell>
          <cell r="N962">
            <v>30</v>
          </cell>
          <cell r="O962">
            <v>5.5</v>
          </cell>
          <cell r="P962">
            <v>0</v>
          </cell>
        </row>
        <row r="963">
          <cell r="J963" t="str">
            <v>DCompra Venta de AccionesIndividualResidencialUsadaApartamentoBG000000200000.01</v>
          </cell>
          <cell r="K963">
            <v>200000.01</v>
          </cell>
          <cell r="L963">
            <v>500000</v>
          </cell>
          <cell r="M963">
            <v>80</v>
          </cell>
          <cell r="N963">
            <v>25</v>
          </cell>
          <cell r="O963">
            <v>5.25</v>
          </cell>
          <cell r="P963">
            <v>0</v>
          </cell>
        </row>
        <row r="964">
          <cell r="J964" t="str">
            <v>DCompra Venta de AccionesIndividualResidencialUsadaApartamentoBG000000500000.01</v>
          </cell>
          <cell r="K964">
            <v>500000.01</v>
          </cell>
          <cell r="L964">
            <v>99999999</v>
          </cell>
          <cell r="M964">
            <v>80</v>
          </cell>
          <cell r="N964">
            <v>25</v>
          </cell>
          <cell r="O964">
            <v>5.25</v>
          </cell>
          <cell r="P964">
            <v>0</v>
          </cell>
        </row>
        <row r="965">
          <cell r="J965" t="str">
            <v>DCompra Venta de AccionesIndividualResidencialUsadaCasaBG000000030000.00</v>
          </cell>
          <cell r="K965">
            <v>30000</v>
          </cell>
          <cell r="L965">
            <v>200000</v>
          </cell>
          <cell r="M965">
            <v>85</v>
          </cell>
          <cell r="N965">
            <v>30</v>
          </cell>
          <cell r="O965">
            <v>5.5</v>
          </cell>
          <cell r="P965">
            <v>0</v>
          </cell>
        </row>
        <row r="966">
          <cell r="J966" t="str">
            <v>DCompra Venta de AccionesIndividualResidencialUsadaCasaBG000000200000.01</v>
          </cell>
          <cell r="K966">
            <v>200000.01</v>
          </cell>
          <cell r="L966">
            <v>500000</v>
          </cell>
          <cell r="M966">
            <v>80</v>
          </cell>
          <cell r="N966">
            <v>30</v>
          </cell>
          <cell r="O966">
            <v>5.25</v>
          </cell>
          <cell r="P966">
            <v>0</v>
          </cell>
        </row>
        <row r="967">
          <cell r="J967" t="str">
            <v>DCompra Venta de AccionesIndividualResidencialUsadaCasaBG000000500000.01</v>
          </cell>
          <cell r="K967">
            <v>500000.01</v>
          </cell>
          <cell r="L967">
            <v>99999999</v>
          </cell>
          <cell r="M967">
            <v>80</v>
          </cell>
          <cell r="N967">
            <v>30</v>
          </cell>
          <cell r="O967">
            <v>5.25</v>
          </cell>
          <cell r="P967">
            <v>0</v>
          </cell>
        </row>
        <row r="968">
          <cell r="J968" t="str">
            <v>DTraspaso de Otro BancoIndividualResidencialUsadaApartamentoBG000000030000.00</v>
          </cell>
          <cell r="K968">
            <v>30000</v>
          </cell>
          <cell r="L968">
            <v>250000</v>
          </cell>
          <cell r="M968">
            <v>90</v>
          </cell>
          <cell r="N968">
            <v>30</v>
          </cell>
          <cell r="O968">
            <v>5.5</v>
          </cell>
          <cell r="P968">
            <v>0</v>
          </cell>
        </row>
        <row r="969">
          <cell r="J969" t="str">
            <v>DTraspaso de Otro BancoIndividualResidencialUsadaApartamentoBG000000250000.01</v>
          </cell>
          <cell r="K969">
            <v>250000.01</v>
          </cell>
          <cell r="L969">
            <v>500000</v>
          </cell>
          <cell r="M969">
            <v>80</v>
          </cell>
          <cell r="N969">
            <v>30</v>
          </cell>
          <cell r="O969">
            <v>5.25</v>
          </cell>
          <cell r="P969">
            <v>0</v>
          </cell>
        </row>
        <row r="970">
          <cell r="J970" t="str">
            <v>DTraspaso de Otro BancoIndividualResidencialUsadaApartamentoBG000000500000.01</v>
          </cell>
          <cell r="K970">
            <v>500000.01</v>
          </cell>
          <cell r="L970">
            <v>99999999</v>
          </cell>
          <cell r="M970">
            <v>70</v>
          </cell>
          <cell r="N970">
            <v>30</v>
          </cell>
          <cell r="O970">
            <v>5.25</v>
          </cell>
          <cell r="P970">
            <v>0</v>
          </cell>
        </row>
        <row r="971">
          <cell r="J971" t="str">
            <v>DTraspaso de Otro BancoIndividualResidencialUsadaApartamentoCOPA000000030000.00</v>
          </cell>
          <cell r="K971">
            <v>30000</v>
          </cell>
          <cell r="L971">
            <v>250000</v>
          </cell>
          <cell r="M971">
            <v>90</v>
          </cell>
          <cell r="N971">
            <v>30</v>
          </cell>
          <cell r="O971">
            <v>5.5</v>
          </cell>
          <cell r="P971">
            <v>0</v>
          </cell>
        </row>
        <row r="972">
          <cell r="J972" t="str">
            <v>DTraspaso de Otro BancoIndividualResidencialUsadaApartamentoCOPA000000250000.01</v>
          </cell>
          <cell r="K972">
            <v>250000.01</v>
          </cell>
          <cell r="L972">
            <v>500000</v>
          </cell>
          <cell r="M972">
            <v>80</v>
          </cell>
          <cell r="N972">
            <v>30</v>
          </cell>
          <cell r="O972">
            <v>5.25</v>
          </cell>
          <cell r="P972">
            <v>0</v>
          </cell>
        </row>
        <row r="973">
          <cell r="J973" t="str">
            <v>DTraspaso de Otro BancoIndividualResidencialUsadaApartamentoCOPA000000500000.01</v>
          </cell>
          <cell r="K973">
            <v>500000.01</v>
          </cell>
          <cell r="L973">
            <v>99999999</v>
          </cell>
          <cell r="M973">
            <v>70</v>
          </cell>
          <cell r="N973">
            <v>30</v>
          </cell>
          <cell r="O973">
            <v>5.25</v>
          </cell>
          <cell r="P973">
            <v>0</v>
          </cell>
        </row>
        <row r="974">
          <cell r="J974" t="str">
            <v>DTraspaso de Otro BancoIndividualResidencialUsadaApartamentoFERIA000000040000.00</v>
          </cell>
          <cell r="K974">
            <v>40000</v>
          </cell>
          <cell r="L974">
            <v>200000</v>
          </cell>
          <cell r="M974">
            <v>90</v>
          </cell>
          <cell r="N974">
            <v>30</v>
          </cell>
          <cell r="O974">
            <v>5.5</v>
          </cell>
          <cell r="P974">
            <v>0</v>
          </cell>
        </row>
        <row r="975">
          <cell r="J975" t="str">
            <v>DTraspaso de Otro BancoIndividualResidencialUsadaApartamentoFERIA000000200000.01</v>
          </cell>
          <cell r="K975">
            <v>200000.01</v>
          </cell>
          <cell r="L975">
            <v>99999999</v>
          </cell>
          <cell r="M975">
            <v>80</v>
          </cell>
          <cell r="N975">
            <v>30</v>
          </cell>
          <cell r="O975">
            <v>5.25</v>
          </cell>
          <cell r="P975">
            <v>0</v>
          </cell>
        </row>
        <row r="976">
          <cell r="J976" t="str">
            <v>DTraspaso de Otro BancoIndividualResidencialUsadaApartamentoFERIA000000500000.01</v>
          </cell>
          <cell r="K976">
            <v>500000.01</v>
          </cell>
          <cell r="L976">
            <v>99999999</v>
          </cell>
          <cell r="M976">
            <v>70</v>
          </cell>
          <cell r="N976">
            <v>30</v>
          </cell>
          <cell r="O976">
            <v>5.25</v>
          </cell>
          <cell r="P976">
            <v>0</v>
          </cell>
        </row>
        <row r="977">
          <cell r="J977" t="str">
            <v>DTraspaso de Otro BancoIndividualResidencialUsadaCasaBG000000030000.00</v>
          </cell>
          <cell r="K977">
            <v>30000</v>
          </cell>
          <cell r="L977">
            <v>250000</v>
          </cell>
          <cell r="M977">
            <v>90</v>
          </cell>
          <cell r="N977">
            <v>30</v>
          </cell>
          <cell r="O977">
            <v>5.5</v>
          </cell>
          <cell r="P977">
            <v>0</v>
          </cell>
        </row>
        <row r="978">
          <cell r="J978" t="str">
            <v>DTraspaso de Otro BancoIndividualResidencialUsadaCasaBG000000250000.01</v>
          </cell>
          <cell r="K978">
            <v>250000.01</v>
          </cell>
          <cell r="L978">
            <v>500000</v>
          </cell>
          <cell r="M978">
            <v>80</v>
          </cell>
          <cell r="N978">
            <v>30</v>
          </cell>
          <cell r="O978">
            <v>5.25</v>
          </cell>
          <cell r="P978">
            <v>0</v>
          </cell>
        </row>
        <row r="979">
          <cell r="J979" t="str">
            <v>DTraspaso de Otro BancoIndividualResidencialUsadaCasaBG000000500000.01</v>
          </cell>
          <cell r="K979">
            <v>500000.01</v>
          </cell>
          <cell r="L979">
            <v>99999999</v>
          </cell>
          <cell r="M979">
            <v>70</v>
          </cell>
          <cell r="N979">
            <v>30</v>
          </cell>
          <cell r="O979">
            <v>5.25</v>
          </cell>
          <cell r="P979">
            <v>0</v>
          </cell>
        </row>
        <row r="980">
          <cell r="J980" t="str">
            <v>DTraspaso de Otro BancoIndividualResidencialUsadaCasaCOPA000000030000.00</v>
          </cell>
          <cell r="K980">
            <v>30000</v>
          </cell>
          <cell r="L980">
            <v>250000</v>
          </cell>
          <cell r="M980">
            <v>90</v>
          </cell>
          <cell r="N980">
            <v>30</v>
          </cell>
          <cell r="O980">
            <v>5.5</v>
          </cell>
          <cell r="P980">
            <v>0</v>
          </cell>
        </row>
        <row r="981">
          <cell r="J981" t="str">
            <v>DTraspaso de Otro BancoIndividualResidencialUsadaCasaCOPA000000250000.01</v>
          </cell>
          <cell r="K981">
            <v>250000.01</v>
          </cell>
          <cell r="L981">
            <v>500000</v>
          </cell>
          <cell r="M981">
            <v>80</v>
          </cell>
          <cell r="N981">
            <v>30</v>
          </cell>
          <cell r="O981">
            <v>5.25</v>
          </cell>
          <cell r="P981">
            <v>0</v>
          </cell>
        </row>
        <row r="982">
          <cell r="J982" t="str">
            <v>DTraspaso de Otro BancoIndividualResidencialUsadaCasaCOPA000000500000.01</v>
          </cell>
          <cell r="K982">
            <v>500000.01</v>
          </cell>
          <cell r="L982">
            <v>99999999</v>
          </cell>
          <cell r="M982">
            <v>70</v>
          </cell>
          <cell r="N982">
            <v>30</v>
          </cell>
          <cell r="O982">
            <v>5.25</v>
          </cell>
          <cell r="P982">
            <v>0</v>
          </cell>
        </row>
        <row r="983">
          <cell r="J983" t="str">
            <v>DTraspaso de Otro BancoIndividualResidencialUsadaCasaFERIA000000040000.00</v>
          </cell>
          <cell r="K983">
            <v>40000</v>
          </cell>
          <cell r="L983">
            <v>200000</v>
          </cell>
          <cell r="M983">
            <v>90</v>
          </cell>
          <cell r="N983">
            <v>30</v>
          </cell>
          <cell r="O983">
            <v>5.5</v>
          </cell>
          <cell r="P983">
            <v>0</v>
          </cell>
        </row>
        <row r="984">
          <cell r="J984" t="str">
            <v>DTraspaso de Otro BancoIndividualResidencialUsadaCasaFERIA000000200000.01</v>
          </cell>
          <cell r="K984">
            <v>200000.01</v>
          </cell>
          <cell r="L984">
            <v>99999999</v>
          </cell>
          <cell r="M984">
            <v>80</v>
          </cell>
          <cell r="N984">
            <v>30</v>
          </cell>
          <cell r="O984">
            <v>5.25</v>
          </cell>
          <cell r="P984">
            <v>0</v>
          </cell>
        </row>
        <row r="985">
          <cell r="J985" t="str">
            <v>DTraspaso de Otro BancoIndividualResidencialUsadaCasaFERIA000000500000.01</v>
          </cell>
          <cell r="K985">
            <v>500000.01</v>
          </cell>
          <cell r="L985">
            <v>99999999</v>
          </cell>
          <cell r="M985">
            <v>70</v>
          </cell>
          <cell r="N985">
            <v>30</v>
          </cell>
          <cell r="O985">
            <v>5.5</v>
          </cell>
          <cell r="P985">
            <v>0</v>
          </cell>
        </row>
      </sheetData>
      <sheetData sheetId="8">
        <row r="2">
          <cell r="P2" t="str">
            <v>01010101010101</v>
          </cell>
          <cell r="Q2">
            <v>0</v>
          </cell>
          <cell r="T2">
            <v>10</v>
          </cell>
          <cell r="U2">
            <v>8</v>
          </cell>
          <cell r="V2">
            <v>8</v>
          </cell>
          <cell r="W2">
            <v>31</v>
          </cell>
          <cell r="X2">
            <v>0</v>
          </cell>
          <cell r="Y2">
            <v>21</v>
          </cell>
          <cell r="Z2">
            <v>8</v>
          </cell>
          <cell r="AB2">
            <v>25</v>
          </cell>
          <cell r="AC2">
            <v>0</v>
          </cell>
          <cell r="AD2">
            <v>111</v>
          </cell>
          <cell r="AF2" t="str">
            <v>01010101010101</v>
          </cell>
          <cell r="AG2">
            <v>13</v>
          </cell>
          <cell r="AH2">
            <v>26</v>
          </cell>
          <cell r="AI2">
            <v>2</v>
          </cell>
          <cell r="AJ2">
            <v>7</v>
          </cell>
          <cell r="AK2">
            <v>208</v>
          </cell>
          <cell r="AL2">
            <v>2.7</v>
          </cell>
          <cell r="AN2">
            <v>0</v>
          </cell>
          <cell r="AO2">
            <v>10</v>
          </cell>
          <cell r="AP2">
            <v>255.7</v>
          </cell>
          <cell r="AR2" t="str">
            <v>01010101010101</v>
          </cell>
          <cell r="AS2">
            <v>0</v>
          </cell>
        </row>
        <row r="3">
          <cell r="P3" t="str">
            <v>01010101020101</v>
          </cell>
          <cell r="Q3">
            <v>0</v>
          </cell>
          <cell r="T3">
            <v>10</v>
          </cell>
          <cell r="U3">
            <v>8</v>
          </cell>
          <cell r="V3">
            <v>8</v>
          </cell>
          <cell r="W3">
            <v>31</v>
          </cell>
          <cell r="X3">
            <v>0</v>
          </cell>
          <cell r="Y3">
            <v>21</v>
          </cell>
          <cell r="Z3">
            <v>8</v>
          </cell>
          <cell r="AB3">
            <v>25</v>
          </cell>
          <cell r="AD3">
            <v>111</v>
          </cell>
          <cell r="AF3" t="str">
            <v>01010101020101</v>
          </cell>
          <cell r="AG3">
            <v>13</v>
          </cell>
          <cell r="AH3">
            <v>26</v>
          </cell>
          <cell r="AI3">
            <v>2</v>
          </cell>
          <cell r="AJ3">
            <v>7</v>
          </cell>
          <cell r="AK3">
            <v>208</v>
          </cell>
          <cell r="AL3">
            <v>2.7</v>
          </cell>
          <cell r="AN3">
            <v>0</v>
          </cell>
          <cell r="AO3">
            <v>10</v>
          </cell>
          <cell r="AP3">
            <v>255.7</v>
          </cell>
          <cell r="AR3" t="str">
            <v>01010101020101</v>
          </cell>
          <cell r="AS3">
            <v>0</v>
          </cell>
        </row>
        <row r="4">
          <cell r="P4" t="str">
            <v>01020101010101</v>
          </cell>
          <cell r="Q4">
            <v>0</v>
          </cell>
          <cell r="T4">
            <v>10</v>
          </cell>
          <cell r="U4">
            <v>8</v>
          </cell>
          <cell r="V4">
            <v>8</v>
          </cell>
          <cell r="W4">
            <v>31</v>
          </cell>
          <cell r="X4">
            <v>0</v>
          </cell>
          <cell r="Y4">
            <v>26</v>
          </cell>
          <cell r="Z4">
            <v>8</v>
          </cell>
          <cell r="AB4">
            <v>25</v>
          </cell>
          <cell r="AC4">
            <v>0</v>
          </cell>
          <cell r="AD4">
            <v>116</v>
          </cell>
          <cell r="AF4" t="str">
            <v>01020101010101</v>
          </cell>
          <cell r="AG4">
            <v>12</v>
          </cell>
          <cell r="AH4">
            <v>24</v>
          </cell>
          <cell r="AI4">
            <v>2</v>
          </cell>
          <cell r="AJ4">
            <v>7</v>
          </cell>
          <cell r="AK4">
            <v>192</v>
          </cell>
          <cell r="AL4">
            <v>2.5</v>
          </cell>
          <cell r="AN4">
            <v>0</v>
          </cell>
          <cell r="AO4">
            <v>10</v>
          </cell>
          <cell r="AP4">
            <v>237.5</v>
          </cell>
          <cell r="AR4" t="str">
            <v>01020101010101</v>
          </cell>
          <cell r="AS4">
            <v>0</v>
          </cell>
        </row>
        <row r="5">
          <cell r="P5" t="str">
            <v>01020101020101</v>
          </cell>
          <cell r="Q5">
            <v>0</v>
          </cell>
          <cell r="T5">
            <v>10</v>
          </cell>
          <cell r="U5">
            <v>8</v>
          </cell>
          <cell r="V5">
            <v>8</v>
          </cell>
          <cell r="W5">
            <v>31</v>
          </cell>
          <cell r="X5">
            <v>0</v>
          </cell>
          <cell r="Y5">
            <v>26</v>
          </cell>
          <cell r="Z5">
            <v>8</v>
          </cell>
          <cell r="AB5">
            <v>25</v>
          </cell>
          <cell r="AD5">
            <v>116</v>
          </cell>
          <cell r="AF5" t="str">
            <v>01020101020101</v>
          </cell>
          <cell r="AG5">
            <v>12</v>
          </cell>
          <cell r="AH5">
            <v>24</v>
          </cell>
          <cell r="AI5">
            <v>2</v>
          </cell>
          <cell r="AJ5">
            <v>7</v>
          </cell>
          <cell r="AK5">
            <v>192</v>
          </cell>
          <cell r="AL5">
            <v>2.5</v>
          </cell>
          <cell r="AN5">
            <v>0</v>
          </cell>
          <cell r="AO5">
            <v>10</v>
          </cell>
          <cell r="AP5">
            <v>237.5</v>
          </cell>
          <cell r="AR5" t="str">
            <v>01020101020101</v>
          </cell>
          <cell r="AS5">
            <v>0</v>
          </cell>
        </row>
        <row r="6">
          <cell r="P6" t="str">
            <v>03020601010101</v>
          </cell>
          <cell r="Q6">
            <v>0</v>
          </cell>
          <cell r="T6">
            <v>10</v>
          </cell>
          <cell r="U6">
            <v>8</v>
          </cell>
          <cell r="V6">
            <v>8</v>
          </cell>
          <cell r="W6">
            <v>31</v>
          </cell>
          <cell r="X6">
            <v>0</v>
          </cell>
          <cell r="Y6">
            <v>26</v>
          </cell>
          <cell r="Z6">
            <v>8</v>
          </cell>
          <cell r="AB6">
            <v>25</v>
          </cell>
          <cell r="AC6">
            <v>0</v>
          </cell>
          <cell r="AD6">
            <v>116</v>
          </cell>
          <cell r="AF6" t="str">
            <v>03020601010101</v>
          </cell>
          <cell r="AG6">
            <v>12</v>
          </cell>
          <cell r="AH6">
            <v>24</v>
          </cell>
          <cell r="AI6">
            <v>2</v>
          </cell>
          <cell r="AJ6">
            <v>7</v>
          </cell>
          <cell r="AK6">
            <v>192</v>
          </cell>
          <cell r="AL6">
            <v>2.5</v>
          </cell>
          <cell r="AN6">
            <v>0</v>
          </cell>
          <cell r="AO6">
            <v>10</v>
          </cell>
          <cell r="AP6">
            <v>237.5</v>
          </cell>
          <cell r="AR6" t="str">
            <v>03020601010101</v>
          </cell>
          <cell r="AS6">
            <v>0</v>
          </cell>
        </row>
        <row r="7">
          <cell r="P7" t="str">
            <v>03020602010101</v>
          </cell>
          <cell r="Q7">
            <v>0</v>
          </cell>
          <cell r="T7">
            <v>10</v>
          </cell>
          <cell r="U7">
            <v>8</v>
          </cell>
          <cell r="V7">
            <v>8</v>
          </cell>
          <cell r="W7">
            <v>31</v>
          </cell>
          <cell r="X7">
            <v>0</v>
          </cell>
          <cell r="AD7">
            <v>57</v>
          </cell>
          <cell r="AF7" t="str">
            <v>03020602010101</v>
          </cell>
          <cell r="AG7">
            <v>12</v>
          </cell>
          <cell r="AH7">
            <v>24</v>
          </cell>
          <cell r="AI7">
            <v>2</v>
          </cell>
          <cell r="AJ7">
            <v>7</v>
          </cell>
          <cell r="AK7">
            <v>192</v>
          </cell>
          <cell r="AL7">
            <v>2.5</v>
          </cell>
          <cell r="AN7">
            <v>0</v>
          </cell>
          <cell r="AO7">
            <v>10</v>
          </cell>
          <cell r="AP7">
            <v>237.5</v>
          </cell>
          <cell r="AR7" t="str">
            <v>03020602010101</v>
          </cell>
          <cell r="AS7">
            <v>0</v>
          </cell>
        </row>
        <row r="8">
          <cell r="P8" t="str">
            <v>03020601020101</v>
          </cell>
          <cell r="Q8">
            <v>0</v>
          </cell>
          <cell r="T8">
            <v>10</v>
          </cell>
          <cell r="U8">
            <v>8</v>
          </cell>
          <cell r="V8">
            <v>8</v>
          </cell>
          <cell r="W8">
            <v>31</v>
          </cell>
          <cell r="X8">
            <v>0</v>
          </cell>
          <cell r="Y8">
            <v>26</v>
          </cell>
          <cell r="Z8">
            <v>8</v>
          </cell>
          <cell r="AB8">
            <v>25</v>
          </cell>
          <cell r="AD8">
            <v>116</v>
          </cell>
          <cell r="AF8" t="str">
            <v>03020601020101</v>
          </cell>
          <cell r="AG8">
            <v>12</v>
          </cell>
          <cell r="AH8">
            <v>24</v>
          </cell>
          <cell r="AI8">
            <v>2</v>
          </cell>
          <cell r="AJ8">
            <v>7</v>
          </cell>
          <cell r="AK8">
            <v>192</v>
          </cell>
          <cell r="AL8">
            <v>2.5</v>
          </cell>
          <cell r="AN8">
            <v>0</v>
          </cell>
          <cell r="AO8">
            <v>10</v>
          </cell>
          <cell r="AP8">
            <v>237.5</v>
          </cell>
          <cell r="AR8" t="str">
            <v>03020601020101</v>
          </cell>
          <cell r="AS8">
            <v>0</v>
          </cell>
        </row>
        <row r="9">
          <cell r="P9" t="str">
            <v>03020602020101</v>
          </cell>
          <cell r="Q9">
            <v>0</v>
          </cell>
          <cell r="T9">
            <v>10</v>
          </cell>
          <cell r="U9">
            <v>8</v>
          </cell>
          <cell r="V9">
            <v>8</v>
          </cell>
          <cell r="W9">
            <v>31</v>
          </cell>
          <cell r="X9">
            <v>0</v>
          </cell>
          <cell r="AD9">
            <v>57</v>
          </cell>
          <cell r="AF9" t="str">
            <v>03020602020101</v>
          </cell>
          <cell r="AG9">
            <v>12</v>
          </cell>
          <cell r="AH9">
            <v>24</v>
          </cell>
          <cell r="AI9">
            <v>2</v>
          </cell>
          <cell r="AJ9">
            <v>7</v>
          </cell>
          <cell r="AK9">
            <v>192</v>
          </cell>
          <cell r="AL9">
            <v>2.5</v>
          </cell>
          <cell r="AN9">
            <v>0</v>
          </cell>
          <cell r="AO9">
            <v>10</v>
          </cell>
          <cell r="AP9">
            <v>237.5</v>
          </cell>
          <cell r="AR9" t="str">
            <v>03020602020101</v>
          </cell>
          <cell r="AS9">
            <v>0</v>
          </cell>
        </row>
        <row r="10">
          <cell r="P10" t="str">
            <v>01020102010101</v>
          </cell>
          <cell r="Q10">
            <v>0</v>
          </cell>
          <cell r="T10">
            <v>10</v>
          </cell>
          <cell r="U10">
            <v>8</v>
          </cell>
          <cell r="V10">
            <v>8</v>
          </cell>
          <cell r="W10">
            <v>31</v>
          </cell>
          <cell r="X10">
            <v>0</v>
          </cell>
          <cell r="AD10">
            <v>57</v>
          </cell>
          <cell r="AF10" t="str">
            <v>01020102010101</v>
          </cell>
          <cell r="AG10">
            <v>12</v>
          </cell>
          <cell r="AH10">
            <v>24</v>
          </cell>
          <cell r="AI10">
            <v>2</v>
          </cell>
          <cell r="AJ10">
            <v>7</v>
          </cell>
          <cell r="AK10">
            <v>192</v>
          </cell>
          <cell r="AL10">
            <v>2.5</v>
          </cell>
          <cell r="AN10">
            <v>0</v>
          </cell>
          <cell r="AO10">
            <v>10</v>
          </cell>
          <cell r="AP10">
            <v>237.5</v>
          </cell>
          <cell r="AR10" t="str">
            <v>01020102010101</v>
          </cell>
          <cell r="AS10">
            <v>0</v>
          </cell>
        </row>
        <row r="11">
          <cell r="P11" t="str">
            <v>03020102020101</v>
          </cell>
          <cell r="AD11">
            <v>0</v>
          </cell>
          <cell r="AF11" t="str">
            <v>03020102020101</v>
          </cell>
          <cell r="AP11">
            <v>0</v>
          </cell>
          <cell r="AR11" t="str">
            <v>03020102020101</v>
          </cell>
          <cell r="AS11">
            <v>0</v>
          </cell>
        </row>
        <row r="12">
          <cell r="P12" t="str">
            <v>01010202010101</v>
          </cell>
          <cell r="Q12">
            <v>0</v>
          </cell>
          <cell r="T12">
            <v>10</v>
          </cell>
          <cell r="U12">
            <v>8</v>
          </cell>
          <cell r="V12">
            <v>8</v>
          </cell>
          <cell r="X12">
            <v>0</v>
          </cell>
          <cell r="AD12">
            <v>26</v>
          </cell>
          <cell r="AF12" t="str">
            <v>01010202010101</v>
          </cell>
          <cell r="AG12">
            <v>13</v>
          </cell>
          <cell r="AH12">
            <v>26</v>
          </cell>
          <cell r="AI12">
            <v>2</v>
          </cell>
          <cell r="AJ12">
            <v>7</v>
          </cell>
          <cell r="AK12">
            <v>208</v>
          </cell>
          <cell r="AL12">
            <v>2.7</v>
          </cell>
          <cell r="AN12">
            <v>0</v>
          </cell>
          <cell r="AO12">
            <v>10</v>
          </cell>
          <cell r="AP12">
            <v>255.7</v>
          </cell>
          <cell r="AR12" t="str">
            <v>01010202010101</v>
          </cell>
          <cell r="AS12">
            <v>0</v>
          </cell>
        </row>
        <row r="13">
          <cell r="P13" t="str">
            <v>01010202020101</v>
          </cell>
          <cell r="Q13">
            <v>0</v>
          </cell>
          <cell r="T13">
            <v>10</v>
          </cell>
          <cell r="U13">
            <v>8</v>
          </cell>
          <cell r="V13">
            <v>8</v>
          </cell>
          <cell r="X13">
            <v>0</v>
          </cell>
          <cell r="AD13">
            <v>26</v>
          </cell>
          <cell r="AF13" t="str">
            <v>01010202020101</v>
          </cell>
          <cell r="AG13">
            <v>13</v>
          </cell>
          <cell r="AH13">
            <v>26</v>
          </cell>
          <cell r="AI13">
            <v>2</v>
          </cell>
          <cell r="AJ13">
            <v>7</v>
          </cell>
          <cell r="AK13">
            <v>208</v>
          </cell>
          <cell r="AL13">
            <v>2.7</v>
          </cell>
          <cell r="AN13">
            <v>0</v>
          </cell>
          <cell r="AO13">
            <v>10</v>
          </cell>
          <cell r="AP13">
            <v>255.7</v>
          </cell>
          <cell r="AR13" t="str">
            <v>01010202020101</v>
          </cell>
          <cell r="AS13">
            <v>0</v>
          </cell>
        </row>
        <row r="14">
          <cell r="P14" t="str">
            <v>01020202010101</v>
          </cell>
          <cell r="Q14">
            <v>0</v>
          </cell>
          <cell r="T14">
            <v>10</v>
          </cell>
          <cell r="U14">
            <v>8</v>
          </cell>
          <cell r="V14">
            <v>8</v>
          </cell>
          <cell r="X14">
            <v>0</v>
          </cell>
          <cell r="AD14">
            <v>26</v>
          </cell>
          <cell r="AF14" t="str">
            <v>01020202010101</v>
          </cell>
          <cell r="AG14">
            <v>10</v>
          </cell>
          <cell r="AH14">
            <v>20</v>
          </cell>
          <cell r="AI14">
            <v>2</v>
          </cell>
          <cell r="AJ14">
            <v>7</v>
          </cell>
          <cell r="AK14">
            <v>160</v>
          </cell>
          <cell r="AL14">
            <v>2.1</v>
          </cell>
          <cell r="AN14">
            <v>0</v>
          </cell>
          <cell r="AO14">
            <v>10</v>
          </cell>
          <cell r="AP14">
            <v>201.1</v>
          </cell>
          <cell r="AR14" t="str">
            <v>01020202010101</v>
          </cell>
          <cell r="AS14">
            <v>0</v>
          </cell>
        </row>
        <row r="15">
          <cell r="P15" t="str">
            <v>01020202020101</v>
          </cell>
          <cell r="Q15">
            <v>0</v>
          </cell>
          <cell r="T15">
            <v>10</v>
          </cell>
          <cell r="U15">
            <v>8</v>
          </cell>
          <cell r="V15">
            <v>8</v>
          </cell>
          <cell r="X15">
            <v>0</v>
          </cell>
          <cell r="AD15">
            <v>26</v>
          </cell>
          <cell r="AF15" t="str">
            <v>01020202020101</v>
          </cell>
          <cell r="AG15">
            <v>10</v>
          </cell>
          <cell r="AH15">
            <v>20</v>
          </cell>
          <cell r="AI15">
            <v>2</v>
          </cell>
          <cell r="AJ15">
            <v>7</v>
          </cell>
          <cell r="AK15">
            <v>160</v>
          </cell>
          <cell r="AL15">
            <v>2.1</v>
          </cell>
          <cell r="AN15">
            <v>0</v>
          </cell>
          <cell r="AO15">
            <v>10</v>
          </cell>
          <cell r="AP15">
            <v>201.1</v>
          </cell>
          <cell r="AR15" t="str">
            <v>01020202020101</v>
          </cell>
          <cell r="AS15">
            <v>0</v>
          </cell>
        </row>
        <row r="16">
          <cell r="P16" t="str">
            <v>04020102010101</v>
          </cell>
          <cell r="Q16">
            <v>0</v>
          </cell>
          <cell r="T16">
            <v>10</v>
          </cell>
          <cell r="U16">
            <v>8</v>
          </cell>
          <cell r="V16">
            <v>8</v>
          </cell>
          <cell r="W16">
            <v>31</v>
          </cell>
          <cell r="AD16">
            <v>57</v>
          </cell>
          <cell r="AF16" t="str">
            <v>04020102010101</v>
          </cell>
          <cell r="AG16">
            <v>8</v>
          </cell>
          <cell r="AH16">
            <v>16</v>
          </cell>
          <cell r="AI16">
            <v>2</v>
          </cell>
          <cell r="AJ16">
            <v>7</v>
          </cell>
          <cell r="AK16">
            <v>128</v>
          </cell>
          <cell r="AL16">
            <v>1.7</v>
          </cell>
          <cell r="AN16">
            <v>0</v>
          </cell>
          <cell r="AP16">
            <v>154.69999999999999</v>
          </cell>
          <cell r="AR16" t="str">
            <v>04020102010101</v>
          </cell>
          <cell r="AS16">
            <v>0</v>
          </cell>
        </row>
        <row r="17">
          <cell r="P17" t="str">
            <v>04020102020101</v>
          </cell>
          <cell r="Q17">
            <v>0</v>
          </cell>
          <cell r="T17">
            <v>10</v>
          </cell>
          <cell r="U17">
            <v>8</v>
          </cell>
          <cell r="V17">
            <v>8</v>
          </cell>
          <cell r="W17">
            <v>31</v>
          </cell>
          <cell r="AD17">
            <v>57</v>
          </cell>
          <cell r="AF17" t="str">
            <v>04020102020101</v>
          </cell>
          <cell r="AG17">
            <v>8</v>
          </cell>
          <cell r="AH17">
            <v>16</v>
          </cell>
          <cell r="AI17">
            <v>2</v>
          </cell>
          <cell r="AJ17">
            <v>7</v>
          </cell>
          <cell r="AK17">
            <v>128</v>
          </cell>
          <cell r="AL17">
            <v>1.7</v>
          </cell>
          <cell r="AN17">
            <v>0</v>
          </cell>
          <cell r="AP17">
            <v>154.69999999999999</v>
          </cell>
          <cell r="AR17" t="str">
            <v>04020102020101</v>
          </cell>
          <cell r="AS17">
            <v>0</v>
          </cell>
        </row>
        <row r="18">
          <cell r="P18" t="str">
            <v>02020402010101</v>
          </cell>
          <cell r="Q18">
            <v>0</v>
          </cell>
          <cell r="T18">
            <v>10</v>
          </cell>
          <cell r="U18">
            <v>8</v>
          </cell>
          <cell r="V18">
            <v>8</v>
          </cell>
          <cell r="W18">
            <v>31</v>
          </cell>
          <cell r="AD18">
            <v>57</v>
          </cell>
          <cell r="AF18" t="str">
            <v>02020402010101</v>
          </cell>
          <cell r="AG18">
            <v>8</v>
          </cell>
          <cell r="AH18">
            <v>16</v>
          </cell>
          <cell r="AI18">
            <v>2</v>
          </cell>
          <cell r="AJ18">
            <v>7</v>
          </cell>
          <cell r="AK18">
            <v>128</v>
          </cell>
          <cell r="AL18">
            <v>1.7</v>
          </cell>
          <cell r="AN18">
            <v>0</v>
          </cell>
          <cell r="AP18">
            <v>154.69999999999999</v>
          </cell>
          <cell r="AR18" t="str">
            <v>02020402010101</v>
          </cell>
          <cell r="AS18">
            <v>0</v>
          </cell>
        </row>
        <row r="19">
          <cell r="P19" t="str">
            <v>02020402020101</v>
          </cell>
          <cell r="Q19">
            <v>0</v>
          </cell>
          <cell r="T19">
            <v>10</v>
          </cell>
          <cell r="U19">
            <v>8</v>
          </cell>
          <cell r="V19">
            <v>8</v>
          </cell>
          <cell r="W19">
            <v>31</v>
          </cell>
          <cell r="AD19">
            <v>57</v>
          </cell>
          <cell r="AF19" t="str">
            <v>02020402020101</v>
          </cell>
          <cell r="AG19">
            <v>8</v>
          </cell>
          <cell r="AH19">
            <v>16</v>
          </cell>
          <cell r="AI19">
            <v>2</v>
          </cell>
          <cell r="AJ19">
            <v>7</v>
          </cell>
          <cell r="AK19">
            <v>128</v>
          </cell>
          <cell r="AL19">
            <v>1.7</v>
          </cell>
          <cell r="AN19">
            <v>0</v>
          </cell>
          <cell r="AP19">
            <v>154.69999999999999</v>
          </cell>
          <cell r="AR19" t="str">
            <v>02020402020101</v>
          </cell>
          <cell r="AS19">
            <v>0</v>
          </cell>
        </row>
        <row r="20">
          <cell r="P20" t="str">
            <v>02020502010101</v>
          </cell>
          <cell r="Q20">
            <v>0</v>
          </cell>
          <cell r="T20">
            <v>10</v>
          </cell>
          <cell r="U20">
            <v>8</v>
          </cell>
          <cell r="V20">
            <v>8</v>
          </cell>
          <cell r="AD20">
            <v>26</v>
          </cell>
          <cell r="AF20" t="str">
            <v>02020502010101</v>
          </cell>
          <cell r="AG20">
            <v>8</v>
          </cell>
          <cell r="AH20">
            <v>16</v>
          </cell>
          <cell r="AI20">
            <v>2</v>
          </cell>
          <cell r="AJ20">
            <v>7</v>
          </cell>
          <cell r="AK20">
            <v>128</v>
          </cell>
          <cell r="AL20">
            <v>1.7</v>
          </cell>
          <cell r="AN20">
            <v>0</v>
          </cell>
          <cell r="AP20">
            <v>154.69999999999999</v>
          </cell>
          <cell r="AR20" t="str">
            <v>02020502010101</v>
          </cell>
          <cell r="AS20">
            <v>0</v>
          </cell>
        </row>
        <row r="21">
          <cell r="P21" t="str">
            <v>02020502020101</v>
          </cell>
          <cell r="Q21">
            <v>0</v>
          </cell>
          <cell r="T21">
            <v>10</v>
          </cell>
          <cell r="U21">
            <v>8</v>
          </cell>
          <cell r="V21">
            <v>8</v>
          </cell>
          <cell r="AD21">
            <v>26</v>
          </cell>
          <cell r="AF21" t="str">
            <v>02020502020101</v>
          </cell>
          <cell r="AG21">
            <v>8</v>
          </cell>
          <cell r="AH21">
            <v>16</v>
          </cell>
          <cell r="AI21">
            <v>2</v>
          </cell>
          <cell r="AJ21">
            <v>7</v>
          </cell>
          <cell r="AK21">
            <v>128</v>
          </cell>
          <cell r="AL21">
            <v>1.7</v>
          </cell>
          <cell r="AN21">
            <v>0</v>
          </cell>
          <cell r="AP21">
            <v>154.69999999999999</v>
          </cell>
          <cell r="AR21" t="str">
            <v>02020502020101</v>
          </cell>
          <cell r="AS21">
            <v>0</v>
          </cell>
        </row>
        <row r="22">
          <cell r="P22" t="str">
            <v>02020102010101</v>
          </cell>
          <cell r="Q22">
            <v>0</v>
          </cell>
          <cell r="T22">
            <v>10</v>
          </cell>
          <cell r="U22">
            <v>8</v>
          </cell>
          <cell r="V22">
            <v>8</v>
          </cell>
          <cell r="AD22">
            <v>26</v>
          </cell>
          <cell r="AF22" t="str">
            <v>02020102010101</v>
          </cell>
          <cell r="AG22">
            <v>8</v>
          </cell>
          <cell r="AH22">
            <v>16</v>
          </cell>
          <cell r="AI22">
            <v>2</v>
          </cell>
          <cell r="AJ22">
            <v>7</v>
          </cell>
          <cell r="AK22">
            <v>128</v>
          </cell>
          <cell r="AL22">
            <v>1.7</v>
          </cell>
          <cell r="AN22">
            <v>0</v>
          </cell>
          <cell r="AP22">
            <v>154.69999999999999</v>
          </cell>
          <cell r="AR22" t="str">
            <v>02020102010101</v>
          </cell>
          <cell r="AS22">
            <v>0</v>
          </cell>
        </row>
        <row r="23">
          <cell r="P23" t="str">
            <v>02020102020101</v>
          </cell>
          <cell r="Q23">
            <v>0</v>
          </cell>
          <cell r="T23">
            <v>10</v>
          </cell>
          <cell r="U23">
            <v>8</v>
          </cell>
          <cell r="V23">
            <v>8</v>
          </cell>
          <cell r="AD23">
            <v>26</v>
          </cell>
          <cell r="AF23" t="str">
            <v>02020102020101</v>
          </cell>
          <cell r="AG23">
            <v>8</v>
          </cell>
          <cell r="AH23">
            <v>16</v>
          </cell>
          <cell r="AI23">
            <v>2</v>
          </cell>
          <cell r="AJ23">
            <v>7</v>
          </cell>
          <cell r="AK23">
            <v>128</v>
          </cell>
          <cell r="AL23">
            <v>1.7</v>
          </cell>
          <cell r="AN23">
            <v>0</v>
          </cell>
          <cell r="AP23">
            <v>154.69999999999999</v>
          </cell>
          <cell r="AR23" t="str">
            <v>02020102020101</v>
          </cell>
          <cell r="AS23">
            <v>0</v>
          </cell>
        </row>
        <row r="24">
          <cell r="P24" t="str">
            <v>06010102010101</v>
          </cell>
          <cell r="R24">
            <v>35</v>
          </cell>
          <cell r="T24">
            <v>10</v>
          </cell>
          <cell r="U24">
            <v>8</v>
          </cell>
          <cell r="V24">
            <v>8</v>
          </cell>
          <cell r="AD24">
            <v>61</v>
          </cell>
          <cell r="AF24" t="str">
            <v>06010102010101</v>
          </cell>
          <cell r="AG24">
            <v>5</v>
          </cell>
          <cell r="AH24">
            <v>10</v>
          </cell>
          <cell r="AI24">
            <v>2</v>
          </cell>
          <cell r="AJ24">
            <v>7</v>
          </cell>
          <cell r="AK24">
            <v>80</v>
          </cell>
          <cell r="AL24">
            <v>1.1000000000000001</v>
          </cell>
          <cell r="AN24">
            <v>0</v>
          </cell>
          <cell r="AO24">
            <v>10</v>
          </cell>
          <cell r="AP24">
            <v>110.1</v>
          </cell>
          <cell r="AR24" t="str">
            <v>06010102010101</v>
          </cell>
          <cell r="AS24">
            <v>400</v>
          </cell>
        </row>
        <row r="25">
          <cell r="P25" t="str">
            <v>06010102020101</v>
          </cell>
          <cell r="R25">
            <v>35</v>
          </cell>
          <cell r="T25">
            <v>10</v>
          </cell>
          <cell r="U25">
            <v>8</v>
          </cell>
          <cell r="V25">
            <v>8</v>
          </cell>
          <cell r="AD25">
            <v>61</v>
          </cell>
          <cell r="AF25" t="str">
            <v>06010102020101</v>
          </cell>
          <cell r="AG25">
            <v>5</v>
          </cell>
          <cell r="AH25">
            <v>10</v>
          </cell>
          <cell r="AI25">
            <v>2</v>
          </cell>
          <cell r="AJ25">
            <v>7</v>
          </cell>
          <cell r="AK25">
            <v>80</v>
          </cell>
          <cell r="AL25">
            <v>1.1000000000000001</v>
          </cell>
          <cell r="AN25">
            <v>0</v>
          </cell>
          <cell r="AO25">
            <v>10</v>
          </cell>
          <cell r="AP25">
            <v>110.1</v>
          </cell>
          <cell r="AR25" t="str">
            <v>06010102020101</v>
          </cell>
          <cell r="AS25">
            <v>400</v>
          </cell>
        </row>
        <row r="26">
          <cell r="P26" t="str">
            <v>06020102010101</v>
          </cell>
          <cell r="R26">
            <v>35</v>
          </cell>
          <cell r="T26">
            <v>10</v>
          </cell>
          <cell r="U26">
            <v>8</v>
          </cell>
          <cell r="V26">
            <v>8</v>
          </cell>
          <cell r="AD26">
            <v>61</v>
          </cell>
          <cell r="AF26" t="str">
            <v>06020102010101</v>
          </cell>
          <cell r="AG26">
            <v>5</v>
          </cell>
          <cell r="AH26">
            <v>10</v>
          </cell>
          <cell r="AI26">
            <v>2</v>
          </cell>
          <cell r="AJ26">
            <v>7</v>
          </cell>
          <cell r="AK26">
            <v>80</v>
          </cell>
          <cell r="AL26">
            <v>1.1000000000000001</v>
          </cell>
          <cell r="AN26">
            <v>0</v>
          </cell>
          <cell r="AO26">
            <v>10</v>
          </cell>
          <cell r="AP26">
            <v>110.1</v>
          </cell>
          <cell r="AR26" t="str">
            <v>06020102010101</v>
          </cell>
          <cell r="AS26">
            <v>400</v>
          </cell>
        </row>
        <row r="27">
          <cell r="P27" t="str">
            <v>06020102020101</v>
          </cell>
          <cell r="R27">
            <v>35</v>
          </cell>
          <cell r="T27">
            <v>10</v>
          </cell>
          <cell r="U27">
            <v>8</v>
          </cell>
          <cell r="V27">
            <v>8</v>
          </cell>
          <cell r="AD27">
            <v>61</v>
          </cell>
          <cell r="AF27" t="str">
            <v>06020102020101</v>
          </cell>
          <cell r="AG27">
            <v>5</v>
          </cell>
          <cell r="AH27">
            <v>10</v>
          </cell>
          <cell r="AI27">
            <v>2</v>
          </cell>
          <cell r="AJ27">
            <v>7</v>
          </cell>
          <cell r="AK27">
            <v>80</v>
          </cell>
          <cell r="AL27">
            <v>1.1000000000000001</v>
          </cell>
          <cell r="AN27">
            <v>0</v>
          </cell>
          <cell r="AO27">
            <v>10</v>
          </cell>
          <cell r="AP27">
            <v>110.1</v>
          </cell>
          <cell r="AR27" t="str">
            <v>06020102020101</v>
          </cell>
          <cell r="AS27">
            <v>400</v>
          </cell>
        </row>
        <row r="28">
          <cell r="P28" t="str">
            <v>10010102010101</v>
          </cell>
          <cell r="R28">
            <v>35</v>
          </cell>
          <cell r="T28">
            <v>10</v>
          </cell>
          <cell r="U28">
            <v>8</v>
          </cell>
          <cell r="V28">
            <v>8</v>
          </cell>
          <cell r="AD28">
            <v>61</v>
          </cell>
          <cell r="AF28" t="str">
            <v>10010102010101</v>
          </cell>
          <cell r="AG28">
            <v>5</v>
          </cell>
          <cell r="AH28">
            <v>10</v>
          </cell>
          <cell r="AI28">
            <v>2</v>
          </cell>
          <cell r="AJ28">
            <v>7</v>
          </cell>
          <cell r="AK28">
            <v>80</v>
          </cell>
          <cell r="AL28">
            <v>1.1000000000000001</v>
          </cell>
          <cell r="AN28">
            <v>0</v>
          </cell>
          <cell r="AP28">
            <v>100.1</v>
          </cell>
          <cell r="AR28" t="str">
            <v>10010102010101</v>
          </cell>
          <cell r="AS28">
            <v>400</v>
          </cell>
        </row>
        <row r="29">
          <cell r="P29" t="str">
            <v>10010102020101</v>
          </cell>
          <cell r="R29">
            <v>35</v>
          </cell>
          <cell r="T29">
            <v>10</v>
          </cell>
          <cell r="U29">
            <v>8</v>
          </cell>
          <cell r="V29">
            <v>8</v>
          </cell>
          <cell r="AD29">
            <v>61</v>
          </cell>
          <cell r="AF29" t="str">
            <v>10010102020101</v>
          </cell>
          <cell r="AG29">
            <v>5</v>
          </cell>
          <cell r="AH29">
            <v>10</v>
          </cell>
          <cell r="AI29">
            <v>2</v>
          </cell>
          <cell r="AJ29">
            <v>7</v>
          </cell>
          <cell r="AK29">
            <v>80</v>
          </cell>
          <cell r="AL29">
            <v>1.1000000000000001</v>
          </cell>
          <cell r="AN29">
            <v>0</v>
          </cell>
          <cell r="AP29">
            <v>100.1</v>
          </cell>
          <cell r="AR29" t="str">
            <v>10010102020101</v>
          </cell>
          <cell r="AS29">
            <v>400</v>
          </cell>
        </row>
        <row r="30">
          <cell r="P30" t="str">
            <v>10020102010101</v>
          </cell>
          <cell r="R30">
            <v>35</v>
          </cell>
          <cell r="T30">
            <v>10</v>
          </cell>
          <cell r="U30">
            <v>8</v>
          </cell>
          <cell r="V30">
            <v>8</v>
          </cell>
          <cell r="AD30">
            <v>61</v>
          </cell>
          <cell r="AF30" t="str">
            <v>10020102010101</v>
          </cell>
          <cell r="AG30">
            <v>5</v>
          </cell>
          <cell r="AH30">
            <v>10</v>
          </cell>
          <cell r="AI30">
            <v>2</v>
          </cell>
          <cell r="AJ30">
            <v>7</v>
          </cell>
          <cell r="AK30">
            <v>80</v>
          </cell>
          <cell r="AL30">
            <v>1.1000000000000001</v>
          </cell>
          <cell r="AN30">
            <v>0</v>
          </cell>
          <cell r="AP30">
            <v>100.1</v>
          </cell>
          <cell r="AR30" t="str">
            <v>10020102010101</v>
          </cell>
          <cell r="AS30">
            <v>400</v>
          </cell>
        </row>
        <row r="31">
          <cell r="P31" t="str">
            <v>10020102020101</v>
          </cell>
          <cell r="R31">
            <v>35</v>
          </cell>
          <cell r="T31">
            <v>10</v>
          </cell>
          <cell r="U31">
            <v>8</v>
          </cell>
          <cell r="V31">
            <v>8</v>
          </cell>
          <cell r="AD31">
            <v>61</v>
          </cell>
          <cell r="AF31" t="str">
            <v>10020102020101</v>
          </cell>
          <cell r="AG31">
            <v>5</v>
          </cell>
          <cell r="AH31">
            <v>10</v>
          </cell>
          <cell r="AI31">
            <v>2</v>
          </cell>
          <cell r="AJ31">
            <v>7</v>
          </cell>
          <cell r="AK31">
            <v>80</v>
          </cell>
          <cell r="AL31">
            <v>1.1000000000000001</v>
          </cell>
          <cell r="AN31">
            <v>0</v>
          </cell>
          <cell r="AP31">
            <v>100.1</v>
          </cell>
          <cell r="AR31" t="str">
            <v>10020102020101</v>
          </cell>
          <cell r="AS31">
            <v>400</v>
          </cell>
        </row>
        <row r="32">
          <cell r="P32" t="str">
            <v>07010102010101</v>
          </cell>
          <cell r="S32">
            <v>35</v>
          </cell>
          <cell r="T32">
            <v>10</v>
          </cell>
          <cell r="U32">
            <v>8</v>
          </cell>
          <cell r="V32">
            <v>8</v>
          </cell>
          <cell r="AD32">
            <v>61</v>
          </cell>
          <cell r="AF32" t="str">
            <v>07010102010101</v>
          </cell>
          <cell r="AG32">
            <v>5</v>
          </cell>
          <cell r="AH32">
            <v>10</v>
          </cell>
          <cell r="AI32">
            <v>2</v>
          </cell>
          <cell r="AJ32">
            <v>7</v>
          </cell>
          <cell r="AK32">
            <v>80</v>
          </cell>
          <cell r="AL32">
            <v>1.1000000000000001</v>
          </cell>
          <cell r="AN32">
            <v>0</v>
          </cell>
          <cell r="AP32">
            <v>100.1</v>
          </cell>
          <cell r="AR32" t="str">
            <v>07010102010101</v>
          </cell>
          <cell r="AS32">
            <v>0</v>
          </cell>
        </row>
        <row r="33">
          <cell r="P33" t="str">
            <v>07010102020101</v>
          </cell>
          <cell r="S33">
            <v>35</v>
          </cell>
          <cell r="T33">
            <v>10</v>
          </cell>
          <cell r="U33">
            <v>8</v>
          </cell>
          <cell r="V33">
            <v>8</v>
          </cell>
          <cell r="AD33">
            <v>61</v>
          </cell>
          <cell r="AF33" t="str">
            <v>07010102020101</v>
          </cell>
          <cell r="AG33">
            <v>5</v>
          </cell>
          <cell r="AH33">
            <v>10</v>
          </cell>
          <cell r="AI33">
            <v>2</v>
          </cell>
          <cell r="AJ33">
            <v>7</v>
          </cell>
          <cell r="AK33">
            <v>80</v>
          </cell>
          <cell r="AL33">
            <v>1.1000000000000001</v>
          </cell>
          <cell r="AN33">
            <v>0</v>
          </cell>
          <cell r="AP33">
            <v>100.1</v>
          </cell>
          <cell r="AR33" t="str">
            <v>07010102020101</v>
          </cell>
          <cell r="AS33">
            <v>0</v>
          </cell>
        </row>
        <row r="34">
          <cell r="P34" t="str">
            <v>07020102010101</v>
          </cell>
          <cell r="S34">
            <v>35</v>
          </cell>
          <cell r="T34">
            <v>10</v>
          </cell>
          <cell r="U34">
            <v>8</v>
          </cell>
          <cell r="V34">
            <v>8</v>
          </cell>
          <cell r="AD34">
            <v>61</v>
          </cell>
          <cell r="AF34" t="str">
            <v>07020102010101</v>
          </cell>
          <cell r="AG34">
            <v>5</v>
          </cell>
          <cell r="AH34">
            <v>10</v>
          </cell>
          <cell r="AI34">
            <v>2</v>
          </cell>
          <cell r="AJ34">
            <v>7</v>
          </cell>
          <cell r="AK34">
            <v>80</v>
          </cell>
          <cell r="AL34">
            <v>1.1000000000000001</v>
          </cell>
          <cell r="AN34">
            <v>0</v>
          </cell>
          <cell r="AP34">
            <v>100.1</v>
          </cell>
          <cell r="AR34" t="str">
            <v>07020102010101</v>
          </cell>
          <cell r="AS34">
            <v>0</v>
          </cell>
        </row>
        <row r="35">
          <cell r="P35" t="str">
            <v>07020102020101</v>
          </cell>
          <cell r="S35">
            <v>35</v>
          </cell>
          <cell r="T35">
            <v>10</v>
          </cell>
          <cell r="U35">
            <v>8</v>
          </cell>
          <cell r="V35">
            <v>8</v>
          </cell>
          <cell r="AD35">
            <v>61</v>
          </cell>
          <cell r="AF35" t="str">
            <v>07020102020101</v>
          </cell>
          <cell r="AG35">
            <v>5</v>
          </cell>
          <cell r="AH35">
            <v>10</v>
          </cell>
          <cell r="AI35">
            <v>2</v>
          </cell>
          <cell r="AJ35">
            <v>7</v>
          </cell>
          <cell r="AK35">
            <v>80</v>
          </cell>
          <cell r="AL35">
            <v>1.1000000000000001</v>
          </cell>
          <cell r="AN35">
            <v>0</v>
          </cell>
          <cell r="AP35">
            <v>100.1</v>
          </cell>
          <cell r="AR35" t="str">
            <v>07020102020101</v>
          </cell>
          <cell r="AS35">
            <v>0</v>
          </cell>
        </row>
        <row r="36">
          <cell r="P36" t="str">
            <v>11010102010101</v>
          </cell>
          <cell r="T36">
            <v>10</v>
          </cell>
          <cell r="U36">
            <v>8</v>
          </cell>
          <cell r="V36">
            <v>8</v>
          </cell>
          <cell r="AD36">
            <v>26</v>
          </cell>
          <cell r="AF36" t="str">
            <v>11010102010101</v>
          </cell>
          <cell r="AG36">
            <v>5</v>
          </cell>
          <cell r="AH36">
            <v>10</v>
          </cell>
          <cell r="AI36">
            <v>2</v>
          </cell>
          <cell r="AJ36">
            <v>7</v>
          </cell>
          <cell r="AK36">
            <v>80</v>
          </cell>
          <cell r="AL36">
            <v>1.1000000000000001</v>
          </cell>
          <cell r="AN36">
            <v>0</v>
          </cell>
          <cell r="AP36">
            <v>100.1</v>
          </cell>
          <cell r="AR36" t="str">
            <v>11010102010101</v>
          </cell>
          <cell r="AS36">
            <v>400</v>
          </cell>
        </row>
        <row r="37">
          <cell r="P37" t="str">
            <v>11020102010101</v>
          </cell>
          <cell r="T37">
            <v>10</v>
          </cell>
          <cell r="U37">
            <v>8</v>
          </cell>
          <cell r="V37">
            <v>8</v>
          </cell>
          <cell r="AD37">
            <v>26</v>
          </cell>
          <cell r="AF37" t="str">
            <v>11020102010101</v>
          </cell>
          <cell r="AG37">
            <v>5</v>
          </cell>
          <cell r="AH37">
            <v>10</v>
          </cell>
          <cell r="AI37">
            <v>2</v>
          </cell>
          <cell r="AJ37">
            <v>7</v>
          </cell>
          <cell r="AK37">
            <v>80</v>
          </cell>
          <cell r="AL37">
            <v>1.1000000000000001</v>
          </cell>
          <cell r="AN37">
            <v>0</v>
          </cell>
          <cell r="AP37">
            <v>100.1</v>
          </cell>
          <cell r="AR37" t="str">
            <v>11020102010101</v>
          </cell>
          <cell r="AS37">
            <v>400</v>
          </cell>
        </row>
        <row r="38">
          <cell r="P38" t="str">
            <v>11010102020101</v>
          </cell>
          <cell r="T38">
            <v>10</v>
          </cell>
          <cell r="U38">
            <v>8</v>
          </cell>
          <cell r="V38">
            <v>8</v>
          </cell>
          <cell r="AD38">
            <v>26</v>
          </cell>
          <cell r="AF38" t="str">
            <v>11010102020101</v>
          </cell>
          <cell r="AG38">
            <v>5</v>
          </cell>
          <cell r="AH38">
            <v>10</v>
          </cell>
          <cell r="AI38">
            <v>2</v>
          </cell>
          <cell r="AJ38">
            <v>7</v>
          </cell>
          <cell r="AK38">
            <v>80</v>
          </cell>
          <cell r="AL38">
            <v>1.1000000000000001</v>
          </cell>
          <cell r="AN38">
            <v>0</v>
          </cell>
          <cell r="AP38">
            <v>100.1</v>
          </cell>
          <cell r="AR38" t="str">
            <v>11010102020101</v>
          </cell>
          <cell r="AS38">
            <v>400</v>
          </cell>
        </row>
        <row r="39">
          <cell r="P39" t="str">
            <v>11020102020101</v>
          </cell>
          <cell r="T39">
            <v>10</v>
          </cell>
          <cell r="U39">
            <v>8</v>
          </cell>
          <cell r="V39">
            <v>8</v>
          </cell>
          <cell r="AD39">
            <v>26</v>
          </cell>
          <cell r="AF39" t="str">
            <v>11020102020101</v>
          </cell>
          <cell r="AG39">
            <v>5</v>
          </cell>
          <cell r="AH39">
            <v>10</v>
          </cell>
          <cell r="AI39">
            <v>2</v>
          </cell>
          <cell r="AJ39">
            <v>7</v>
          </cell>
          <cell r="AK39">
            <v>80</v>
          </cell>
          <cell r="AL39">
            <v>1.1000000000000001</v>
          </cell>
          <cell r="AN39">
            <v>0</v>
          </cell>
          <cell r="AP39">
            <v>100.1</v>
          </cell>
          <cell r="AR39" t="str">
            <v>11020102020101</v>
          </cell>
          <cell r="AS39">
            <v>400</v>
          </cell>
        </row>
        <row r="40">
          <cell r="P40" t="str">
            <v>08010301020101</v>
          </cell>
          <cell r="Q40">
            <v>0</v>
          </cell>
          <cell r="T40">
            <v>10</v>
          </cell>
          <cell r="U40">
            <v>8</v>
          </cell>
          <cell r="V40">
            <v>8</v>
          </cell>
          <cell r="AD40">
            <v>26</v>
          </cell>
          <cell r="AF40" t="str">
            <v>08010301020101</v>
          </cell>
          <cell r="AG40">
            <v>10</v>
          </cell>
          <cell r="AH40">
            <v>20</v>
          </cell>
          <cell r="AI40">
            <v>2</v>
          </cell>
          <cell r="AJ40">
            <v>7</v>
          </cell>
          <cell r="AK40">
            <v>160</v>
          </cell>
          <cell r="AL40">
            <v>2.1</v>
          </cell>
          <cell r="AN40">
            <v>0</v>
          </cell>
          <cell r="AP40">
            <v>191.1</v>
          </cell>
          <cell r="AR40" t="str">
            <v>08010301020101</v>
          </cell>
          <cell r="AS40">
            <v>0</v>
          </cell>
        </row>
        <row r="41">
          <cell r="P41" t="str">
            <v>08010301010101</v>
          </cell>
          <cell r="Q41">
            <v>0</v>
          </cell>
          <cell r="T41">
            <v>10</v>
          </cell>
          <cell r="U41">
            <v>8</v>
          </cell>
          <cell r="V41">
            <v>8</v>
          </cell>
          <cell r="AD41">
            <v>26</v>
          </cell>
          <cell r="AF41" t="str">
            <v>08010301010101</v>
          </cell>
          <cell r="AG41">
            <v>10</v>
          </cell>
          <cell r="AH41">
            <v>20</v>
          </cell>
          <cell r="AI41">
            <v>2</v>
          </cell>
          <cell r="AJ41">
            <v>7</v>
          </cell>
          <cell r="AK41">
            <v>160</v>
          </cell>
          <cell r="AL41">
            <v>2.1</v>
          </cell>
          <cell r="AN41">
            <v>0</v>
          </cell>
          <cell r="AP41">
            <v>191.1</v>
          </cell>
          <cell r="AR41" t="str">
            <v>08010301010101</v>
          </cell>
          <cell r="AS41">
            <v>0</v>
          </cell>
        </row>
        <row r="42">
          <cell r="P42" t="str">
            <v>08020301020101</v>
          </cell>
          <cell r="Q42">
            <v>0</v>
          </cell>
          <cell r="T42">
            <v>10</v>
          </cell>
          <cell r="U42">
            <v>8</v>
          </cell>
          <cell r="V42">
            <v>8</v>
          </cell>
          <cell r="AD42">
            <v>26</v>
          </cell>
          <cell r="AF42" t="str">
            <v>08020301020101</v>
          </cell>
          <cell r="AG42">
            <v>10</v>
          </cell>
          <cell r="AH42">
            <v>20</v>
          </cell>
          <cell r="AI42">
            <v>2</v>
          </cell>
          <cell r="AJ42">
            <v>7</v>
          </cell>
          <cell r="AK42">
            <v>160</v>
          </cell>
          <cell r="AL42">
            <v>2.1</v>
          </cell>
          <cell r="AN42">
            <v>0</v>
          </cell>
          <cell r="AP42">
            <v>191.1</v>
          </cell>
          <cell r="AR42" t="str">
            <v>08020301020101</v>
          </cell>
          <cell r="AS42">
            <v>0</v>
          </cell>
        </row>
        <row r="43">
          <cell r="P43" t="str">
            <v>08020301010101</v>
          </cell>
          <cell r="Q43">
            <v>0</v>
          </cell>
          <cell r="T43">
            <v>10</v>
          </cell>
          <cell r="U43">
            <v>8</v>
          </cell>
          <cell r="V43">
            <v>8</v>
          </cell>
          <cell r="AD43">
            <v>26</v>
          </cell>
          <cell r="AF43" t="str">
            <v>08020301010101</v>
          </cell>
          <cell r="AG43">
            <v>10</v>
          </cell>
          <cell r="AH43">
            <v>20</v>
          </cell>
          <cell r="AI43">
            <v>2</v>
          </cell>
          <cell r="AJ43">
            <v>7</v>
          </cell>
          <cell r="AK43">
            <v>160</v>
          </cell>
          <cell r="AL43">
            <v>2.1</v>
          </cell>
          <cell r="AN43">
            <v>0</v>
          </cell>
          <cell r="AP43">
            <v>191.1</v>
          </cell>
          <cell r="AR43" t="str">
            <v>08020301010101</v>
          </cell>
          <cell r="AS43">
            <v>0</v>
          </cell>
        </row>
        <row r="44">
          <cell r="P44" t="str">
            <v>05010102010101</v>
          </cell>
          <cell r="Q44">
            <v>0</v>
          </cell>
          <cell r="T44">
            <v>10</v>
          </cell>
          <cell r="U44">
            <v>8</v>
          </cell>
          <cell r="V44">
            <v>8</v>
          </cell>
          <cell r="X44">
            <v>0</v>
          </cell>
          <cell r="AD44">
            <v>26</v>
          </cell>
          <cell r="AF44" t="str">
            <v>05010102010101</v>
          </cell>
          <cell r="AG44">
            <v>13</v>
          </cell>
          <cell r="AH44">
            <v>26</v>
          </cell>
          <cell r="AI44">
            <v>2</v>
          </cell>
          <cell r="AJ44">
            <v>7</v>
          </cell>
          <cell r="AK44">
            <v>208</v>
          </cell>
          <cell r="AL44">
            <v>2.7</v>
          </cell>
          <cell r="AM44">
            <v>10</v>
          </cell>
          <cell r="AN44">
            <v>0</v>
          </cell>
          <cell r="AO44">
            <v>10</v>
          </cell>
          <cell r="AP44">
            <v>265.7</v>
          </cell>
          <cell r="AR44" t="str">
            <v>05010102010101</v>
          </cell>
          <cell r="AS44">
            <v>0</v>
          </cell>
        </row>
        <row r="45">
          <cell r="P45" t="str">
            <v>05010102020101</v>
          </cell>
          <cell r="Q45">
            <v>0</v>
          </cell>
          <cell r="T45">
            <v>10</v>
          </cell>
          <cell r="U45">
            <v>8</v>
          </cell>
          <cell r="V45">
            <v>8</v>
          </cell>
          <cell r="X45">
            <v>0</v>
          </cell>
          <cell r="AD45">
            <v>26</v>
          </cell>
          <cell r="AF45" t="str">
            <v>05010102020101</v>
          </cell>
          <cell r="AG45">
            <v>13</v>
          </cell>
          <cell r="AH45">
            <v>26</v>
          </cell>
          <cell r="AI45">
            <v>2</v>
          </cell>
          <cell r="AJ45">
            <v>7</v>
          </cell>
          <cell r="AK45">
            <v>208</v>
          </cell>
          <cell r="AL45">
            <v>2.7</v>
          </cell>
          <cell r="AM45">
            <v>10</v>
          </cell>
          <cell r="AN45">
            <v>0</v>
          </cell>
          <cell r="AO45">
            <v>10</v>
          </cell>
          <cell r="AP45">
            <v>265.7</v>
          </cell>
          <cell r="AR45" t="str">
            <v>05010102020101</v>
          </cell>
          <cell r="AS45">
            <v>0</v>
          </cell>
        </row>
        <row r="46">
          <cell r="P46" t="str">
            <v>09010102010101</v>
          </cell>
          <cell r="R46">
            <v>35</v>
          </cell>
          <cell r="T46">
            <v>10</v>
          </cell>
          <cell r="U46">
            <v>8</v>
          </cell>
          <cell r="V46">
            <v>8</v>
          </cell>
          <cell r="AD46">
            <v>61</v>
          </cell>
          <cell r="AF46" t="str">
            <v>09010102010101</v>
          </cell>
          <cell r="AG46">
            <v>5</v>
          </cell>
          <cell r="AH46">
            <v>10</v>
          </cell>
          <cell r="AI46">
            <v>2</v>
          </cell>
          <cell r="AJ46">
            <v>7</v>
          </cell>
          <cell r="AK46">
            <v>80</v>
          </cell>
          <cell r="AL46">
            <v>1.1000000000000001</v>
          </cell>
          <cell r="AN46">
            <v>0</v>
          </cell>
          <cell r="AO46">
            <v>10</v>
          </cell>
          <cell r="AP46">
            <v>110.1</v>
          </cell>
          <cell r="AR46" t="str">
            <v>09010102010101</v>
          </cell>
          <cell r="AS46">
            <v>400</v>
          </cell>
        </row>
        <row r="47">
          <cell r="P47" t="str">
            <v>09010102020101</v>
          </cell>
          <cell r="R47">
            <v>35</v>
          </cell>
          <cell r="T47">
            <v>10</v>
          </cell>
          <cell r="U47">
            <v>8</v>
          </cell>
          <cell r="V47">
            <v>8</v>
          </cell>
          <cell r="AD47">
            <v>61</v>
          </cell>
          <cell r="AF47" t="str">
            <v>09010102020101</v>
          </cell>
          <cell r="AG47">
            <v>5</v>
          </cell>
          <cell r="AH47">
            <v>10</v>
          </cell>
          <cell r="AI47">
            <v>2</v>
          </cell>
          <cell r="AJ47">
            <v>7</v>
          </cell>
          <cell r="AK47">
            <v>80</v>
          </cell>
          <cell r="AL47">
            <v>1.1000000000000001</v>
          </cell>
          <cell r="AN47">
            <v>0</v>
          </cell>
          <cell r="AO47">
            <v>10</v>
          </cell>
          <cell r="AP47">
            <v>110.1</v>
          </cell>
          <cell r="AR47" t="str">
            <v>09010102020101</v>
          </cell>
          <cell r="AS47">
            <v>400</v>
          </cell>
        </row>
        <row r="48">
          <cell r="P48" t="str">
            <v>09020102010101</v>
          </cell>
          <cell r="R48">
            <v>35</v>
          </cell>
          <cell r="T48">
            <v>10</v>
          </cell>
          <cell r="U48">
            <v>8</v>
          </cell>
          <cell r="V48">
            <v>8</v>
          </cell>
          <cell r="AD48">
            <v>61</v>
          </cell>
          <cell r="AF48" t="str">
            <v>09020102010101</v>
          </cell>
          <cell r="AG48">
            <v>5</v>
          </cell>
          <cell r="AH48">
            <v>10</v>
          </cell>
          <cell r="AI48">
            <v>2</v>
          </cell>
          <cell r="AJ48">
            <v>7</v>
          </cell>
          <cell r="AK48">
            <v>80</v>
          </cell>
          <cell r="AL48">
            <v>1.1000000000000001</v>
          </cell>
          <cell r="AN48">
            <v>0</v>
          </cell>
          <cell r="AO48">
            <v>10</v>
          </cell>
          <cell r="AP48">
            <v>110.1</v>
          </cell>
          <cell r="AR48" t="str">
            <v>09020102010101</v>
          </cell>
          <cell r="AS48">
            <v>400</v>
          </cell>
        </row>
        <row r="49">
          <cell r="P49" t="str">
            <v>09020102020101</v>
          </cell>
          <cell r="R49">
            <v>35</v>
          </cell>
          <cell r="T49">
            <v>10</v>
          </cell>
          <cell r="U49">
            <v>8</v>
          </cell>
          <cell r="V49">
            <v>8</v>
          </cell>
          <cell r="AD49">
            <v>61</v>
          </cell>
          <cell r="AF49" t="str">
            <v>09020102020101</v>
          </cell>
          <cell r="AG49">
            <v>5</v>
          </cell>
          <cell r="AH49">
            <v>10</v>
          </cell>
          <cell r="AI49">
            <v>2</v>
          </cell>
          <cell r="AJ49">
            <v>7</v>
          </cell>
          <cell r="AK49">
            <v>80</v>
          </cell>
          <cell r="AL49">
            <v>1.1000000000000001</v>
          </cell>
          <cell r="AN49">
            <v>0</v>
          </cell>
          <cell r="AO49">
            <v>10</v>
          </cell>
          <cell r="AP49">
            <v>110.1</v>
          </cell>
          <cell r="AR49" t="str">
            <v>09020102020101</v>
          </cell>
          <cell r="AS49">
            <v>400</v>
          </cell>
        </row>
        <row r="50">
          <cell r="P50" t="str">
            <v>01020102020101</v>
          </cell>
          <cell r="Q50">
            <v>0</v>
          </cell>
          <cell r="T50">
            <v>10</v>
          </cell>
          <cell r="U50">
            <v>8</v>
          </cell>
          <cell r="V50">
            <v>8</v>
          </cell>
          <cell r="W50">
            <v>31</v>
          </cell>
          <cell r="X50">
            <v>0</v>
          </cell>
          <cell r="AD50">
            <v>57</v>
          </cell>
          <cell r="AF50" t="str">
            <v>01020102020101</v>
          </cell>
          <cell r="AG50">
            <v>12</v>
          </cell>
          <cell r="AH50">
            <v>24</v>
          </cell>
          <cell r="AI50">
            <v>2</v>
          </cell>
          <cell r="AJ50">
            <v>7</v>
          </cell>
          <cell r="AK50">
            <v>192</v>
          </cell>
          <cell r="AL50">
            <v>2.5</v>
          </cell>
          <cell r="AN50">
            <v>0</v>
          </cell>
          <cell r="AO50">
            <v>10</v>
          </cell>
          <cell r="AP50">
            <v>237.5</v>
          </cell>
          <cell r="AR50" t="str">
            <v>01020102020101</v>
          </cell>
          <cell r="AS50">
            <v>0</v>
          </cell>
        </row>
        <row r="51">
          <cell r="P51" t="str">
            <v>12030101020101</v>
          </cell>
          <cell r="Q51">
            <v>0</v>
          </cell>
          <cell r="T51">
            <v>10</v>
          </cell>
          <cell r="U51">
            <v>8</v>
          </cell>
          <cell r="V51">
            <v>8</v>
          </cell>
          <cell r="AB51">
            <v>25</v>
          </cell>
          <cell r="AD51">
            <v>51</v>
          </cell>
          <cell r="AF51" t="str">
            <v>12030101020101</v>
          </cell>
          <cell r="AG51">
            <v>16</v>
          </cell>
          <cell r="AH51">
            <v>32</v>
          </cell>
          <cell r="AI51">
            <v>3</v>
          </cell>
          <cell r="AK51">
            <v>256</v>
          </cell>
          <cell r="AL51">
            <v>1.65</v>
          </cell>
          <cell r="AN51">
            <v>0</v>
          </cell>
          <cell r="AP51">
            <v>292.64999999999998</v>
          </cell>
          <cell r="AR51" t="str">
            <v>12030101020101</v>
          </cell>
          <cell r="AS51">
            <v>0</v>
          </cell>
        </row>
        <row r="52">
          <cell r="P52" t="str">
            <v>12030101010101</v>
          </cell>
          <cell r="Q52">
            <v>0</v>
          </cell>
          <cell r="T52">
            <v>10</v>
          </cell>
          <cell r="U52">
            <v>8</v>
          </cell>
          <cell r="V52">
            <v>8</v>
          </cell>
          <cell r="AB52">
            <v>25</v>
          </cell>
          <cell r="AD52">
            <v>51</v>
          </cell>
          <cell r="AF52" t="str">
            <v>12030101010101</v>
          </cell>
          <cell r="AG52">
            <v>16</v>
          </cell>
          <cell r="AH52">
            <v>32</v>
          </cell>
          <cell r="AI52">
            <v>3</v>
          </cell>
          <cell r="AK52">
            <v>256</v>
          </cell>
          <cell r="AL52">
            <v>1.65</v>
          </cell>
          <cell r="AN52">
            <v>0</v>
          </cell>
          <cell r="AP52">
            <v>292.64999999999998</v>
          </cell>
          <cell r="AR52" t="str">
            <v>12030101010101</v>
          </cell>
          <cell r="AS52">
            <v>0</v>
          </cell>
        </row>
        <row r="53">
          <cell r="P53" t="str">
            <v>12020101020101</v>
          </cell>
          <cell r="Q53">
            <v>0</v>
          </cell>
          <cell r="T53">
            <v>10</v>
          </cell>
          <cell r="U53">
            <v>8</v>
          </cell>
          <cell r="V53">
            <v>8</v>
          </cell>
          <cell r="AB53">
            <v>25</v>
          </cell>
          <cell r="AD53">
            <v>51</v>
          </cell>
          <cell r="AF53" t="str">
            <v>12020101020101</v>
          </cell>
          <cell r="AG53">
            <v>16</v>
          </cell>
          <cell r="AH53">
            <v>32</v>
          </cell>
          <cell r="AI53">
            <v>3</v>
          </cell>
          <cell r="AK53">
            <v>256</v>
          </cell>
          <cell r="AL53">
            <v>1.65</v>
          </cell>
          <cell r="AN53">
            <v>0</v>
          </cell>
          <cell r="AP53">
            <v>292.64999999999998</v>
          </cell>
          <cell r="AR53" t="str">
            <v>12020101020101</v>
          </cell>
          <cell r="AS53">
            <v>0</v>
          </cell>
        </row>
        <row r="54">
          <cell r="P54" t="str">
            <v>12020101010101</v>
          </cell>
          <cell r="Q54">
            <v>0</v>
          </cell>
          <cell r="T54">
            <v>10</v>
          </cell>
          <cell r="U54">
            <v>8</v>
          </cell>
          <cell r="V54">
            <v>8</v>
          </cell>
          <cell r="AB54">
            <v>25</v>
          </cell>
          <cell r="AD54">
            <v>51</v>
          </cell>
          <cell r="AF54" t="str">
            <v>12020101010101</v>
          </cell>
          <cell r="AG54">
            <v>16</v>
          </cell>
          <cell r="AH54">
            <v>32</v>
          </cell>
          <cell r="AI54">
            <v>3</v>
          </cell>
          <cell r="AK54">
            <v>256</v>
          </cell>
          <cell r="AL54">
            <v>1.65</v>
          </cell>
          <cell r="AN54">
            <v>0</v>
          </cell>
          <cell r="AP54">
            <v>292.64999999999998</v>
          </cell>
          <cell r="AR54" t="str">
            <v>12020101010101</v>
          </cell>
          <cell r="AS54">
            <v>0</v>
          </cell>
        </row>
        <row r="55">
          <cell r="P55" t="str">
            <v>12030102020101</v>
          </cell>
          <cell r="Q55">
            <v>0</v>
          </cell>
          <cell r="T55">
            <v>10</v>
          </cell>
          <cell r="U55">
            <v>8</v>
          </cell>
          <cell r="V55">
            <v>8</v>
          </cell>
          <cell r="AB55">
            <v>25</v>
          </cell>
          <cell r="AD55">
            <v>51</v>
          </cell>
          <cell r="AF55" t="str">
            <v>12030102020101</v>
          </cell>
          <cell r="AG55">
            <v>16</v>
          </cell>
          <cell r="AH55">
            <v>32</v>
          </cell>
          <cell r="AI55">
            <v>3</v>
          </cell>
          <cell r="AK55">
            <v>256</v>
          </cell>
          <cell r="AL55">
            <v>1.65</v>
          </cell>
          <cell r="AN55">
            <v>0</v>
          </cell>
          <cell r="AP55">
            <v>292.64999999999998</v>
          </cell>
          <cell r="AR55" t="str">
            <v>12030102020101</v>
          </cell>
          <cell r="AS55">
            <v>0</v>
          </cell>
        </row>
        <row r="56">
          <cell r="P56" t="str">
            <v>12030102010101</v>
          </cell>
          <cell r="Q56">
            <v>0</v>
          </cell>
          <cell r="T56">
            <v>10</v>
          </cell>
          <cell r="U56">
            <v>8</v>
          </cell>
          <cell r="V56">
            <v>8</v>
          </cell>
          <cell r="AB56">
            <v>25</v>
          </cell>
          <cell r="AD56">
            <v>51</v>
          </cell>
          <cell r="AF56" t="str">
            <v>12030102010101</v>
          </cell>
          <cell r="AG56">
            <v>16</v>
          </cell>
          <cell r="AH56">
            <v>32</v>
          </cell>
          <cell r="AI56">
            <v>3</v>
          </cell>
          <cell r="AK56">
            <v>256</v>
          </cell>
          <cell r="AL56">
            <v>1.65</v>
          </cell>
          <cell r="AN56">
            <v>0</v>
          </cell>
          <cell r="AP56">
            <v>292.64999999999998</v>
          </cell>
          <cell r="AR56" t="str">
            <v>12030102010101</v>
          </cell>
          <cell r="AS56">
            <v>0</v>
          </cell>
        </row>
        <row r="57">
          <cell r="P57" t="str">
            <v>12020102020101</v>
          </cell>
          <cell r="Q57">
            <v>0</v>
          </cell>
          <cell r="T57">
            <v>10</v>
          </cell>
          <cell r="U57">
            <v>8</v>
          </cell>
          <cell r="V57">
            <v>8</v>
          </cell>
          <cell r="AB57">
            <v>25</v>
          </cell>
          <cell r="AD57">
            <v>51</v>
          </cell>
          <cell r="AF57" t="str">
            <v>12020102020101</v>
          </cell>
          <cell r="AG57">
            <v>16</v>
          </cell>
          <cell r="AH57">
            <v>32</v>
          </cell>
          <cell r="AI57">
            <v>3</v>
          </cell>
          <cell r="AK57">
            <v>256</v>
          </cell>
          <cell r="AL57">
            <v>1.65</v>
          </cell>
          <cell r="AN57">
            <v>0</v>
          </cell>
          <cell r="AP57">
            <v>292.64999999999998</v>
          </cell>
          <cell r="AR57" t="str">
            <v>12020102020101</v>
          </cell>
          <cell r="AS57">
            <v>0</v>
          </cell>
        </row>
        <row r="58">
          <cell r="P58" t="str">
            <v>12020102010101</v>
          </cell>
          <cell r="Q58">
            <v>0</v>
          </cell>
          <cell r="T58">
            <v>10</v>
          </cell>
          <cell r="U58">
            <v>8</v>
          </cell>
          <cell r="V58">
            <v>8</v>
          </cell>
          <cell r="AB58">
            <v>25</v>
          </cell>
          <cell r="AD58">
            <v>51</v>
          </cell>
          <cell r="AF58" t="str">
            <v>12020102010101</v>
          </cell>
          <cell r="AG58">
            <v>16</v>
          </cell>
          <cell r="AH58">
            <v>32</v>
          </cell>
          <cell r="AI58">
            <v>3</v>
          </cell>
          <cell r="AK58">
            <v>256</v>
          </cell>
          <cell r="AL58">
            <v>1.65</v>
          </cell>
          <cell r="AN58">
            <v>0</v>
          </cell>
          <cell r="AP58">
            <v>292.64999999999998</v>
          </cell>
          <cell r="AR58" t="str">
            <v>12020102010101</v>
          </cell>
          <cell r="AS58">
            <v>0</v>
          </cell>
        </row>
        <row r="59">
          <cell r="P59" t="str">
            <v>01010101010201</v>
          </cell>
          <cell r="AD59">
            <v>0</v>
          </cell>
          <cell r="AF59" t="str">
            <v>01010101010201</v>
          </cell>
          <cell r="AN59">
            <v>0</v>
          </cell>
          <cell r="AP59">
            <v>0</v>
          </cell>
          <cell r="AR59" t="str">
            <v>01010101010201</v>
          </cell>
          <cell r="AS59">
            <v>0</v>
          </cell>
        </row>
        <row r="60">
          <cell r="P60" t="str">
            <v>01010101020201</v>
          </cell>
          <cell r="AD60">
            <v>0</v>
          </cell>
          <cell r="AF60" t="str">
            <v>01010101020201</v>
          </cell>
          <cell r="AN60">
            <v>0</v>
          </cell>
          <cell r="AP60">
            <v>0</v>
          </cell>
          <cell r="AR60" t="str">
            <v>01010101020201</v>
          </cell>
          <cell r="AS60">
            <v>0</v>
          </cell>
        </row>
        <row r="61">
          <cell r="P61" t="str">
            <v>01020101010201</v>
          </cell>
          <cell r="AD61">
            <v>0</v>
          </cell>
          <cell r="AF61" t="str">
            <v>01020101010201</v>
          </cell>
          <cell r="AN61">
            <v>0</v>
          </cell>
          <cell r="AP61">
            <v>0</v>
          </cell>
          <cell r="AR61" t="str">
            <v>01020101010201</v>
          </cell>
          <cell r="AS61">
            <v>0</v>
          </cell>
        </row>
        <row r="62">
          <cell r="P62" t="str">
            <v>01020101020201</v>
          </cell>
          <cell r="AD62">
            <v>0</v>
          </cell>
          <cell r="AF62" t="str">
            <v>01020101020201</v>
          </cell>
          <cell r="AN62">
            <v>0</v>
          </cell>
          <cell r="AP62">
            <v>0</v>
          </cell>
          <cell r="AR62" t="str">
            <v>01020101020201</v>
          </cell>
          <cell r="AS62">
            <v>0</v>
          </cell>
        </row>
        <row r="63">
          <cell r="P63" t="str">
            <v>01020102010201</v>
          </cell>
          <cell r="AD63">
            <v>0</v>
          </cell>
          <cell r="AF63" t="str">
            <v>01020102010201</v>
          </cell>
          <cell r="AN63">
            <v>0</v>
          </cell>
          <cell r="AP63">
            <v>0</v>
          </cell>
          <cell r="AR63" t="str">
            <v>01020102010201</v>
          </cell>
          <cell r="AS63">
            <v>0</v>
          </cell>
        </row>
        <row r="64">
          <cell r="P64" t="str">
            <v>01020102020201</v>
          </cell>
          <cell r="AD64">
            <v>0</v>
          </cell>
          <cell r="AF64" t="str">
            <v>01020102020201</v>
          </cell>
          <cell r="AN64">
            <v>0</v>
          </cell>
          <cell r="AP64">
            <v>0</v>
          </cell>
          <cell r="AR64" t="str">
            <v>01020102020201</v>
          </cell>
          <cell r="AS64">
            <v>0</v>
          </cell>
        </row>
        <row r="65">
          <cell r="P65" t="str">
            <v>03020601010201</v>
          </cell>
          <cell r="AD65">
            <v>0</v>
          </cell>
          <cell r="AF65" t="str">
            <v>03020601010201</v>
          </cell>
          <cell r="AN65">
            <v>0</v>
          </cell>
          <cell r="AP65">
            <v>0</v>
          </cell>
          <cell r="AR65" t="str">
            <v>03020601010201</v>
          </cell>
          <cell r="AS65">
            <v>0</v>
          </cell>
        </row>
        <row r="66">
          <cell r="P66" t="str">
            <v>03020602010201</v>
          </cell>
          <cell r="AD66">
            <v>0</v>
          </cell>
          <cell r="AF66" t="str">
            <v>03020602010201</v>
          </cell>
          <cell r="AN66">
            <v>0</v>
          </cell>
          <cell r="AP66">
            <v>0</v>
          </cell>
          <cell r="AR66" t="str">
            <v>03020602010201</v>
          </cell>
          <cell r="AS66">
            <v>0</v>
          </cell>
        </row>
        <row r="67">
          <cell r="P67" t="str">
            <v>03020601020201</v>
          </cell>
          <cell r="AD67">
            <v>0</v>
          </cell>
          <cell r="AF67" t="str">
            <v>03020601020201</v>
          </cell>
          <cell r="AN67">
            <v>0</v>
          </cell>
          <cell r="AP67">
            <v>0</v>
          </cell>
          <cell r="AR67" t="str">
            <v>03020601020201</v>
          </cell>
          <cell r="AS67">
            <v>0</v>
          </cell>
        </row>
        <row r="68">
          <cell r="P68" t="str">
            <v>03020602020201</v>
          </cell>
          <cell r="AD68">
            <v>0</v>
          </cell>
          <cell r="AF68" t="str">
            <v>03020602020201</v>
          </cell>
          <cell r="AN68">
            <v>0</v>
          </cell>
          <cell r="AP68">
            <v>0</v>
          </cell>
          <cell r="AR68" t="str">
            <v>03020602020201</v>
          </cell>
          <cell r="AS68">
            <v>0</v>
          </cell>
        </row>
        <row r="69">
          <cell r="P69" t="str">
            <v>03020102020201</v>
          </cell>
          <cell r="AD69">
            <v>0</v>
          </cell>
          <cell r="AF69" t="str">
            <v>03020102020201</v>
          </cell>
          <cell r="AN69">
            <v>0</v>
          </cell>
          <cell r="AP69">
            <v>0</v>
          </cell>
          <cell r="AR69" t="str">
            <v>03020102020201</v>
          </cell>
          <cell r="AS69">
            <v>0</v>
          </cell>
        </row>
        <row r="70">
          <cell r="P70" t="str">
            <v>01020101010202</v>
          </cell>
          <cell r="Q70">
            <v>25</v>
          </cell>
          <cell r="R70">
            <v>6</v>
          </cell>
          <cell r="S70">
            <v>25</v>
          </cell>
          <cell r="T70">
            <v>10</v>
          </cell>
          <cell r="W70">
            <v>21</v>
          </cell>
          <cell r="Z70">
            <v>0</v>
          </cell>
          <cell r="AD70">
            <v>87</v>
          </cell>
          <cell r="AF70" t="str">
            <v>01020101010202</v>
          </cell>
          <cell r="AG70">
            <v>38</v>
          </cell>
          <cell r="AH70">
            <v>20</v>
          </cell>
          <cell r="AI70">
            <v>163</v>
          </cell>
          <cell r="AJ70">
            <v>2</v>
          </cell>
          <cell r="AK70">
            <v>304</v>
          </cell>
          <cell r="AM70">
            <v>10</v>
          </cell>
          <cell r="AN70">
            <v>0</v>
          </cell>
          <cell r="AP70">
            <v>479</v>
          </cell>
          <cell r="AR70" t="str">
            <v>01020101010202</v>
          </cell>
          <cell r="AS70">
            <v>0</v>
          </cell>
          <cell r="AV70" t="str">
            <v>01020101010202</v>
          </cell>
          <cell r="AW70">
            <v>200</v>
          </cell>
        </row>
        <row r="71">
          <cell r="P71" t="str">
            <v>01020101020202</v>
          </cell>
          <cell r="Q71">
            <v>25</v>
          </cell>
          <cell r="R71">
            <v>6</v>
          </cell>
          <cell r="S71">
            <v>25</v>
          </cell>
          <cell r="T71">
            <v>10</v>
          </cell>
          <cell r="W71">
            <v>21</v>
          </cell>
          <cell r="Z71">
            <v>0</v>
          </cell>
          <cell r="AD71">
            <v>87</v>
          </cell>
          <cell r="AF71" t="str">
            <v>01020101020202</v>
          </cell>
          <cell r="AG71">
            <v>38</v>
          </cell>
          <cell r="AH71">
            <v>20</v>
          </cell>
          <cell r="AI71">
            <v>163</v>
          </cell>
          <cell r="AJ71">
            <v>2</v>
          </cell>
          <cell r="AK71">
            <v>304</v>
          </cell>
          <cell r="AM71">
            <v>10</v>
          </cell>
          <cell r="AN71">
            <v>0</v>
          </cell>
          <cell r="AP71">
            <v>479</v>
          </cell>
          <cell r="AR71" t="str">
            <v>01020101020202</v>
          </cell>
          <cell r="AS71">
            <v>0</v>
          </cell>
          <cell r="AV71" t="str">
            <v>01020101020202</v>
          </cell>
          <cell r="AW71">
            <v>200</v>
          </cell>
        </row>
        <row r="72">
          <cell r="P72" t="str">
            <v>01020102010202</v>
          </cell>
          <cell r="Q72">
            <v>25</v>
          </cell>
          <cell r="R72">
            <v>6</v>
          </cell>
          <cell r="S72">
            <v>25</v>
          </cell>
          <cell r="T72">
            <v>10</v>
          </cell>
          <cell r="W72">
            <v>21</v>
          </cell>
          <cell r="Z72">
            <v>0</v>
          </cell>
          <cell r="AD72">
            <v>87</v>
          </cell>
          <cell r="AF72" t="str">
            <v>01020102010202</v>
          </cell>
          <cell r="AG72">
            <v>38</v>
          </cell>
          <cell r="AH72">
            <v>20</v>
          </cell>
          <cell r="AI72">
            <v>163</v>
          </cell>
          <cell r="AJ72">
            <v>2</v>
          </cell>
          <cell r="AK72">
            <v>304</v>
          </cell>
          <cell r="AM72">
            <v>10</v>
          </cell>
          <cell r="AN72">
            <v>0</v>
          </cell>
          <cell r="AP72">
            <v>479</v>
          </cell>
          <cell r="AR72" t="str">
            <v>01020102010202</v>
          </cell>
          <cell r="AS72">
            <v>0</v>
          </cell>
          <cell r="AV72" t="str">
            <v>01020102010202</v>
          </cell>
          <cell r="AW72">
            <v>200</v>
          </cell>
        </row>
        <row r="73">
          <cell r="P73" t="str">
            <v>01020202010202</v>
          </cell>
          <cell r="Q73">
            <v>25</v>
          </cell>
          <cell r="R73">
            <v>6</v>
          </cell>
          <cell r="S73">
            <v>25</v>
          </cell>
          <cell r="T73">
            <v>10</v>
          </cell>
          <cell r="W73">
            <v>21</v>
          </cell>
          <cell r="Z73">
            <v>0</v>
          </cell>
          <cell r="AD73">
            <v>87</v>
          </cell>
          <cell r="AF73" t="str">
            <v>01020202010202</v>
          </cell>
          <cell r="AG73">
            <v>38</v>
          </cell>
          <cell r="AH73">
            <v>20</v>
          </cell>
          <cell r="AI73">
            <v>163</v>
          </cell>
          <cell r="AJ73">
            <v>2</v>
          </cell>
          <cell r="AK73">
            <v>304</v>
          </cell>
          <cell r="AM73">
            <v>10</v>
          </cell>
          <cell r="AN73">
            <v>0</v>
          </cell>
          <cell r="AP73">
            <v>479</v>
          </cell>
          <cell r="AR73" t="str">
            <v>01020202010202</v>
          </cell>
          <cell r="AS73">
            <v>0</v>
          </cell>
          <cell r="AV73" t="str">
            <v>01020202010202</v>
          </cell>
          <cell r="AW73">
            <v>200</v>
          </cell>
        </row>
        <row r="74">
          <cell r="P74" t="str">
            <v>01020202020202</v>
          </cell>
          <cell r="Q74">
            <v>25</v>
          </cell>
          <cell r="R74">
            <v>6</v>
          </cell>
          <cell r="S74">
            <v>25</v>
          </cell>
          <cell r="T74">
            <v>10</v>
          </cell>
          <cell r="W74">
            <v>21</v>
          </cell>
          <cell r="Z74">
            <v>0</v>
          </cell>
          <cell r="AD74">
            <v>87</v>
          </cell>
          <cell r="AF74" t="str">
            <v>01020202020202</v>
          </cell>
          <cell r="AG74">
            <v>38</v>
          </cell>
          <cell r="AH74">
            <v>20</v>
          </cell>
          <cell r="AI74">
            <v>163</v>
          </cell>
          <cell r="AJ74">
            <v>2</v>
          </cell>
          <cell r="AK74">
            <v>304</v>
          </cell>
          <cell r="AM74">
            <v>10</v>
          </cell>
          <cell r="AN74">
            <v>0</v>
          </cell>
          <cell r="AP74">
            <v>479</v>
          </cell>
          <cell r="AR74" t="str">
            <v>01020202020202</v>
          </cell>
          <cell r="AS74">
            <v>0</v>
          </cell>
          <cell r="AV74" t="str">
            <v>01020202020202</v>
          </cell>
          <cell r="AW74">
            <v>200</v>
          </cell>
        </row>
        <row r="75">
          <cell r="P75" t="str">
            <v>01020102020202</v>
          </cell>
          <cell r="Q75">
            <v>25</v>
          </cell>
          <cell r="R75">
            <v>6</v>
          </cell>
          <cell r="S75">
            <v>25</v>
          </cell>
          <cell r="T75">
            <v>10</v>
          </cell>
          <cell r="W75">
            <v>21</v>
          </cell>
          <cell r="Z75">
            <v>0</v>
          </cell>
          <cell r="AD75">
            <v>87</v>
          </cell>
          <cell r="AF75" t="str">
            <v>01020102020202</v>
          </cell>
          <cell r="AG75">
            <v>38</v>
          </cell>
          <cell r="AH75">
            <v>20</v>
          </cell>
          <cell r="AI75">
            <v>163</v>
          </cell>
          <cell r="AJ75">
            <v>2</v>
          </cell>
          <cell r="AK75">
            <v>304</v>
          </cell>
          <cell r="AM75">
            <v>10</v>
          </cell>
          <cell r="AN75">
            <v>0</v>
          </cell>
          <cell r="AP75">
            <v>479</v>
          </cell>
          <cell r="AR75" t="str">
            <v>01020102020202</v>
          </cell>
          <cell r="AS75">
            <v>0</v>
          </cell>
          <cell r="AV75" t="str">
            <v>01020102020202</v>
          </cell>
          <cell r="AW75">
            <v>200</v>
          </cell>
        </row>
        <row r="76">
          <cell r="P76" t="str">
            <v>03020601010202</v>
          </cell>
          <cell r="Q76">
            <v>25</v>
          </cell>
          <cell r="R76">
            <v>6</v>
          </cell>
          <cell r="S76">
            <v>25</v>
          </cell>
          <cell r="T76">
            <v>10</v>
          </cell>
          <cell r="W76">
            <v>21</v>
          </cell>
          <cell r="Z76">
            <v>0</v>
          </cell>
          <cell r="AD76">
            <v>87</v>
          </cell>
          <cell r="AF76" t="str">
            <v>03020601010202</v>
          </cell>
          <cell r="AG76">
            <v>38</v>
          </cell>
          <cell r="AH76">
            <v>20</v>
          </cell>
          <cell r="AI76">
            <v>163</v>
          </cell>
          <cell r="AJ76">
            <v>2</v>
          </cell>
          <cell r="AK76">
            <v>304</v>
          </cell>
          <cell r="AM76">
            <v>10</v>
          </cell>
          <cell r="AN76">
            <v>0</v>
          </cell>
          <cell r="AP76">
            <v>479</v>
          </cell>
          <cell r="AR76" t="str">
            <v>03020601010202</v>
          </cell>
          <cell r="AS76">
            <v>0</v>
          </cell>
          <cell r="AV76" t="str">
            <v>03020601010202</v>
          </cell>
          <cell r="AW76">
            <v>200</v>
          </cell>
        </row>
        <row r="77">
          <cell r="P77" t="str">
            <v>03020602010202</v>
          </cell>
          <cell r="Q77">
            <v>25</v>
          </cell>
          <cell r="R77">
            <v>6</v>
          </cell>
          <cell r="S77">
            <v>25</v>
          </cell>
          <cell r="T77">
            <v>10</v>
          </cell>
          <cell r="W77">
            <v>21</v>
          </cell>
          <cell r="Z77">
            <v>0</v>
          </cell>
          <cell r="AD77">
            <v>87</v>
          </cell>
          <cell r="AF77" t="str">
            <v>03020602010202</v>
          </cell>
          <cell r="AG77">
            <v>38</v>
          </cell>
          <cell r="AH77">
            <v>20</v>
          </cell>
          <cell r="AI77">
            <v>163</v>
          </cell>
          <cell r="AJ77">
            <v>2</v>
          </cell>
          <cell r="AK77">
            <v>304</v>
          </cell>
          <cell r="AM77">
            <v>10</v>
          </cell>
          <cell r="AN77">
            <v>0</v>
          </cell>
          <cell r="AP77">
            <v>479</v>
          </cell>
          <cell r="AR77" t="str">
            <v>03020602010202</v>
          </cell>
          <cell r="AS77">
            <v>0</v>
          </cell>
          <cell r="AV77" t="str">
            <v>03020602010202</v>
          </cell>
          <cell r="AW77">
            <v>200</v>
          </cell>
        </row>
        <row r="78">
          <cell r="P78" t="str">
            <v>03020601020202</v>
          </cell>
          <cell r="Q78">
            <v>25</v>
          </cell>
          <cell r="R78">
            <v>6</v>
          </cell>
          <cell r="S78">
            <v>25</v>
          </cell>
          <cell r="T78">
            <v>10</v>
          </cell>
          <cell r="W78">
            <v>21</v>
          </cell>
          <cell r="Z78">
            <v>0</v>
          </cell>
          <cell r="AD78">
            <v>87</v>
          </cell>
          <cell r="AF78" t="str">
            <v>03020601020202</v>
          </cell>
          <cell r="AG78">
            <v>38</v>
          </cell>
          <cell r="AH78">
            <v>20</v>
          </cell>
          <cell r="AI78">
            <v>163</v>
          </cell>
          <cell r="AJ78">
            <v>2</v>
          </cell>
          <cell r="AK78">
            <v>304</v>
          </cell>
          <cell r="AM78">
            <v>10</v>
          </cell>
          <cell r="AN78">
            <v>0</v>
          </cell>
          <cell r="AP78">
            <v>479</v>
          </cell>
          <cell r="AR78" t="str">
            <v>03020601020202</v>
          </cell>
          <cell r="AS78">
            <v>0</v>
          </cell>
          <cell r="AV78" t="str">
            <v>03020601020202</v>
          </cell>
          <cell r="AW78">
            <v>200</v>
          </cell>
        </row>
        <row r="79">
          <cell r="P79" t="str">
            <v>03020602020202</v>
          </cell>
          <cell r="Q79">
            <v>25</v>
          </cell>
          <cell r="R79">
            <v>6</v>
          </cell>
          <cell r="S79">
            <v>25</v>
          </cell>
          <cell r="T79">
            <v>10</v>
          </cell>
          <cell r="W79">
            <v>21</v>
          </cell>
          <cell r="Z79">
            <v>0</v>
          </cell>
          <cell r="AD79">
            <v>87</v>
          </cell>
          <cell r="AF79" t="str">
            <v>03020602020202</v>
          </cell>
          <cell r="AG79">
            <v>38</v>
          </cell>
          <cell r="AH79">
            <v>20</v>
          </cell>
          <cell r="AI79">
            <v>163</v>
          </cell>
          <cell r="AJ79">
            <v>2</v>
          </cell>
          <cell r="AK79">
            <v>304</v>
          </cell>
          <cell r="AM79">
            <v>10</v>
          </cell>
          <cell r="AN79">
            <v>0</v>
          </cell>
          <cell r="AP79">
            <v>479</v>
          </cell>
          <cell r="AR79" t="str">
            <v>03020602020202</v>
          </cell>
          <cell r="AS79">
            <v>0</v>
          </cell>
          <cell r="AV79" t="str">
            <v>03020602020202</v>
          </cell>
          <cell r="AW79">
            <v>200</v>
          </cell>
        </row>
        <row r="80">
          <cell r="P80" t="str">
            <v>03020102020202</v>
          </cell>
          <cell r="Q80">
            <v>25</v>
          </cell>
          <cell r="R80">
            <v>6</v>
          </cell>
          <cell r="S80">
            <v>25</v>
          </cell>
          <cell r="T80">
            <v>10</v>
          </cell>
          <cell r="W80">
            <v>21</v>
          </cell>
          <cell r="Z80">
            <v>0</v>
          </cell>
          <cell r="AD80">
            <v>87</v>
          </cell>
          <cell r="AF80" t="str">
            <v>03020102020202</v>
          </cell>
          <cell r="AG80">
            <v>38</v>
          </cell>
          <cell r="AH80">
            <v>20</v>
          </cell>
          <cell r="AI80">
            <v>163</v>
          </cell>
          <cell r="AJ80">
            <v>2</v>
          </cell>
          <cell r="AK80">
            <v>304</v>
          </cell>
          <cell r="AM80">
            <v>10</v>
          </cell>
          <cell r="AN80">
            <v>0</v>
          </cell>
          <cell r="AP80">
            <v>479</v>
          </cell>
          <cell r="AR80" t="str">
            <v>03020102020202</v>
          </cell>
          <cell r="AS80">
            <v>0</v>
          </cell>
          <cell r="AV80" t="str">
            <v>03020102020202</v>
          </cell>
          <cell r="AW80">
            <v>200</v>
          </cell>
        </row>
        <row r="81">
          <cell r="P81" t="str">
            <v>02020402010202</v>
          </cell>
          <cell r="Q81">
            <v>25</v>
          </cell>
          <cell r="W81">
            <v>21</v>
          </cell>
          <cell r="X81">
            <v>50</v>
          </cell>
          <cell r="Y81">
            <v>6</v>
          </cell>
          <cell r="AD81">
            <v>102</v>
          </cell>
          <cell r="AF81" t="str">
            <v>02020402010202</v>
          </cell>
          <cell r="AG81">
            <v>13</v>
          </cell>
          <cell r="AH81">
            <v>7</v>
          </cell>
          <cell r="AI81">
            <v>59</v>
          </cell>
          <cell r="AJ81">
            <v>2</v>
          </cell>
          <cell r="AK81">
            <v>104</v>
          </cell>
          <cell r="AM81">
            <v>10</v>
          </cell>
          <cell r="AN81">
            <v>0</v>
          </cell>
          <cell r="AP81">
            <v>175</v>
          </cell>
          <cell r="AR81" t="str">
            <v>02020402010202</v>
          </cell>
          <cell r="AS81">
            <v>0</v>
          </cell>
          <cell r="AV81" t="str">
            <v>02020402010202</v>
          </cell>
          <cell r="AW81">
            <v>75</v>
          </cell>
        </row>
        <row r="82">
          <cell r="P82" t="str">
            <v>02020402020202</v>
          </cell>
          <cell r="Q82">
            <v>25</v>
          </cell>
          <cell r="W82">
            <v>21</v>
          </cell>
          <cell r="X82">
            <v>50</v>
          </cell>
          <cell r="Y82">
            <v>6</v>
          </cell>
          <cell r="AD82">
            <v>102</v>
          </cell>
          <cell r="AF82" t="str">
            <v>02020402020202</v>
          </cell>
          <cell r="AG82">
            <v>13</v>
          </cell>
          <cell r="AH82">
            <v>7</v>
          </cell>
          <cell r="AI82">
            <v>59</v>
          </cell>
          <cell r="AJ82">
            <v>2</v>
          </cell>
          <cell r="AK82">
            <v>104</v>
          </cell>
          <cell r="AM82">
            <v>10</v>
          </cell>
          <cell r="AN82">
            <v>0</v>
          </cell>
          <cell r="AP82">
            <v>175</v>
          </cell>
          <cell r="AR82" t="str">
            <v>02020402020202</v>
          </cell>
          <cell r="AS82">
            <v>0</v>
          </cell>
          <cell r="AV82" t="str">
            <v>02020402020202</v>
          </cell>
          <cell r="AW82">
            <v>75</v>
          </cell>
        </row>
        <row r="83">
          <cell r="P83" t="str">
            <v>02020502010202</v>
          </cell>
          <cell r="Q83">
            <v>25</v>
          </cell>
          <cell r="T83">
            <v>10</v>
          </cell>
          <cell r="X83">
            <v>50</v>
          </cell>
          <cell r="Y83">
            <v>6</v>
          </cell>
          <cell r="AD83">
            <v>91</v>
          </cell>
          <cell r="AF83" t="str">
            <v>02020502010202</v>
          </cell>
          <cell r="AG83">
            <v>13</v>
          </cell>
          <cell r="AH83">
            <v>7</v>
          </cell>
          <cell r="AI83">
            <v>59</v>
          </cell>
          <cell r="AJ83">
            <v>2</v>
          </cell>
          <cell r="AK83">
            <v>104</v>
          </cell>
          <cell r="AM83">
            <v>10</v>
          </cell>
          <cell r="AN83">
            <v>0</v>
          </cell>
          <cell r="AP83">
            <v>175</v>
          </cell>
          <cell r="AR83" t="str">
            <v>02020502010202</v>
          </cell>
          <cell r="AS83">
            <v>0</v>
          </cell>
          <cell r="AV83" t="str">
            <v>02020502010202</v>
          </cell>
          <cell r="AW83">
            <v>75</v>
          </cell>
        </row>
        <row r="84">
          <cell r="P84" t="str">
            <v>02020502020202</v>
          </cell>
          <cell r="Q84">
            <v>25</v>
          </cell>
          <cell r="T84">
            <v>10</v>
          </cell>
          <cell r="X84">
            <v>50</v>
          </cell>
          <cell r="Y84">
            <v>6</v>
          </cell>
          <cell r="AD84">
            <v>91</v>
          </cell>
          <cell r="AF84" t="str">
            <v>02020502020202</v>
          </cell>
          <cell r="AG84">
            <v>13</v>
          </cell>
          <cell r="AH84">
            <v>7</v>
          </cell>
          <cell r="AI84">
            <v>59</v>
          </cell>
          <cell r="AJ84">
            <v>2</v>
          </cell>
          <cell r="AK84">
            <v>104</v>
          </cell>
          <cell r="AM84">
            <v>10</v>
          </cell>
          <cell r="AN84">
            <v>0</v>
          </cell>
          <cell r="AP84">
            <v>175</v>
          </cell>
          <cell r="AR84" t="str">
            <v>02020502020202</v>
          </cell>
          <cell r="AS84">
            <v>0</v>
          </cell>
          <cell r="AV84" t="str">
            <v>02020502020202</v>
          </cell>
          <cell r="AW84">
            <v>75</v>
          </cell>
        </row>
        <row r="85">
          <cell r="P85" t="str">
            <v>02020102010202</v>
          </cell>
          <cell r="Q85">
            <v>25</v>
          </cell>
          <cell r="T85">
            <v>10</v>
          </cell>
          <cell r="X85">
            <v>50</v>
          </cell>
          <cell r="Y85">
            <v>6</v>
          </cell>
          <cell r="AD85">
            <v>91</v>
          </cell>
          <cell r="AF85" t="str">
            <v>02020102010202</v>
          </cell>
          <cell r="AG85">
            <v>13</v>
          </cell>
          <cell r="AH85">
            <v>7</v>
          </cell>
          <cell r="AI85">
            <v>59</v>
          </cell>
          <cell r="AJ85">
            <v>2</v>
          </cell>
          <cell r="AK85">
            <v>104</v>
          </cell>
          <cell r="AM85">
            <v>10</v>
          </cell>
          <cell r="AN85">
            <v>0</v>
          </cell>
          <cell r="AP85">
            <v>175</v>
          </cell>
          <cell r="AR85" t="str">
            <v>02020102010202</v>
          </cell>
          <cell r="AS85">
            <v>0</v>
          </cell>
          <cell r="AV85" t="str">
            <v>02020102010202</v>
          </cell>
          <cell r="AW85">
            <v>75</v>
          </cell>
        </row>
        <row r="86">
          <cell r="P86" t="str">
            <v>02020102020202</v>
          </cell>
          <cell r="Q86">
            <v>25</v>
          </cell>
          <cell r="T86">
            <v>10</v>
          </cell>
          <cell r="X86">
            <v>50</v>
          </cell>
          <cell r="Y86">
            <v>6</v>
          </cell>
          <cell r="AD86">
            <v>91</v>
          </cell>
          <cell r="AF86" t="str">
            <v>02020102020202</v>
          </cell>
          <cell r="AG86">
            <v>13</v>
          </cell>
          <cell r="AH86">
            <v>7</v>
          </cell>
          <cell r="AI86">
            <v>59</v>
          </cell>
          <cell r="AJ86">
            <v>2</v>
          </cell>
          <cell r="AK86">
            <v>104</v>
          </cell>
          <cell r="AM86">
            <v>10</v>
          </cell>
          <cell r="AN86">
            <v>0</v>
          </cell>
          <cell r="AP86">
            <v>175</v>
          </cell>
          <cell r="AR86" t="str">
            <v>02020102020202</v>
          </cell>
          <cell r="AS86">
            <v>0</v>
          </cell>
          <cell r="AV86" t="str">
            <v>02020102020202</v>
          </cell>
          <cell r="AW86">
            <v>75</v>
          </cell>
        </row>
        <row r="87">
          <cell r="P87" t="str">
            <v>04020102010202</v>
          </cell>
          <cell r="Q87">
            <v>25</v>
          </cell>
          <cell r="R87">
            <v>6</v>
          </cell>
          <cell r="S87">
            <v>25</v>
          </cell>
          <cell r="T87">
            <v>10</v>
          </cell>
          <cell r="W87">
            <v>21</v>
          </cell>
          <cell r="AD87">
            <v>87</v>
          </cell>
          <cell r="AF87" t="str">
            <v>04020102010202</v>
          </cell>
          <cell r="AG87">
            <v>38</v>
          </cell>
          <cell r="AH87">
            <v>20</v>
          </cell>
          <cell r="AI87">
            <v>163</v>
          </cell>
          <cell r="AJ87">
            <v>2</v>
          </cell>
          <cell r="AK87">
            <v>304</v>
          </cell>
          <cell r="AM87">
            <v>10</v>
          </cell>
          <cell r="AN87">
            <v>0</v>
          </cell>
          <cell r="AP87">
            <v>479</v>
          </cell>
          <cell r="AR87" t="str">
            <v>04020102010202</v>
          </cell>
          <cell r="AS87">
            <v>0</v>
          </cell>
          <cell r="AV87" t="str">
            <v>04020102010202</v>
          </cell>
          <cell r="AW87">
            <v>200</v>
          </cell>
        </row>
        <row r="88">
          <cell r="P88" t="str">
            <v>04020102020202</v>
          </cell>
          <cell r="Q88">
            <v>25</v>
          </cell>
          <cell r="R88">
            <v>6</v>
          </cell>
          <cell r="S88">
            <v>25</v>
          </cell>
          <cell r="T88">
            <v>10</v>
          </cell>
          <cell r="W88">
            <v>21</v>
          </cell>
          <cell r="AD88">
            <v>87</v>
          </cell>
          <cell r="AF88" t="str">
            <v>04020102020202</v>
          </cell>
          <cell r="AG88">
            <v>38</v>
          </cell>
          <cell r="AH88">
            <v>20</v>
          </cell>
          <cell r="AI88">
            <v>163</v>
          </cell>
          <cell r="AJ88">
            <v>2</v>
          </cell>
          <cell r="AK88">
            <v>304</v>
          </cell>
          <cell r="AM88">
            <v>10</v>
          </cell>
          <cell r="AN88">
            <v>0</v>
          </cell>
          <cell r="AP88">
            <v>479</v>
          </cell>
          <cell r="AR88" t="str">
            <v>04020102020202</v>
          </cell>
          <cell r="AS88">
            <v>0</v>
          </cell>
          <cell r="AV88" t="str">
            <v>04020102020202</v>
          </cell>
          <cell r="AW88">
            <v>200</v>
          </cell>
        </row>
        <row r="89">
          <cell r="P89" t="str">
            <v>07010102010202</v>
          </cell>
          <cell r="Q89">
            <v>25</v>
          </cell>
          <cell r="T89">
            <v>10</v>
          </cell>
          <cell r="X89">
            <v>50</v>
          </cell>
          <cell r="Y89">
            <v>6</v>
          </cell>
          <cell r="AD89">
            <v>91</v>
          </cell>
          <cell r="AF89" t="str">
            <v>07010102010202</v>
          </cell>
          <cell r="AG89">
            <v>13</v>
          </cell>
          <cell r="AH89">
            <v>7</v>
          </cell>
          <cell r="AI89">
            <v>59</v>
          </cell>
          <cell r="AJ89">
            <v>2</v>
          </cell>
          <cell r="AK89">
            <v>104</v>
          </cell>
          <cell r="AM89">
            <v>10</v>
          </cell>
          <cell r="AN89">
            <v>0</v>
          </cell>
          <cell r="AP89">
            <v>175</v>
          </cell>
          <cell r="AR89" t="str">
            <v>07010102010202</v>
          </cell>
          <cell r="AS89">
            <v>0</v>
          </cell>
          <cell r="AV89" t="str">
            <v>07010102010202</v>
          </cell>
          <cell r="AW89">
            <v>75</v>
          </cell>
        </row>
        <row r="90">
          <cell r="P90" t="str">
            <v>07010102020202</v>
          </cell>
          <cell r="Q90">
            <v>25</v>
          </cell>
          <cell r="T90">
            <v>10</v>
          </cell>
          <cell r="X90">
            <v>50</v>
          </cell>
          <cell r="Y90">
            <v>6</v>
          </cell>
          <cell r="AD90">
            <v>91</v>
          </cell>
          <cell r="AF90" t="str">
            <v>07010102020202</v>
          </cell>
          <cell r="AG90">
            <v>13</v>
          </cell>
          <cell r="AH90">
            <v>7</v>
          </cell>
          <cell r="AI90">
            <v>59</v>
          </cell>
          <cell r="AJ90">
            <v>2</v>
          </cell>
          <cell r="AK90">
            <v>104</v>
          </cell>
          <cell r="AM90">
            <v>10</v>
          </cell>
          <cell r="AN90">
            <v>0</v>
          </cell>
          <cell r="AP90">
            <v>175</v>
          </cell>
          <cell r="AR90" t="str">
            <v>07010102020202</v>
          </cell>
          <cell r="AS90">
            <v>0</v>
          </cell>
          <cell r="AV90" t="str">
            <v>07010102020202</v>
          </cell>
          <cell r="AW90">
            <v>75</v>
          </cell>
        </row>
        <row r="91">
          <cell r="P91" t="str">
            <v>07020102010202</v>
          </cell>
          <cell r="Q91">
            <v>25</v>
          </cell>
          <cell r="T91">
            <v>10</v>
          </cell>
          <cell r="X91">
            <v>50</v>
          </cell>
          <cell r="Y91">
            <v>6</v>
          </cell>
          <cell r="AD91">
            <v>91</v>
          </cell>
          <cell r="AF91" t="str">
            <v>07020102010202</v>
          </cell>
          <cell r="AG91">
            <v>13</v>
          </cell>
          <cell r="AH91">
            <v>7</v>
          </cell>
          <cell r="AI91">
            <v>59</v>
          </cell>
          <cell r="AJ91">
            <v>2</v>
          </cell>
          <cell r="AK91">
            <v>104</v>
          </cell>
          <cell r="AM91">
            <v>10</v>
          </cell>
          <cell r="AN91">
            <v>0</v>
          </cell>
          <cell r="AP91">
            <v>175</v>
          </cell>
          <cell r="AR91" t="str">
            <v>07020102010202</v>
          </cell>
          <cell r="AS91">
            <v>0</v>
          </cell>
          <cell r="AV91" t="str">
            <v>07020102010202</v>
          </cell>
          <cell r="AW91">
            <v>75</v>
          </cell>
        </row>
        <row r="92">
          <cell r="P92" t="str">
            <v>07020102020202</v>
          </cell>
          <cell r="Q92">
            <v>25</v>
          </cell>
          <cell r="T92">
            <v>10</v>
          </cell>
          <cell r="X92">
            <v>50</v>
          </cell>
          <cell r="Y92">
            <v>6</v>
          </cell>
          <cell r="AD92">
            <v>91</v>
          </cell>
          <cell r="AF92" t="str">
            <v>07020102020202</v>
          </cell>
          <cell r="AG92">
            <v>13</v>
          </cell>
          <cell r="AH92">
            <v>7</v>
          </cell>
          <cell r="AI92">
            <v>59</v>
          </cell>
          <cell r="AJ92">
            <v>2</v>
          </cell>
          <cell r="AK92">
            <v>104</v>
          </cell>
          <cell r="AM92">
            <v>10</v>
          </cell>
          <cell r="AN92">
            <v>0</v>
          </cell>
          <cell r="AP92">
            <v>175</v>
          </cell>
          <cell r="AR92" t="str">
            <v>07020102020202</v>
          </cell>
          <cell r="AS92">
            <v>0</v>
          </cell>
          <cell r="AV92" t="str">
            <v>07020102020202</v>
          </cell>
          <cell r="AW92">
            <v>75</v>
          </cell>
        </row>
        <row r="93">
          <cell r="P93" t="str">
            <v>01030101010101</v>
          </cell>
          <cell r="Q93">
            <v>0</v>
          </cell>
          <cell r="T93">
            <v>10</v>
          </cell>
          <cell r="U93">
            <v>8</v>
          </cell>
          <cell r="V93">
            <v>8</v>
          </cell>
          <cell r="W93">
            <v>31</v>
          </cell>
          <cell r="X93">
            <v>0</v>
          </cell>
          <cell r="Y93">
            <v>21</v>
          </cell>
          <cell r="Z93">
            <v>8</v>
          </cell>
          <cell r="AB93">
            <v>25</v>
          </cell>
          <cell r="AC93">
            <v>0</v>
          </cell>
          <cell r="AD93">
            <v>111</v>
          </cell>
          <cell r="AF93" t="str">
            <v>01030101010101</v>
          </cell>
          <cell r="AG93">
            <v>13</v>
          </cell>
          <cell r="AH93">
            <v>26</v>
          </cell>
          <cell r="AI93">
            <v>2</v>
          </cell>
          <cell r="AJ93">
            <v>7</v>
          </cell>
          <cell r="AK93">
            <v>208</v>
          </cell>
          <cell r="AL93">
            <v>2.7</v>
          </cell>
          <cell r="AN93">
            <v>0</v>
          </cell>
          <cell r="AO93">
            <v>10</v>
          </cell>
          <cell r="AP93">
            <v>255.7</v>
          </cell>
          <cell r="AR93" t="str">
            <v>01030101010101</v>
          </cell>
          <cell r="AS93">
            <v>0</v>
          </cell>
        </row>
        <row r="94">
          <cell r="P94" t="str">
            <v>01030101020101</v>
          </cell>
          <cell r="Q94">
            <v>0</v>
          </cell>
          <cell r="T94">
            <v>10</v>
          </cell>
          <cell r="U94">
            <v>8</v>
          </cell>
          <cell r="V94">
            <v>8</v>
          </cell>
          <cell r="W94">
            <v>31</v>
          </cell>
          <cell r="X94">
            <v>0</v>
          </cell>
          <cell r="Y94">
            <v>21</v>
          </cell>
          <cell r="Z94">
            <v>8</v>
          </cell>
          <cell r="AB94">
            <v>25</v>
          </cell>
          <cell r="AD94">
            <v>111</v>
          </cell>
          <cell r="AF94" t="str">
            <v>01030101020101</v>
          </cell>
          <cell r="AG94">
            <v>13</v>
          </cell>
          <cell r="AH94">
            <v>26</v>
          </cell>
          <cell r="AI94">
            <v>2</v>
          </cell>
          <cell r="AJ94">
            <v>7</v>
          </cell>
          <cell r="AK94">
            <v>208</v>
          </cell>
          <cell r="AL94">
            <v>2.7</v>
          </cell>
          <cell r="AN94">
            <v>0</v>
          </cell>
          <cell r="AO94">
            <v>10</v>
          </cell>
          <cell r="AP94">
            <v>255.7</v>
          </cell>
          <cell r="AR94" t="str">
            <v>01030101020101</v>
          </cell>
          <cell r="AS94">
            <v>0</v>
          </cell>
        </row>
        <row r="95">
          <cell r="P95" t="str">
            <v>01030102010101</v>
          </cell>
          <cell r="Q95">
            <v>0</v>
          </cell>
          <cell r="T95">
            <v>10</v>
          </cell>
          <cell r="U95">
            <v>8</v>
          </cell>
          <cell r="V95">
            <v>8</v>
          </cell>
          <cell r="X95">
            <v>0</v>
          </cell>
          <cell r="AD95">
            <v>26</v>
          </cell>
          <cell r="AF95" t="str">
            <v>01030102010101</v>
          </cell>
          <cell r="AG95">
            <v>13</v>
          </cell>
          <cell r="AH95">
            <v>26</v>
          </cell>
          <cell r="AI95">
            <v>2</v>
          </cell>
          <cell r="AJ95">
            <v>7</v>
          </cell>
          <cell r="AK95">
            <v>208</v>
          </cell>
          <cell r="AL95">
            <v>2.7</v>
          </cell>
          <cell r="AN95">
            <v>0</v>
          </cell>
          <cell r="AO95">
            <v>10</v>
          </cell>
          <cell r="AP95">
            <v>255.7</v>
          </cell>
          <cell r="AR95" t="str">
            <v>01030102010101</v>
          </cell>
          <cell r="AS95">
            <v>0</v>
          </cell>
        </row>
        <row r="96">
          <cell r="P96" t="str">
            <v>01030102020101</v>
          </cell>
          <cell r="Q96">
            <v>0</v>
          </cell>
          <cell r="T96">
            <v>10</v>
          </cell>
          <cell r="U96">
            <v>8</v>
          </cell>
          <cell r="V96">
            <v>8</v>
          </cell>
          <cell r="X96">
            <v>0</v>
          </cell>
          <cell r="AD96">
            <v>26</v>
          </cell>
          <cell r="AF96" t="str">
            <v>01030102020101</v>
          </cell>
          <cell r="AG96">
            <v>13</v>
          </cell>
          <cell r="AH96">
            <v>26</v>
          </cell>
          <cell r="AI96">
            <v>2</v>
          </cell>
          <cell r="AJ96">
            <v>7</v>
          </cell>
          <cell r="AK96">
            <v>208</v>
          </cell>
          <cell r="AL96">
            <v>2.7</v>
          </cell>
          <cell r="AN96">
            <v>0</v>
          </cell>
          <cell r="AO96">
            <v>10</v>
          </cell>
          <cell r="AP96">
            <v>255.7</v>
          </cell>
          <cell r="AR96" t="str">
            <v>01030102020101</v>
          </cell>
          <cell r="AS96">
            <v>0</v>
          </cell>
        </row>
        <row r="97">
          <cell r="P97" t="str">
            <v>01030101010201</v>
          </cell>
          <cell r="AD97">
            <v>0</v>
          </cell>
          <cell r="AF97" t="str">
            <v>01030101010201</v>
          </cell>
          <cell r="AP97">
            <v>0</v>
          </cell>
          <cell r="AR97" t="str">
            <v>01030101010201</v>
          </cell>
          <cell r="AS97">
            <v>0</v>
          </cell>
        </row>
        <row r="98">
          <cell r="P98" t="str">
            <v>01030101020201</v>
          </cell>
          <cell r="AD98">
            <v>0</v>
          </cell>
          <cell r="AF98" t="str">
            <v>01030101020201</v>
          </cell>
          <cell r="AP98">
            <v>0</v>
          </cell>
          <cell r="AR98" t="str">
            <v>01030101020201</v>
          </cell>
          <cell r="AS98">
            <v>0</v>
          </cell>
        </row>
        <row r="99">
          <cell r="P99" t="str">
            <v>01030102010201</v>
          </cell>
          <cell r="AD99">
            <v>0</v>
          </cell>
          <cell r="AF99" t="str">
            <v>01030102010201</v>
          </cell>
          <cell r="AP99">
            <v>0</v>
          </cell>
          <cell r="AR99" t="str">
            <v>01030102010201</v>
          </cell>
          <cell r="AS99">
            <v>0</v>
          </cell>
        </row>
        <row r="100">
          <cell r="P100" t="str">
            <v>01030102020201</v>
          </cell>
          <cell r="AD100">
            <v>0</v>
          </cell>
          <cell r="AF100" t="str">
            <v>01030102020201</v>
          </cell>
          <cell r="AP100">
            <v>0</v>
          </cell>
          <cell r="AR100" t="str">
            <v>01030102020201</v>
          </cell>
          <cell r="AS100">
            <v>0</v>
          </cell>
        </row>
        <row r="101">
          <cell r="P101" t="str">
            <v>01030101010202</v>
          </cell>
          <cell r="Q101">
            <v>25</v>
          </cell>
          <cell r="R101">
            <v>6</v>
          </cell>
          <cell r="S101">
            <v>25</v>
          </cell>
          <cell r="T101">
            <v>10</v>
          </cell>
          <cell r="W101">
            <v>21</v>
          </cell>
          <cell r="Z101">
            <v>0</v>
          </cell>
          <cell r="AD101">
            <v>0</v>
          </cell>
          <cell r="AF101" t="str">
            <v>01030101010202</v>
          </cell>
          <cell r="AG101">
            <v>38</v>
          </cell>
          <cell r="AH101">
            <v>20</v>
          </cell>
          <cell r="AI101">
            <v>163</v>
          </cell>
          <cell r="AJ101">
            <v>2</v>
          </cell>
          <cell r="AK101">
            <v>304</v>
          </cell>
          <cell r="AM101">
            <v>10</v>
          </cell>
          <cell r="AN101">
            <v>0</v>
          </cell>
          <cell r="AP101">
            <v>0</v>
          </cell>
          <cell r="AR101" t="str">
            <v>01030101010202</v>
          </cell>
          <cell r="AV101" t="str">
            <v>01030101010202</v>
          </cell>
          <cell r="AW101">
            <v>0</v>
          </cell>
        </row>
        <row r="102">
          <cell r="P102" t="str">
            <v>01030101020202</v>
          </cell>
          <cell r="Q102">
            <v>25</v>
          </cell>
          <cell r="R102">
            <v>6</v>
          </cell>
          <cell r="S102">
            <v>25</v>
          </cell>
          <cell r="T102">
            <v>10</v>
          </cell>
          <cell r="W102">
            <v>21</v>
          </cell>
          <cell r="Z102">
            <v>0</v>
          </cell>
          <cell r="AD102">
            <v>0</v>
          </cell>
          <cell r="AF102" t="str">
            <v>01030101020202</v>
          </cell>
          <cell r="AG102">
            <v>38</v>
          </cell>
          <cell r="AH102">
            <v>20</v>
          </cell>
          <cell r="AI102">
            <v>163</v>
          </cell>
          <cell r="AJ102">
            <v>2</v>
          </cell>
          <cell r="AK102">
            <v>304</v>
          </cell>
          <cell r="AM102">
            <v>10</v>
          </cell>
          <cell r="AN102">
            <v>0</v>
          </cell>
          <cell r="AP102">
            <v>0</v>
          </cell>
          <cell r="AR102" t="str">
            <v>01030101020202</v>
          </cell>
          <cell r="AV102" t="str">
            <v>01030101020202</v>
          </cell>
          <cell r="AW102">
            <v>0</v>
          </cell>
        </row>
        <row r="103">
          <cell r="P103" t="str">
            <v>01030102010202</v>
          </cell>
          <cell r="Q103">
            <v>25</v>
          </cell>
          <cell r="R103">
            <v>6</v>
          </cell>
          <cell r="S103">
            <v>25</v>
          </cell>
          <cell r="T103">
            <v>10</v>
          </cell>
          <cell r="W103">
            <v>21</v>
          </cell>
          <cell r="Z103">
            <v>0</v>
          </cell>
          <cell r="AD103">
            <v>0</v>
          </cell>
          <cell r="AF103" t="str">
            <v>01030102010202</v>
          </cell>
          <cell r="AG103">
            <v>38</v>
          </cell>
          <cell r="AH103">
            <v>20</v>
          </cell>
          <cell r="AI103">
            <v>163</v>
          </cell>
          <cell r="AJ103">
            <v>2</v>
          </cell>
          <cell r="AK103">
            <v>304</v>
          </cell>
          <cell r="AM103">
            <v>10</v>
          </cell>
          <cell r="AN103">
            <v>0</v>
          </cell>
          <cell r="AP103">
            <v>0</v>
          </cell>
          <cell r="AR103" t="str">
            <v>01030102010202</v>
          </cell>
          <cell r="AV103" t="str">
            <v>01030102010202</v>
          </cell>
          <cell r="AW103">
            <v>0</v>
          </cell>
        </row>
        <row r="104">
          <cell r="P104" t="str">
            <v>01030102020202</v>
          </cell>
          <cell r="Q104">
            <v>25</v>
          </cell>
          <cell r="R104">
            <v>6</v>
          </cell>
          <cell r="S104">
            <v>25</v>
          </cell>
          <cell r="T104">
            <v>10</v>
          </cell>
          <cell r="W104">
            <v>21</v>
          </cell>
          <cell r="Z104">
            <v>0</v>
          </cell>
          <cell r="AD104">
            <v>0</v>
          </cell>
          <cell r="AF104" t="str">
            <v>01030102020202</v>
          </cell>
          <cell r="AG104">
            <v>38</v>
          </cell>
          <cell r="AH104">
            <v>20</v>
          </cell>
          <cell r="AI104">
            <v>163</v>
          </cell>
          <cell r="AJ104">
            <v>2</v>
          </cell>
          <cell r="AK104">
            <v>304</v>
          </cell>
          <cell r="AM104">
            <v>10</v>
          </cell>
          <cell r="AN104">
            <v>0</v>
          </cell>
          <cell r="AP104">
            <v>0</v>
          </cell>
          <cell r="AR104" t="str">
            <v>01030102020202</v>
          </cell>
          <cell r="AV104" t="str">
            <v>01030102020202</v>
          </cell>
          <cell r="AW104">
            <v>0</v>
          </cell>
        </row>
      </sheetData>
      <sheetData sheetId="9">
        <row r="2">
          <cell r="B2">
            <v>0</v>
          </cell>
          <cell r="C2">
            <v>250</v>
          </cell>
          <cell r="G2">
            <v>0</v>
          </cell>
          <cell r="H2">
            <v>250</v>
          </cell>
          <cell r="L2">
            <v>0</v>
          </cell>
          <cell r="M2">
            <v>250</v>
          </cell>
        </row>
        <row r="3">
          <cell r="B3">
            <v>5001</v>
          </cell>
          <cell r="C3">
            <v>250</v>
          </cell>
          <cell r="G3">
            <v>5001</v>
          </cell>
          <cell r="H3">
            <v>250</v>
          </cell>
          <cell r="L3">
            <v>5001</v>
          </cell>
          <cell r="M3">
            <v>250</v>
          </cell>
        </row>
        <row r="4">
          <cell r="B4">
            <v>18001</v>
          </cell>
          <cell r="C4">
            <v>250</v>
          </cell>
          <cell r="G4">
            <v>18001</v>
          </cell>
          <cell r="H4">
            <v>250</v>
          </cell>
          <cell r="L4">
            <v>18001</v>
          </cell>
          <cell r="M4">
            <v>250</v>
          </cell>
        </row>
        <row r="5">
          <cell r="B5">
            <v>25001</v>
          </cell>
          <cell r="C5">
            <v>250</v>
          </cell>
          <cell r="G5">
            <v>25001</v>
          </cell>
          <cell r="H5">
            <v>250</v>
          </cell>
          <cell r="L5">
            <v>25001</v>
          </cell>
          <cell r="M5">
            <v>250</v>
          </cell>
        </row>
        <row r="6">
          <cell r="B6">
            <v>30001</v>
          </cell>
          <cell r="C6">
            <v>250</v>
          </cell>
          <cell r="G6">
            <v>30001</v>
          </cell>
          <cell r="H6">
            <v>250</v>
          </cell>
          <cell r="L6">
            <v>30001</v>
          </cell>
          <cell r="M6">
            <v>250</v>
          </cell>
        </row>
        <row r="7">
          <cell r="B7">
            <v>40001</v>
          </cell>
          <cell r="C7">
            <v>300</v>
          </cell>
          <cell r="G7">
            <v>40001</v>
          </cell>
          <cell r="H7">
            <v>300</v>
          </cell>
          <cell r="L7">
            <v>40001</v>
          </cell>
          <cell r="M7">
            <v>300</v>
          </cell>
        </row>
        <row r="8">
          <cell r="B8">
            <v>50001</v>
          </cell>
          <cell r="C8">
            <v>300</v>
          </cell>
          <cell r="G8">
            <v>50001</v>
          </cell>
          <cell r="H8">
            <v>300</v>
          </cell>
          <cell r="L8">
            <v>50001</v>
          </cell>
          <cell r="M8">
            <v>300</v>
          </cell>
        </row>
        <row r="9">
          <cell r="B9">
            <v>62501</v>
          </cell>
          <cell r="C9">
            <v>350</v>
          </cell>
          <cell r="G9">
            <v>62501</v>
          </cell>
          <cell r="H9">
            <v>350</v>
          </cell>
          <cell r="L9">
            <v>62501</v>
          </cell>
          <cell r="M9">
            <v>350</v>
          </cell>
        </row>
        <row r="10">
          <cell r="B10">
            <v>70001</v>
          </cell>
          <cell r="C10">
            <v>350</v>
          </cell>
          <cell r="G10">
            <v>70001</v>
          </cell>
          <cell r="H10">
            <v>350</v>
          </cell>
          <cell r="L10">
            <v>70001</v>
          </cell>
          <cell r="M10">
            <v>350</v>
          </cell>
        </row>
        <row r="11">
          <cell r="B11">
            <v>80001</v>
          </cell>
          <cell r="C11">
            <v>500</v>
          </cell>
          <cell r="G11">
            <v>80001</v>
          </cell>
          <cell r="H11">
            <v>500</v>
          </cell>
          <cell r="L11">
            <v>80001</v>
          </cell>
          <cell r="M11">
            <v>500</v>
          </cell>
        </row>
        <row r="12">
          <cell r="B12">
            <v>90001</v>
          </cell>
          <cell r="C12">
            <v>500</v>
          </cell>
          <cell r="G12">
            <v>90001</v>
          </cell>
          <cell r="H12">
            <v>500</v>
          </cell>
          <cell r="L12">
            <v>90001</v>
          </cell>
          <cell r="M12">
            <v>500</v>
          </cell>
        </row>
        <row r="13">
          <cell r="B13">
            <v>125001</v>
          </cell>
          <cell r="C13">
            <v>500</v>
          </cell>
          <cell r="G13">
            <v>125001</v>
          </cell>
          <cell r="H13">
            <v>500</v>
          </cell>
          <cell r="L13">
            <v>125001</v>
          </cell>
          <cell r="M13">
            <v>500</v>
          </cell>
        </row>
        <row r="14">
          <cell r="B14">
            <v>150001</v>
          </cell>
          <cell r="C14">
            <v>500</v>
          </cell>
          <cell r="G14">
            <v>150001</v>
          </cell>
          <cell r="H14">
            <v>500</v>
          </cell>
          <cell r="L14">
            <v>150001</v>
          </cell>
          <cell r="M14">
            <v>500</v>
          </cell>
        </row>
        <row r="15">
          <cell r="B15">
            <v>175001</v>
          </cell>
          <cell r="C15">
            <v>500</v>
          </cell>
          <cell r="G15">
            <v>175001</v>
          </cell>
          <cell r="H15">
            <v>500</v>
          </cell>
          <cell r="L15">
            <v>175001</v>
          </cell>
          <cell r="M15">
            <v>500</v>
          </cell>
        </row>
        <row r="16">
          <cell r="B16">
            <v>200001</v>
          </cell>
          <cell r="C16">
            <v>500</v>
          </cell>
          <cell r="G16">
            <v>200001</v>
          </cell>
          <cell r="H16">
            <v>500</v>
          </cell>
          <cell r="L16">
            <v>200001</v>
          </cell>
          <cell r="M16">
            <v>500</v>
          </cell>
        </row>
        <row r="17">
          <cell r="B17">
            <v>250001</v>
          </cell>
          <cell r="C17">
            <v>500</v>
          </cell>
          <cell r="G17">
            <v>250001</v>
          </cell>
          <cell r="H17">
            <v>500</v>
          </cell>
          <cell r="L17">
            <v>250001</v>
          </cell>
          <cell r="M17">
            <v>500</v>
          </cell>
        </row>
        <row r="18">
          <cell r="B18">
            <v>300001</v>
          </cell>
          <cell r="C18">
            <v>500</v>
          </cell>
          <cell r="G18">
            <v>300001</v>
          </cell>
          <cell r="H18">
            <v>500</v>
          </cell>
          <cell r="L18">
            <v>300001</v>
          </cell>
          <cell r="M18">
            <v>500</v>
          </cell>
        </row>
        <row r="19">
          <cell r="B19">
            <v>350001</v>
          </cell>
          <cell r="C19">
            <v>500</v>
          </cell>
          <cell r="G19">
            <v>350001</v>
          </cell>
          <cell r="H19">
            <v>500</v>
          </cell>
          <cell r="L19">
            <v>350001</v>
          </cell>
          <cell r="M19">
            <v>500</v>
          </cell>
        </row>
        <row r="20">
          <cell r="B20">
            <v>451001</v>
          </cell>
          <cell r="C20">
            <v>500</v>
          </cell>
          <cell r="G20">
            <v>451001</v>
          </cell>
          <cell r="H20">
            <v>500</v>
          </cell>
          <cell r="L20">
            <v>451001</v>
          </cell>
          <cell r="M20">
            <v>500</v>
          </cell>
        </row>
        <row r="25">
          <cell r="B25">
            <v>0</v>
          </cell>
          <cell r="C25">
            <v>140</v>
          </cell>
          <cell r="G25">
            <v>0</v>
          </cell>
          <cell r="H25">
            <v>250</v>
          </cell>
          <cell r="L25">
            <v>0</v>
          </cell>
          <cell r="M25">
            <v>140</v>
          </cell>
        </row>
        <row r="26">
          <cell r="B26">
            <v>5001</v>
          </cell>
          <cell r="C26">
            <v>140</v>
          </cell>
          <cell r="G26">
            <v>5001</v>
          </cell>
          <cell r="H26">
            <v>250</v>
          </cell>
          <cell r="L26">
            <v>5001</v>
          </cell>
          <cell r="M26">
            <v>140</v>
          </cell>
        </row>
        <row r="27">
          <cell r="B27">
            <v>18001</v>
          </cell>
          <cell r="C27">
            <v>150</v>
          </cell>
          <cell r="L27">
            <v>18001</v>
          </cell>
          <cell r="M27">
            <v>150</v>
          </cell>
        </row>
        <row r="28">
          <cell r="B28">
            <v>25001</v>
          </cell>
          <cell r="C28">
            <v>160</v>
          </cell>
          <cell r="L28">
            <v>25001</v>
          </cell>
          <cell r="M28">
            <v>160</v>
          </cell>
        </row>
        <row r="29">
          <cell r="B29">
            <v>30001</v>
          </cell>
          <cell r="C29">
            <v>160</v>
          </cell>
          <cell r="L29">
            <v>30001</v>
          </cell>
          <cell r="M29">
            <v>160</v>
          </cell>
        </row>
        <row r="30">
          <cell r="B30">
            <v>40001</v>
          </cell>
          <cell r="C30">
            <v>210</v>
          </cell>
          <cell r="L30">
            <v>40001</v>
          </cell>
          <cell r="M30">
            <v>210</v>
          </cell>
        </row>
        <row r="31">
          <cell r="B31">
            <v>50001</v>
          </cell>
          <cell r="C31">
            <v>230</v>
          </cell>
          <cell r="G31">
            <v>0</v>
          </cell>
          <cell r="H31">
            <v>400</v>
          </cell>
          <cell r="L31">
            <v>50001</v>
          </cell>
          <cell r="M31">
            <v>230</v>
          </cell>
        </row>
        <row r="32">
          <cell r="B32">
            <v>62501</v>
          </cell>
          <cell r="C32">
            <v>230</v>
          </cell>
          <cell r="G32">
            <v>5001</v>
          </cell>
          <cell r="H32">
            <v>400</v>
          </cell>
          <cell r="L32">
            <v>62501</v>
          </cell>
          <cell r="M32">
            <v>230</v>
          </cell>
        </row>
        <row r="33">
          <cell r="B33">
            <v>70001</v>
          </cell>
          <cell r="C33">
            <v>230</v>
          </cell>
          <cell r="G33">
            <v>25001</v>
          </cell>
          <cell r="H33">
            <v>400</v>
          </cell>
          <cell r="L33">
            <v>70001</v>
          </cell>
          <cell r="M33">
            <v>230</v>
          </cell>
        </row>
        <row r="34">
          <cell r="B34">
            <v>80001</v>
          </cell>
          <cell r="C34">
            <v>230</v>
          </cell>
          <cell r="G34">
            <v>40001</v>
          </cell>
          <cell r="H34">
            <v>400</v>
          </cell>
          <cell r="L34">
            <v>80001</v>
          </cell>
          <cell r="M34">
            <v>230</v>
          </cell>
        </row>
        <row r="35">
          <cell r="B35">
            <v>90001</v>
          </cell>
          <cell r="C35">
            <v>240</v>
          </cell>
          <cell r="G35">
            <v>62501</v>
          </cell>
          <cell r="H35">
            <v>400</v>
          </cell>
          <cell r="L35">
            <v>90001</v>
          </cell>
          <cell r="M35">
            <v>240</v>
          </cell>
        </row>
        <row r="36">
          <cell r="B36">
            <v>125001</v>
          </cell>
          <cell r="C36">
            <v>330</v>
          </cell>
          <cell r="G36">
            <v>80001</v>
          </cell>
          <cell r="H36">
            <v>400</v>
          </cell>
          <cell r="L36">
            <v>125001</v>
          </cell>
          <cell r="M36">
            <v>330</v>
          </cell>
        </row>
        <row r="37">
          <cell r="B37">
            <v>150001</v>
          </cell>
          <cell r="C37">
            <v>330</v>
          </cell>
          <cell r="G37">
            <v>100001</v>
          </cell>
          <cell r="H37">
            <v>400</v>
          </cell>
          <cell r="L37">
            <v>150001</v>
          </cell>
          <cell r="M37">
            <v>330</v>
          </cell>
        </row>
        <row r="38">
          <cell r="B38">
            <v>175001</v>
          </cell>
          <cell r="C38">
            <v>330</v>
          </cell>
          <cell r="G38">
            <v>150001</v>
          </cell>
          <cell r="H38">
            <v>400</v>
          </cell>
          <cell r="L38">
            <v>175001</v>
          </cell>
          <cell r="M38">
            <v>330</v>
          </cell>
        </row>
        <row r="39">
          <cell r="B39">
            <v>200001</v>
          </cell>
          <cell r="C39">
            <v>330</v>
          </cell>
          <cell r="G39">
            <v>200001</v>
          </cell>
          <cell r="H39">
            <v>400</v>
          </cell>
          <cell r="L39">
            <v>200001</v>
          </cell>
          <cell r="M39">
            <v>330</v>
          </cell>
        </row>
        <row r="40">
          <cell r="B40">
            <v>250001</v>
          </cell>
          <cell r="C40">
            <v>330</v>
          </cell>
          <cell r="G40">
            <v>250001</v>
          </cell>
          <cell r="H40">
            <v>400</v>
          </cell>
          <cell r="L40">
            <v>250001</v>
          </cell>
          <cell r="M40">
            <v>330</v>
          </cell>
        </row>
        <row r="41">
          <cell r="B41">
            <v>300001</v>
          </cell>
          <cell r="C41">
            <v>330</v>
          </cell>
          <cell r="G41">
            <v>350001</v>
          </cell>
          <cell r="H41">
            <v>400</v>
          </cell>
          <cell r="L41">
            <v>300001</v>
          </cell>
          <cell r="M41">
            <v>330</v>
          </cell>
        </row>
        <row r="42">
          <cell r="B42">
            <v>350001</v>
          </cell>
          <cell r="C42">
            <v>370</v>
          </cell>
          <cell r="L42">
            <v>350001</v>
          </cell>
          <cell r="M42">
            <v>370</v>
          </cell>
        </row>
        <row r="43">
          <cell r="B43">
            <v>451001</v>
          </cell>
          <cell r="C43">
            <v>370</v>
          </cell>
          <cell r="L43">
            <v>451000</v>
          </cell>
          <cell r="M43">
            <v>370</v>
          </cell>
        </row>
        <row r="47">
          <cell r="B47">
            <v>0</v>
          </cell>
          <cell r="C47">
            <v>250</v>
          </cell>
        </row>
        <row r="48">
          <cell r="B48">
            <v>21001</v>
          </cell>
          <cell r="C48">
            <v>250</v>
          </cell>
        </row>
        <row r="49">
          <cell r="B49">
            <v>70001</v>
          </cell>
          <cell r="C49">
            <v>250</v>
          </cell>
        </row>
        <row r="50">
          <cell r="B50">
            <v>90001</v>
          </cell>
          <cell r="C50">
            <v>250</v>
          </cell>
        </row>
        <row r="51">
          <cell r="B51">
            <v>125001</v>
          </cell>
          <cell r="C51">
            <v>250</v>
          </cell>
        </row>
        <row r="52">
          <cell r="B52">
            <v>175001</v>
          </cell>
          <cell r="C52">
            <v>250</v>
          </cell>
        </row>
        <row r="53">
          <cell r="B53">
            <v>200001</v>
          </cell>
          <cell r="C53">
            <v>250</v>
          </cell>
        </row>
        <row r="54">
          <cell r="B54">
            <v>250001</v>
          </cell>
          <cell r="C54">
            <v>250</v>
          </cell>
        </row>
        <row r="55">
          <cell r="B55">
            <v>300001</v>
          </cell>
          <cell r="C55">
            <v>250</v>
          </cell>
          <cell r="G55">
            <v>0</v>
          </cell>
          <cell r="H55">
            <v>250</v>
          </cell>
        </row>
        <row r="56">
          <cell r="B56">
            <v>350001</v>
          </cell>
          <cell r="C56">
            <v>250</v>
          </cell>
          <cell r="G56">
            <v>5001</v>
          </cell>
          <cell r="H56">
            <v>250</v>
          </cell>
        </row>
        <row r="57">
          <cell r="B57">
            <v>450001</v>
          </cell>
          <cell r="C57">
            <v>250</v>
          </cell>
          <cell r="G57">
            <v>18001</v>
          </cell>
          <cell r="H57">
            <v>250</v>
          </cell>
        </row>
        <row r="58">
          <cell r="G58">
            <v>25001</v>
          </cell>
          <cell r="H58">
            <v>250</v>
          </cell>
        </row>
        <row r="59">
          <cell r="G59">
            <v>30001</v>
          </cell>
          <cell r="H59">
            <v>250</v>
          </cell>
        </row>
        <row r="60">
          <cell r="G60">
            <v>40001</v>
          </cell>
          <cell r="H60">
            <v>300</v>
          </cell>
        </row>
        <row r="61">
          <cell r="G61">
            <v>50001</v>
          </cell>
          <cell r="H61">
            <v>300</v>
          </cell>
        </row>
        <row r="62">
          <cell r="G62">
            <v>62501</v>
          </cell>
          <cell r="H62">
            <v>350</v>
          </cell>
        </row>
        <row r="63">
          <cell r="B63">
            <v>0</v>
          </cell>
          <cell r="C63">
            <v>250</v>
          </cell>
          <cell r="G63">
            <v>70001</v>
          </cell>
          <cell r="H63">
            <v>350</v>
          </cell>
        </row>
        <row r="64">
          <cell r="B64">
            <v>5001</v>
          </cell>
          <cell r="C64">
            <v>250</v>
          </cell>
        </row>
        <row r="65">
          <cell r="B65">
            <v>18001</v>
          </cell>
          <cell r="C65">
            <v>250</v>
          </cell>
        </row>
        <row r="66">
          <cell r="B66">
            <v>25001</v>
          </cell>
          <cell r="C66">
            <v>250</v>
          </cell>
        </row>
        <row r="67">
          <cell r="B67">
            <v>30001</v>
          </cell>
          <cell r="C67">
            <v>250</v>
          </cell>
        </row>
        <row r="68">
          <cell r="B68">
            <v>40001</v>
          </cell>
          <cell r="C68">
            <v>300</v>
          </cell>
        </row>
        <row r="69">
          <cell r="B69">
            <v>50001</v>
          </cell>
          <cell r="C69">
            <v>300</v>
          </cell>
        </row>
        <row r="70">
          <cell r="B70">
            <v>62501</v>
          </cell>
          <cell r="C70">
            <v>350</v>
          </cell>
          <cell r="G70">
            <v>0</v>
          </cell>
          <cell r="H70">
            <v>70</v>
          </cell>
        </row>
        <row r="71">
          <cell r="B71">
            <v>70001</v>
          </cell>
          <cell r="C71">
            <v>350</v>
          </cell>
          <cell r="G71">
            <v>5001</v>
          </cell>
          <cell r="H71">
            <v>70</v>
          </cell>
        </row>
        <row r="72">
          <cell r="G72">
            <v>25001</v>
          </cell>
          <cell r="H72">
            <v>100</v>
          </cell>
        </row>
        <row r="73">
          <cell r="G73">
            <v>40001</v>
          </cell>
          <cell r="H73">
            <v>140</v>
          </cell>
        </row>
        <row r="74">
          <cell r="G74">
            <v>62501</v>
          </cell>
          <cell r="H74">
            <v>140</v>
          </cell>
        </row>
        <row r="75">
          <cell r="G75">
            <v>80001</v>
          </cell>
          <cell r="H75">
            <v>140</v>
          </cell>
        </row>
        <row r="76">
          <cell r="G76">
            <v>100001</v>
          </cell>
          <cell r="H76">
            <v>140</v>
          </cell>
        </row>
        <row r="77">
          <cell r="B77">
            <v>0</v>
          </cell>
          <cell r="C77">
            <v>150</v>
          </cell>
          <cell r="G77">
            <v>150001</v>
          </cell>
          <cell r="H77">
            <v>150</v>
          </cell>
        </row>
        <row r="78">
          <cell r="B78">
            <v>5001</v>
          </cell>
          <cell r="C78">
            <v>150</v>
          </cell>
          <cell r="G78">
            <v>200001</v>
          </cell>
          <cell r="H78">
            <v>150</v>
          </cell>
        </row>
        <row r="79">
          <cell r="B79">
            <v>25001</v>
          </cell>
          <cell r="C79">
            <v>150</v>
          </cell>
          <cell r="G79">
            <v>250001</v>
          </cell>
          <cell r="H79">
            <v>170</v>
          </cell>
        </row>
        <row r="80">
          <cell r="B80">
            <v>40001</v>
          </cell>
          <cell r="C80">
            <v>150</v>
          </cell>
          <cell r="G80">
            <v>350001</v>
          </cell>
          <cell r="H80">
            <v>170</v>
          </cell>
        </row>
        <row r="81">
          <cell r="B81">
            <v>62501</v>
          </cell>
          <cell r="C81">
            <v>150</v>
          </cell>
        </row>
        <row r="82">
          <cell r="B82">
            <v>80001</v>
          </cell>
          <cell r="C82">
            <v>150</v>
          </cell>
        </row>
        <row r="83">
          <cell r="B83">
            <v>100001</v>
          </cell>
          <cell r="C83">
            <v>150</v>
          </cell>
          <cell r="G83">
            <v>0</v>
          </cell>
          <cell r="H83">
            <v>75</v>
          </cell>
        </row>
        <row r="84">
          <cell r="B84">
            <v>150001</v>
          </cell>
          <cell r="C84">
            <v>150</v>
          </cell>
          <cell r="G84">
            <v>5000</v>
          </cell>
          <cell r="H84">
            <v>75</v>
          </cell>
        </row>
        <row r="85">
          <cell r="B85">
            <v>200001</v>
          </cell>
          <cell r="C85">
            <v>150</v>
          </cell>
          <cell r="G85">
            <v>25001</v>
          </cell>
          <cell r="H85">
            <v>75</v>
          </cell>
        </row>
        <row r="86">
          <cell r="B86">
            <v>250001</v>
          </cell>
          <cell r="C86">
            <v>150</v>
          </cell>
          <cell r="G86">
            <v>40001</v>
          </cell>
          <cell r="H86">
            <v>75</v>
          </cell>
        </row>
        <row r="87">
          <cell r="B87">
            <v>350001</v>
          </cell>
          <cell r="C87">
            <v>150</v>
          </cell>
          <cell r="G87">
            <v>62501</v>
          </cell>
          <cell r="H87">
            <v>75</v>
          </cell>
        </row>
        <row r="92">
          <cell r="G92">
            <v>5000</v>
          </cell>
          <cell r="H92">
            <v>500</v>
          </cell>
        </row>
        <row r="93">
          <cell r="G93">
            <v>25001</v>
          </cell>
          <cell r="H93">
            <v>500</v>
          </cell>
        </row>
        <row r="94">
          <cell r="B94">
            <v>0</v>
          </cell>
          <cell r="C94">
            <v>0</v>
          </cell>
          <cell r="G94">
            <v>40001</v>
          </cell>
          <cell r="H94">
            <v>500</v>
          </cell>
        </row>
        <row r="95">
          <cell r="B95">
            <v>350001</v>
          </cell>
          <cell r="C95">
            <v>0</v>
          </cell>
          <cell r="G95">
            <v>62501</v>
          </cell>
          <cell r="H95">
            <v>500</v>
          </cell>
        </row>
        <row r="96">
          <cell r="G96">
            <v>80001</v>
          </cell>
          <cell r="H96">
            <v>500</v>
          </cell>
        </row>
        <row r="97">
          <cell r="G97">
            <v>100001</v>
          </cell>
          <cell r="H97">
            <v>500</v>
          </cell>
        </row>
        <row r="98">
          <cell r="G98">
            <v>150001</v>
          </cell>
          <cell r="H98">
            <v>500</v>
          </cell>
        </row>
        <row r="99">
          <cell r="G99">
            <v>200001</v>
          </cell>
          <cell r="H99">
            <v>500</v>
          </cell>
        </row>
        <row r="100">
          <cell r="G100">
            <v>250001</v>
          </cell>
          <cell r="H100">
            <v>500</v>
          </cell>
        </row>
        <row r="101">
          <cell r="G101">
            <v>350001</v>
          </cell>
          <cell r="H101">
            <v>500</v>
          </cell>
        </row>
      </sheetData>
      <sheetData sheetId="10"/>
      <sheetData sheetId="11"/>
      <sheetData sheetId="12"/>
      <sheetData sheetId="13"/>
      <sheetData sheetId="14"/>
      <sheetData sheetId="15"/>
      <sheetData sheetId="16">
        <row r="6">
          <cell r="B6" t="str">
            <v>AC HOMES PANAMA</v>
          </cell>
          <cell r="F6" t="str">
            <v>AGROGANADERA DON BOSCO, S.A.</v>
          </cell>
        </row>
        <row r="7">
          <cell r="B7" t="str">
            <v>ADCO HABITAT</v>
          </cell>
          <cell r="F7" t="str">
            <v>AGROGANADERA MARELISA, S.A.</v>
          </cell>
        </row>
        <row r="8">
          <cell r="B8" t="str">
            <v>AH GRUPO INMOBILIARIO</v>
          </cell>
          <cell r="F8" t="str">
            <v>AGROGANADERA NUEVO SAN JUAN, S.A.</v>
          </cell>
        </row>
        <row r="9">
          <cell r="B9" t="str">
            <v>ANTOJO INMOBILIARIO, S.A.</v>
          </cell>
          <cell r="F9" t="str">
            <v>AGROGANADERA PRADO, S.A.</v>
          </cell>
        </row>
        <row r="10">
          <cell r="B10" t="str">
            <v>ARRAIJAN COUNTRY CLUB, S.A.</v>
          </cell>
          <cell r="F10" t="str">
            <v>AGROGANADERA SANTA INES, S.A.</v>
          </cell>
        </row>
        <row r="11">
          <cell r="B11" t="str">
            <v>BARCELONA HOLDINGS CORP.</v>
          </cell>
          <cell r="F11" t="str">
            <v>AGROGANADERA SANTA TERESA, S.A.</v>
          </cell>
        </row>
        <row r="12">
          <cell r="B12" t="str">
            <v>BARLOVENTO DEL ESTE, S.A.</v>
          </cell>
          <cell r="F12" t="str">
            <v>AGROGANADERA SANTIAGO J&amp;J, S.A.</v>
          </cell>
        </row>
        <row r="13">
          <cell r="B13" t="str">
            <v>BIENES RAICES HALLMAN, S.A.</v>
          </cell>
          <cell r="F13" t="str">
            <v>ANAJULA, SOCIEDAD ANONIMA</v>
          </cell>
        </row>
        <row r="14">
          <cell r="B14" t="str">
            <v>BOQUETE HIGHLANDS, S.A.</v>
          </cell>
          <cell r="F14" t="str">
            <v>BOQUERON DEVELOPMENT, S.A.</v>
          </cell>
        </row>
        <row r="15">
          <cell r="B15" t="str">
            <v>CASAS DE PANAMA, S.A.</v>
          </cell>
          <cell r="F15" t="str">
            <v>C &amp; G ARQUITECTOS, S.A.</v>
          </cell>
        </row>
        <row r="16">
          <cell r="B16" t="str">
            <v>CASAS PACIFICAS, S.A.</v>
          </cell>
          <cell r="F16" t="str">
            <v>CASAS DEL NORTE, S.A.</v>
          </cell>
        </row>
        <row r="17">
          <cell r="B17" t="str">
            <v>COLINAS DEL SOL, S.A.</v>
          </cell>
          <cell r="F17" t="str">
            <v>CEMANIN, S. A.</v>
          </cell>
        </row>
        <row r="18">
          <cell r="B18" t="str">
            <v>COMPAÑIA DE LEFEVRE, S. A.</v>
          </cell>
          <cell r="F18" t="str">
            <v>CONCAPITAL</v>
          </cell>
        </row>
        <row r="19">
          <cell r="B19" t="str">
            <v>CONCAPITAL CORP.</v>
          </cell>
          <cell r="F19" t="str">
            <v>CONCRETOS SAN JUAN, S.A.</v>
          </cell>
        </row>
        <row r="20">
          <cell r="B20" t="str">
            <v>CONSORCIO VILLAS DE PEDREGAL, S.A.</v>
          </cell>
          <cell r="F20" t="str">
            <v>CONSTRUCTORA BIENES RAICES TROPICALES, S.A.</v>
          </cell>
        </row>
        <row r="21">
          <cell r="B21" t="str">
            <v>CONSTRUCTORA RAMI, S.A.</v>
          </cell>
          <cell r="F21" t="str">
            <v>CONSTRUCTORA METROPOLITANA, S.A.</v>
          </cell>
        </row>
        <row r="22">
          <cell r="B22" t="str">
            <v>CONSTRUCTORA SUAREZ, S.A.</v>
          </cell>
          <cell r="F22" t="str">
            <v>CONSTRUCTORA SALOMON</v>
          </cell>
        </row>
        <row r="23">
          <cell r="B23" t="str">
            <v>COQUITO HILLS, S.A.</v>
          </cell>
          <cell r="F23" t="str">
            <v>CONSTRUCTORA SFM,S.A.</v>
          </cell>
        </row>
        <row r="24">
          <cell r="B24" t="str">
            <v>CORIN BUSINESS, S.A.  (PH 4 HORIZONTES)</v>
          </cell>
          <cell r="F24" t="str">
            <v>CONSTRUCTORA TIA MARIA, S.A.</v>
          </cell>
        </row>
        <row r="25">
          <cell r="B25" t="str">
            <v>DESARROLLADORA ALTOS DEL TIGRE, S.A.</v>
          </cell>
          <cell r="F25" t="str">
            <v>D&amp;R GROUP, INC.</v>
          </cell>
        </row>
        <row r="26">
          <cell r="B26" t="str">
            <v>DESARROLLADORA TORRES DEL ESTE, S.A.</v>
          </cell>
          <cell r="F26" t="str">
            <v>DESARROLLADORA LOS SANTOS, S.A.</v>
          </cell>
        </row>
        <row r="27">
          <cell r="B27" t="str">
            <v>DESARROLLO DEL COUNTRY, S.A.</v>
          </cell>
          <cell r="F27" t="str">
            <v>DESARROLLO INMOBILIARIO LA MATA, S.A.</v>
          </cell>
        </row>
        <row r="28">
          <cell r="B28" t="str">
            <v>DESARROLLO LA MITRA, S.A.</v>
          </cell>
          <cell r="F28" t="str">
            <v>DESARROLLO PERIFERICO, S.A.</v>
          </cell>
        </row>
        <row r="29">
          <cell r="B29" t="str">
            <v>DESARROLLO THE HILLS, S. DE RL</v>
          </cell>
          <cell r="F29" t="str">
            <v>DESARROLLO URBANISTICO DEL ATLANTICO</v>
          </cell>
        </row>
        <row r="30">
          <cell r="B30" t="str">
            <v>DESARROLLO ZAR, S.A.</v>
          </cell>
          <cell r="F30" t="str">
            <v>DESARROLLOS FEVADEL, S.A.</v>
          </cell>
        </row>
        <row r="31">
          <cell r="B31" t="str">
            <v>DIVISA</v>
          </cell>
          <cell r="F31" t="str">
            <v>ECONOCASAS, S.A.</v>
          </cell>
        </row>
        <row r="32">
          <cell r="B32" t="str">
            <v>EDIFICACIONES RAO, S.A.</v>
          </cell>
          <cell r="F32" t="str">
            <v>EL ROBLEDAL, SOCIEDAD ANONIMA</v>
          </cell>
        </row>
        <row r="33">
          <cell r="B33" t="str">
            <v>ESTRUCTURAS ALFA, S.A.</v>
          </cell>
          <cell r="F33" t="str">
            <v>EL SITIO COMPANY, S.A.</v>
          </cell>
        </row>
        <row r="34">
          <cell r="B34" t="str">
            <v>GOLDEN ESTATES, S.A.</v>
          </cell>
          <cell r="F34" t="str">
            <v>ELTAL, S.A.</v>
          </cell>
        </row>
        <row r="35">
          <cell r="B35" t="str">
            <v>GRACE, S.A.</v>
          </cell>
          <cell r="F35" t="str">
            <v>EMPRESAS SOLANG, S. A.</v>
          </cell>
        </row>
        <row r="36">
          <cell r="B36" t="str">
            <v>GREEN CITY DEVELOPMENT, S.A.</v>
          </cell>
          <cell r="F36" t="str">
            <v>ENCARNACION CORREA SOLIS</v>
          </cell>
        </row>
        <row r="37">
          <cell r="B37" t="str">
            <v>GRUPO ALTOS DEL BOSQUE, S.A.</v>
          </cell>
          <cell r="F37" t="str">
            <v>EPIMENIDES ANTONIO DOMINGUEZ CEDEÑO</v>
          </cell>
        </row>
        <row r="38">
          <cell r="B38" t="str">
            <v>GRUPO EQUINOX PRO</v>
          </cell>
          <cell r="F38" t="str">
            <v>FELIPE ALEJANDRO VIRZI LOPEZ</v>
          </cell>
        </row>
        <row r="39">
          <cell r="B39" t="str">
            <v>GRUPO GESTIONA B &amp; V, S.A.</v>
          </cell>
          <cell r="F39" t="str">
            <v>FINANZAS VOX, S.A.</v>
          </cell>
        </row>
        <row r="40">
          <cell r="B40" t="str">
            <v>GRUPO INMOBILIARIO UNIVERSAL, S.A.</v>
          </cell>
          <cell r="F40" t="str">
            <v>GRALUIRA, S.A.</v>
          </cell>
        </row>
        <row r="41">
          <cell r="B41" t="str">
            <v>GRUPO LEFEVRE</v>
          </cell>
          <cell r="F41" t="str">
            <v>GRUPO SPIEGEL CARRIZO, S.A.</v>
          </cell>
        </row>
        <row r="42">
          <cell r="B42" t="str">
            <v>GRUPO OTI PANAMA, S.A.</v>
          </cell>
          <cell r="F42" t="str">
            <v>HACIENDA LOS MOLINOS BOQUETE</v>
          </cell>
        </row>
        <row r="43">
          <cell r="B43" t="str">
            <v>GRUPO PRO</v>
          </cell>
          <cell r="F43" t="str">
            <v>HIJAZ &amp; ASOCIADOS, S.A.</v>
          </cell>
        </row>
        <row r="44">
          <cell r="B44" t="str">
            <v>GRUPO PROVIVIENDA, S.A.</v>
          </cell>
          <cell r="F44" t="str">
            <v>IDC CONSTRUCCIONES DE PANAMA, S.A.</v>
          </cell>
        </row>
        <row r="45">
          <cell r="B45" t="str">
            <v>GRUPO ROBLE DE PANAMA, S.A.</v>
          </cell>
          <cell r="F45" t="str">
            <v>INMOBILIARIA HERZA, S.A.</v>
          </cell>
        </row>
        <row r="46">
          <cell r="B46" t="str">
            <v>GRUPO V &amp; V</v>
          </cell>
          <cell r="F46" t="str">
            <v>INMOBILIARIA R &amp; R, S.A.</v>
          </cell>
        </row>
        <row r="47">
          <cell r="B47" t="str">
            <v>HAUS, S.A.</v>
          </cell>
          <cell r="F47" t="str">
            <v>INMOBILIARIA R Y R, S.A.</v>
          </cell>
        </row>
        <row r="48">
          <cell r="B48" t="str">
            <v>HOGLAND HOLDING, INC.</v>
          </cell>
          <cell r="F48" t="str">
            <v>INMOBILIARIA TELLO SAEZ, S. A</v>
          </cell>
        </row>
        <row r="49">
          <cell r="B49" t="str">
            <v>IAR GROUP, S.A.</v>
          </cell>
          <cell r="F49" t="str">
            <v>INMOBILIARIA VASQUEZ, S.A.</v>
          </cell>
        </row>
        <row r="50">
          <cell r="B50" t="str">
            <v>INMOBILIARIA AMARILYS, S.A.</v>
          </cell>
          <cell r="F50" t="str">
            <v>INMUEBLES DAVID, S.A.</v>
          </cell>
        </row>
        <row r="51">
          <cell r="B51" t="str">
            <v>INMOBILIARIA CASAS GRANDES, S.A.</v>
          </cell>
          <cell r="F51" t="str">
            <v>INVERSIONES CHEVI, S.A. (CHEVISA)</v>
          </cell>
        </row>
        <row r="52">
          <cell r="B52" t="str">
            <v>INMOBILIARIA CIELO AZUL, S.A.</v>
          </cell>
          <cell r="F52" t="str">
            <v>INVERSIONES DON MINGO, S.A.</v>
          </cell>
        </row>
        <row r="53">
          <cell r="B53" t="str">
            <v>INMOBILIARIA CONSTRUCTEC, S.A.</v>
          </cell>
          <cell r="F53" t="str">
            <v>INVERSIONES GRUPO CC, S.A.</v>
          </cell>
        </row>
        <row r="54">
          <cell r="B54" t="str">
            <v>INMOBILIARIA G.S. DEL MAR, S.A.</v>
          </cell>
          <cell r="F54" t="str">
            <v>INVERSIONES JUAN &amp; EMANUEL, S.A.</v>
          </cell>
        </row>
        <row r="55">
          <cell r="B55" t="str">
            <v>INMOBILIARIA GREEN FIELDS, S.A.</v>
          </cell>
          <cell r="F55" t="str">
            <v>INVERSIONES MIRODEL, S.A.</v>
          </cell>
        </row>
        <row r="56">
          <cell r="B56" t="str">
            <v>INMOBILIARIA LAS VERDES, S.A.</v>
          </cell>
          <cell r="F56" t="str">
            <v>INVERSIONES TEMEDA, S.A.</v>
          </cell>
        </row>
        <row r="57">
          <cell r="B57" t="str">
            <v>INMOBILIARIA PACIFIC HILLS</v>
          </cell>
          <cell r="F57" t="str">
            <v>JORGE ARMANDO RAMIREZ</v>
          </cell>
        </row>
        <row r="58">
          <cell r="B58" t="str">
            <v>INMOBILIARIA RESIDENCIAL, S.A.</v>
          </cell>
          <cell r="F58" t="str">
            <v>JUSTO FABIO SPIEGEL ABADIA</v>
          </cell>
        </row>
        <row r="59">
          <cell r="B59" t="str">
            <v>INMOBILIARIA VALARCO, S.A. (HATO MONTAÑA)</v>
          </cell>
          <cell r="F59" t="str">
            <v>LAURA ESTHER RODRIGUEZ DE DOMINGUEZ</v>
          </cell>
        </row>
        <row r="60">
          <cell r="B60" t="str">
            <v>INMOBILIARIA YITSELLI</v>
          </cell>
          <cell r="F60" t="str">
            <v>LILIANA JANNETH RODRIGUEZ de VASQUEZ</v>
          </cell>
        </row>
        <row r="61">
          <cell r="B61" t="str">
            <v>INTERPLUS PANAMA</v>
          </cell>
          <cell r="F61" t="str">
            <v>LIMAYON,S.A.</v>
          </cell>
        </row>
        <row r="62">
          <cell r="B62" t="str">
            <v>INVERSIONES DAVIVIENDA, S.A.</v>
          </cell>
          <cell r="F62" t="str">
            <v>MANUEL ARTURO PEREZ TELLO</v>
          </cell>
        </row>
        <row r="63">
          <cell r="B63" t="str">
            <v>INVERSIONES NATASHA, S.A.</v>
          </cell>
          <cell r="F63" t="str">
            <v>MATERIALES JOSE MORENO Y CIA, S.A.</v>
          </cell>
        </row>
        <row r="64">
          <cell r="B64" t="str">
            <v>INVERSIONES RODIRAM, S.A.</v>
          </cell>
          <cell r="F64" t="str">
            <v>MILU, S.A.</v>
          </cell>
        </row>
        <row r="65">
          <cell r="B65" t="str">
            <v>INVERSIONES TEMPTATION, S.A.</v>
          </cell>
          <cell r="F65" t="str">
            <v>MULTIKASAS, S.A</v>
          </cell>
        </row>
        <row r="66">
          <cell r="B66" t="str">
            <v>INVERSIONES VENTAVIV, S.A.</v>
          </cell>
          <cell r="F66" t="str">
            <v>MULTISERVICIOS LUNA, S.A.</v>
          </cell>
        </row>
        <row r="67">
          <cell r="B67" t="str">
            <v>INVERSIONES Y DESARROLLO OESTE, S.A.</v>
          </cell>
          <cell r="F67" t="str">
            <v>MULTIVENTAS JFRIAS, S.A.</v>
          </cell>
        </row>
        <row r="68">
          <cell r="B68" t="str">
            <v>LANDERS GRUPO INMOBILIARIO, S.A.</v>
          </cell>
          <cell r="F68" t="str">
            <v>N-TIERRA, S.A.</v>
          </cell>
        </row>
        <row r="69">
          <cell r="B69" t="str">
            <v>LONDON &amp; REGIONAL (PANAMA), S.A.</v>
          </cell>
          <cell r="F69" t="str">
            <v>OH GROUP, S.A.</v>
          </cell>
        </row>
        <row r="70">
          <cell r="B70" t="str">
            <v>MYSTIC TOWERS, S.A.</v>
          </cell>
          <cell r="F70" t="str">
            <v>POZNAN CORP.</v>
          </cell>
        </row>
        <row r="71">
          <cell r="B71" t="str">
            <v>NELO, S.A.</v>
          </cell>
          <cell r="F71" t="str">
            <v>PRETTY HOUSES, S.A.</v>
          </cell>
        </row>
        <row r="72">
          <cell r="B72" t="str">
            <v>PANAMA LAGO MAR, S.A.</v>
          </cell>
          <cell r="F72" t="str">
            <v>PROMOTORA COCLESANA, S.A.</v>
          </cell>
        </row>
        <row r="73">
          <cell r="B73" t="str">
            <v>PANAPROJECTS, S.A.</v>
          </cell>
          <cell r="F73" t="str">
            <v>PROMOTORA DEL SUR, S.A.</v>
          </cell>
        </row>
        <row r="74">
          <cell r="B74" t="str">
            <v>PARAMOUNT DEVELOPMENT, S.A.</v>
          </cell>
          <cell r="F74" t="str">
            <v>PROMOTORA LA BALSA, S.A.</v>
          </cell>
        </row>
        <row r="75">
          <cell r="B75" t="str">
            <v>PRADERA INMOBILIARIA</v>
          </cell>
          <cell r="F75" t="str">
            <v>PROMOTORA MARIA GLORIA, S.A.</v>
          </cell>
        </row>
        <row r="76">
          <cell r="B76" t="str">
            <v>PRADERAS DE SAN ANTONIO, S.A.</v>
          </cell>
          <cell r="F76" t="str">
            <v>PROMOTORA VILLA SAN CARLITOS</v>
          </cell>
        </row>
        <row r="77">
          <cell r="B77" t="str">
            <v>PROCASA</v>
          </cell>
          <cell r="F77" t="str">
            <v>PROYECTOS Y DESARROLLOS DE CASAS, S.A.</v>
          </cell>
        </row>
        <row r="78">
          <cell r="B78" t="str">
            <v>PRODECASA</v>
          </cell>
          <cell r="F78" t="str">
            <v>RESIDENCIAL EL MESON, S.A.</v>
          </cell>
        </row>
        <row r="79">
          <cell r="B79" t="str">
            <v>PROMOCIONES Y PROYECTOS URBANOS, S.A.</v>
          </cell>
          <cell r="F79" t="str">
            <v>RIJADA HOLDING, S.A.</v>
          </cell>
        </row>
        <row r="80">
          <cell r="B80" t="str">
            <v>PROMOTORA ADP S.A.</v>
          </cell>
          <cell r="F80" t="str">
            <v>ROGELIO ORLANDO OLARTE CORREA</v>
          </cell>
        </row>
        <row r="81">
          <cell r="B81" t="str">
            <v>PROMOTORA BUENA VISTA, S.A.</v>
          </cell>
          <cell r="F81" t="str">
            <v>SILKA CELIBETH VILLARREAL MEN</v>
          </cell>
        </row>
        <row r="82">
          <cell r="B82" t="str">
            <v>PROMOTORA COSMOPOLITAN CORP.</v>
          </cell>
          <cell r="F82" t="str">
            <v>SPIEGEL CARRIZO, S.A.(SPICA, S.A.)</v>
          </cell>
        </row>
        <row r="83">
          <cell r="B83" t="str">
            <v>PROMOTORA DORADO VILLAGE, S.A.</v>
          </cell>
          <cell r="F83" t="str">
            <v>TECNICOS EN CONSTRUCCIONES GENERALES, S.A. (TECOGSA)</v>
          </cell>
        </row>
        <row r="84">
          <cell r="B84" t="str">
            <v>PROMOTORA HOGARES, S.A.</v>
          </cell>
          <cell r="F84" t="str">
            <v>TERRENOS PENONOME, S.A.</v>
          </cell>
        </row>
        <row r="85">
          <cell r="B85" t="str">
            <v>PROMOTORA HOLILAN COMPANY</v>
          </cell>
          <cell r="F85" t="str">
            <v>UNHABITAT, S.A.</v>
          </cell>
        </row>
        <row r="86">
          <cell r="B86" t="str">
            <v>PROMOTORA LLANO HERMOSO, S.A.</v>
          </cell>
        </row>
        <row r="87">
          <cell r="B87" t="str">
            <v>PROMOTORA NEW WEST, S.A.</v>
          </cell>
        </row>
        <row r="88">
          <cell r="B88" t="str">
            <v>PROMOTORA SANTA BARBARA, S.A.</v>
          </cell>
        </row>
        <row r="89">
          <cell r="B89" t="str">
            <v>PROMOTORA TEN TOWER, S.A.</v>
          </cell>
        </row>
        <row r="90">
          <cell r="B90" t="str">
            <v>PROMOTORA TUCASA (PRORED)</v>
          </cell>
        </row>
        <row r="91">
          <cell r="B91" t="str">
            <v>PROMOTORA VERDE REAL, S.A.</v>
          </cell>
        </row>
        <row r="92">
          <cell r="B92" t="str">
            <v>PROMOTORA VILLAS DEL ESTE, S.A.</v>
          </cell>
        </row>
        <row r="93">
          <cell r="B93" t="str">
            <v>PUNTA PARAISO VILLAGE, S.A.</v>
          </cell>
        </row>
        <row r="94">
          <cell r="B94" t="str">
            <v>RESIDENCIAL HORIZONTES, S.A.</v>
          </cell>
        </row>
        <row r="95">
          <cell r="B95" t="str">
            <v>RESIDENCIAL PORTAL DEL BOSQUE, S.A.</v>
          </cell>
        </row>
        <row r="96">
          <cell r="B96" t="str">
            <v>SABANAS HOLDINGS, S.A.</v>
          </cell>
        </row>
        <row r="97">
          <cell r="B97" t="str">
            <v>SUCASA</v>
          </cell>
        </row>
        <row r="98">
          <cell r="B98" t="str">
            <v>THE GROUP, INC.</v>
          </cell>
        </row>
        <row r="99">
          <cell r="B99" t="str">
            <v>THE HERITAGE BUSINESS CORP.</v>
          </cell>
        </row>
        <row r="100">
          <cell r="B100" t="str">
            <v>THE ONE ASSETS CORP.</v>
          </cell>
        </row>
        <row r="101">
          <cell r="B101" t="str">
            <v>TU VIVIENDA</v>
          </cell>
        </row>
        <row r="102">
          <cell r="B102" t="str">
            <v>UNIVERSAL RED HILLS CORP.</v>
          </cell>
        </row>
        <row r="103">
          <cell r="B103" t="str">
            <v>URBANIZADORA EL NARANJAL</v>
          </cell>
        </row>
        <row r="104">
          <cell r="B104" t="str">
            <v>VIA TERTIA PANAMA, S.A.</v>
          </cell>
        </row>
        <row r="105">
          <cell r="B105" t="str">
            <v>VICTORIA INVESTMENT REALTY, S.A.</v>
          </cell>
        </row>
        <row r="106">
          <cell r="B106" t="str">
            <v>VILLAGE DEL BOSQUE, S.A.</v>
          </cell>
        </row>
        <row r="107">
          <cell r="B107" t="str">
            <v>VIVIENDAS DE PRIMERA</v>
          </cell>
        </row>
        <row r="108">
          <cell r="B108" t="str">
            <v>XONTAL, S.A.</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álogos"/>
      <sheetName val="Cálculos"/>
      <sheetName val="Programa"/>
      <sheetName val="Comisiones_Cargos"/>
      <sheetName val="TabGtos"/>
      <sheetName val="GtosFwla"/>
      <sheetName val="Hoja_de_Cotización"/>
      <sheetName val="Impresión"/>
      <sheetName val="Promotores Hacen Escritura"/>
      <sheetName val="Proyectos NoFinanciados x Banco"/>
      <sheetName val="Requisitos-Ley Preferencial"/>
      <sheetName val="Compra de vivienda nueva"/>
      <sheetName val="Compra de vivienda Usada"/>
      <sheetName val="Compra de Vivvienda Vacacional"/>
      <sheetName val="Casa Cash"/>
      <sheetName val="Traspaso de Otro Banco"/>
      <sheetName val="Cambio de dueño deudor"/>
      <sheetName val="Interino de Construcción"/>
      <sheetName val="Compra de Terreno"/>
      <sheetName val="Solicitud_SegVida"/>
    </sheetNames>
    <sheetDataSet>
      <sheetData sheetId="0">
        <row r="2">
          <cell r="A2" t="str">
            <v>ELIJA UNA OPCIÓN</v>
          </cell>
          <cell r="B2" t="str">
            <v>Compra de Vivienda</v>
          </cell>
          <cell r="F2" t="str">
            <v>Casa</v>
          </cell>
          <cell r="V2" t="str">
            <v>Dueño y Deudor</v>
          </cell>
          <cell r="AD2" t="str">
            <v>SI</v>
          </cell>
          <cell r="AE2" t="str">
            <v>SI</v>
          </cell>
        </row>
        <row r="3">
          <cell r="A3" t="str">
            <v>1 - CASA MATRIZ</v>
          </cell>
          <cell r="B3" t="str">
            <v>Casa Cash</v>
          </cell>
          <cell r="F3" t="str">
            <v>Apartamento</v>
          </cell>
          <cell r="G3" t="str">
            <v>Ley Preferencial</v>
          </cell>
          <cell r="H3">
            <v>1</v>
          </cell>
          <cell r="I3" t="str">
            <v>Ley Preferencial</v>
          </cell>
          <cell r="J3" t="str">
            <v>Ley Preferencial</v>
          </cell>
          <cell r="K3" t="str">
            <v>Individual</v>
          </cell>
          <cell r="L3" t="str">
            <v>Residencial</v>
          </cell>
          <cell r="M3">
            <v>1</v>
          </cell>
          <cell r="N3" t="str">
            <v>Interino</v>
          </cell>
          <cell r="O3" t="str">
            <v>Residencial</v>
          </cell>
          <cell r="P3" t="str">
            <v>Residencial</v>
          </cell>
          <cell r="Q3" t="str">
            <v>Segunda Hipoteca</v>
          </cell>
          <cell r="R3" t="str">
            <v>Vacacional</v>
          </cell>
          <cell r="S3" t="str">
            <v>Casa</v>
          </cell>
          <cell r="T3">
            <v>1</v>
          </cell>
          <cell r="V3" t="str">
            <v>Deudor</v>
          </cell>
          <cell r="W3" t="str">
            <v>Nueva</v>
          </cell>
          <cell r="X3" t="str">
            <v>Nueva</v>
          </cell>
          <cell r="Y3" t="str">
            <v>Usada</v>
          </cell>
          <cell r="Z3" t="str">
            <v>Nueva</v>
          </cell>
          <cell r="AA3">
            <v>1</v>
          </cell>
          <cell r="AB3" t="str">
            <v>SI</v>
          </cell>
          <cell r="AC3">
            <v>1</v>
          </cell>
          <cell r="AD3" t="str">
            <v>NO</v>
          </cell>
          <cell r="AE3" t="str">
            <v>NO</v>
          </cell>
        </row>
        <row r="4">
          <cell r="A4" t="str">
            <v>2 - PAITILLA</v>
          </cell>
          <cell r="B4" t="str">
            <v>Compra Vivienda Vacacional</v>
          </cell>
          <cell r="G4" t="str">
            <v>Individual</v>
          </cell>
          <cell r="H4">
            <v>2</v>
          </cell>
          <cell r="I4" t="str">
            <v>Individual</v>
          </cell>
          <cell r="L4" t="str">
            <v>Reposeído</v>
          </cell>
          <cell r="M4">
            <v>2</v>
          </cell>
          <cell r="P4" t="str">
            <v>Reposeído</v>
          </cell>
          <cell r="Q4" t="str">
            <v>Refinanciamiento</v>
          </cell>
          <cell r="S4" t="str">
            <v>Apartamento</v>
          </cell>
          <cell r="T4">
            <v>2</v>
          </cell>
          <cell r="V4" t="str">
            <v>Dueño</v>
          </cell>
          <cell r="X4" t="str">
            <v>Usada</v>
          </cell>
          <cell r="Z4" t="str">
            <v>Usada</v>
          </cell>
          <cell r="AA4">
            <v>2</v>
          </cell>
          <cell r="AB4" t="str">
            <v>NO</v>
          </cell>
          <cell r="AC4">
            <v>2</v>
          </cell>
        </row>
        <row r="5">
          <cell r="A5" t="str">
            <v>3 - EL DORADO</v>
          </cell>
          <cell r="B5" t="str">
            <v>Traspaso de Otro Banco</v>
          </cell>
          <cell r="L5" t="str">
            <v>Interino</v>
          </cell>
          <cell r="M5">
            <v>3</v>
          </cell>
          <cell r="Q5" t="str">
            <v>Residencial</v>
          </cell>
          <cell r="V5" t="str">
            <v>Fiador Solidario</v>
          </cell>
        </row>
        <row r="6">
          <cell r="A6" t="str">
            <v>4 - VIA ARGENTINA</v>
          </cell>
          <cell r="B6" t="str">
            <v>Traspaso por compra de vivienda</v>
          </cell>
          <cell r="L6">
            <v>0</v>
          </cell>
          <cell r="M6">
            <v>0</v>
          </cell>
        </row>
        <row r="7">
          <cell r="A7" t="str">
            <v>5 - VIA PORRAS</v>
          </cell>
          <cell r="B7" t="str">
            <v>Cambio de Dueño y Deudor</v>
          </cell>
          <cell r="L7" t="str">
            <v>Refinanciamiento</v>
          </cell>
          <cell r="M7">
            <v>4</v>
          </cell>
        </row>
        <row r="8">
          <cell r="A8" t="str">
            <v>6 - EL INGENIO</v>
          </cell>
          <cell r="B8" t="str">
            <v>Extensión Plazo</v>
          </cell>
          <cell r="L8" t="str">
            <v>Segunda Hipoteca</v>
          </cell>
          <cell r="M8">
            <v>5</v>
          </cell>
          <cell r="V8" t="str">
            <v>Dueño y Deudor</v>
          </cell>
          <cell r="W8">
            <v>1</v>
          </cell>
        </row>
        <row r="9">
          <cell r="A9" t="str">
            <v>7 - CHANIS</v>
          </cell>
          <cell r="B9" t="str">
            <v>Construcción</v>
          </cell>
          <cell r="L9" t="str">
            <v>Vacacional</v>
          </cell>
          <cell r="M9">
            <v>6</v>
          </cell>
          <cell r="V9" t="str">
            <v>Deudor</v>
          </cell>
          <cell r="W9">
            <v>2</v>
          </cell>
        </row>
        <row r="10">
          <cell r="A10" t="str">
            <v>8 - PLAZA TOCUMEN</v>
          </cell>
          <cell r="B10" t="str">
            <v>Cambio de Dueño</v>
          </cell>
          <cell r="V10" t="str">
            <v>Dueño</v>
          </cell>
          <cell r="W10">
            <v>3</v>
          </cell>
        </row>
        <row r="11">
          <cell r="A11" t="str">
            <v>9 - SANTIAGO</v>
          </cell>
          <cell r="B11" t="str">
            <v>Cambio de Duedor</v>
          </cell>
          <cell r="E11" t="str">
            <v>SI</v>
          </cell>
          <cell r="F11">
            <v>1</v>
          </cell>
          <cell r="V11" t="str">
            <v>Fiador Solidario</v>
          </cell>
          <cell r="W11">
            <v>4</v>
          </cell>
        </row>
        <row r="12">
          <cell r="A12" t="str">
            <v>10 - OBARRIO</v>
          </cell>
          <cell r="B12" t="str">
            <v>Cambio de Fiador Solidario</v>
          </cell>
          <cell r="E12" t="str">
            <v>NO</v>
          </cell>
          <cell r="F12">
            <v>0</v>
          </cell>
        </row>
        <row r="13">
          <cell r="A13" t="str">
            <v>11 - COLON</v>
          </cell>
        </row>
        <row r="14">
          <cell r="A14" t="str">
            <v>13 - HATO PINTADO</v>
          </cell>
          <cell r="H14" t="str">
            <v>ELIJA UNA OPCION</v>
          </cell>
          <cell r="V14" t="str">
            <v>CSS</v>
          </cell>
          <cell r="W14">
            <v>1</v>
          </cell>
        </row>
        <row r="15">
          <cell r="A15" t="str">
            <v>14 - RIO ABAJO</v>
          </cell>
          <cell r="D15" t="str">
            <v>BG</v>
          </cell>
          <cell r="E15" t="str">
            <v>BG</v>
          </cell>
          <cell r="F15">
            <v>1</v>
          </cell>
          <cell r="H15" t="str">
            <v>FUERZA DE VENTAS SITIO</v>
          </cell>
          <cell r="V15" t="str">
            <v>ACP</v>
          </cell>
          <cell r="W15">
            <v>2</v>
          </cell>
        </row>
        <row r="16">
          <cell r="A16" t="str">
            <v>15 - LA CHORRERA</v>
          </cell>
          <cell r="B16" t="str">
            <v>Compra de Vivienda</v>
          </cell>
          <cell r="C16">
            <v>1</v>
          </cell>
          <cell r="D16" t="str">
            <v>FERIA</v>
          </cell>
          <cell r="E16" t="str">
            <v>FERIA</v>
          </cell>
          <cell r="F16">
            <v>2</v>
          </cell>
          <cell r="H16" t="str">
            <v>FUERZA DE VENTAS MOVIL</v>
          </cell>
        </row>
        <row r="17">
          <cell r="A17" t="str">
            <v>16 - AVENIDA CENTRAL</v>
          </cell>
          <cell r="B17" t="str">
            <v>Casa Cash</v>
          </cell>
          <cell r="C17">
            <v>2</v>
          </cell>
          <cell r="D17" t="str">
            <v>OTROS</v>
          </cell>
          <cell r="E17" t="str">
            <v>OTROS</v>
          </cell>
          <cell r="F17">
            <v>3</v>
          </cell>
          <cell r="H17" t="str">
            <v>FERIAS INSTITUCIONALES</v>
          </cell>
        </row>
        <row r="18">
          <cell r="A18" t="str">
            <v>17 - LOS ANGELES</v>
          </cell>
          <cell r="B18" t="str">
            <v>Compra Vivienda Vacacional</v>
          </cell>
          <cell r="C18">
            <v>3</v>
          </cell>
          <cell r="H18" t="str">
            <v>SUCURSALES</v>
          </cell>
        </row>
        <row r="19">
          <cell r="A19" t="str">
            <v>18 - VILLA LUCRE</v>
          </cell>
          <cell r="B19" t="str">
            <v>Traspaso de Otro Banco</v>
          </cell>
          <cell r="C19">
            <v>4</v>
          </cell>
          <cell r="H19" t="str">
            <v>VENTAS INTERIOR</v>
          </cell>
        </row>
        <row r="20">
          <cell r="A20" t="str">
            <v>19 - LOS ANDES</v>
          </cell>
          <cell r="B20" t="str">
            <v>Traspaso por compra de vivienda</v>
          </cell>
          <cell r="C20">
            <v>5</v>
          </cell>
          <cell r="D20" t="str">
            <v>NO</v>
          </cell>
          <cell r="E20">
            <v>1</v>
          </cell>
          <cell r="H20" t="str">
            <v>SEGMENTO HIGH END</v>
          </cell>
        </row>
        <row r="21">
          <cell r="A21" t="str">
            <v>20 - VIA ESPANA</v>
          </cell>
          <cell r="B21" t="str">
            <v>Cambio de Dueño y Deudor</v>
          </cell>
          <cell r="C21">
            <v>6</v>
          </cell>
          <cell r="D21" t="str">
            <v>SI</v>
          </cell>
          <cell r="E21">
            <v>2</v>
          </cell>
          <cell r="H21" t="str">
            <v>RECURSOS HUMANOS</v>
          </cell>
        </row>
        <row r="22">
          <cell r="A22" t="str">
            <v>21 - AVENIDA CUBA</v>
          </cell>
          <cell r="B22" t="str">
            <v>Extensión Plazo</v>
          </cell>
          <cell r="C22">
            <v>7</v>
          </cell>
          <cell r="H22" t="str">
            <v>PROMOTORES WALK-IN</v>
          </cell>
        </row>
        <row r="23">
          <cell r="A23" t="str">
            <v>22 - CHITRE</v>
          </cell>
          <cell r="B23" t="str">
            <v>Construcción</v>
          </cell>
          <cell r="C23">
            <v>8</v>
          </cell>
          <cell r="H23" t="str">
            <v>RETENCION</v>
          </cell>
        </row>
        <row r="24">
          <cell r="A24" t="str">
            <v>23 - LOS PUEBLOS</v>
          </cell>
          <cell r="B24" t="str">
            <v>Cambio de Dueño</v>
          </cell>
          <cell r="C24">
            <v>9</v>
          </cell>
          <cell r="H24" t="str">
            <v>TELEMERCADEO</v>
          </cell>
        </row>
        <row r="25">
          <cell r="A25" t="str">
            <v>24 - CALLE 50</v>
          </cell>
          <cell r="B25" t="str">
            <v>Cambio de Duedor</v>
          </cell>
          <cell r="C25">
            <v>10</v>
          </cell>
          <cell r="D25" t="str">
            <v>SI</v>
          </cell>
          <cell r="E25">
            <v>1</v>
          </cell>
          <cell r="H25" t="str">
            <v>BIENES REPOSEIDOS</v>
          </cell>
        </row>
        <row r="26">
          <cell r="A26" t="str">
            <v>25 - SUCURSAL DISPONIBLE</v>
          </cell>
          <cell r="B26" t="str">
            <v>Cambio de Fiador Solidario</v>
          </cell>
          <cell r="C26">
            <v>11</v>
          </cell>
          <cell r="D26" t="str">
            <v>NO</v>
          </cell>
          <cell r="E26">
            <v>2</v>
          </cell>
          <cell r="H26" t="str">
            <v>VENTAS CONSUMO</v>
          </cell>
        </row>
        <row r="27">
          <cell r="A27" t="str">
            <v>26 - TRANSISTMICA</v>
          </cell>
          <cell r="H27" t="str">
            <v>CENTRO DE ATENCION AL CLIENTE</v>
          </cell>
        </row>
        <row r="28">
          <cell r="A28" t="str">
            <v>27 - ZONA LIBRE</v>
          </cell>
        </row>
        <row r="29">
          <cell r="A29" t="str">
            <v>29 - PARQUE LEFEVRE</v>
          </cell>
        </row>
        <row r="30">
          <cell r="A30" t="str">
            <v>30 - DAVID</v>
          </cell>
          <cell r="B30" t="str">
            <v>Descuento Directo</v>
          </cell>
          <cell r="C30" t="str">
            <v>Descuento Directo</v>
          </cell>
          <cell r="D30">
            <v>1</v>
          </cell>
        </row>
        <row r="31">
          <cell r="A31" t="str">
            <v>31 - BANCA PRIVADA - BANCO GENERAL</v>
          </cell>
          <cell r="B31" t="str">
            <v>Cargo a Cuenta Ahorro</v>
          </cell>
          <cell r="C31" t="str">
            <v>Cargo a Cuenta Ahorro</v>
          </cell>
          <cell r="D31">
            <v>2</v>
          </cell>
          <cell r="H31" t="str">
            <v>Abona</v>
          </cell>
        </row>
        <row r="32">
          <cell r="A32" t="str">
            <v>32 - PLAZA LAS AMERICAS</v>
          </cell>
          <cell r="B32" t="str">
            <v>Cargo a Cuenta Corriente</v>
          </cell>
          <cell r="C32" t="str">
            <v>Cargo a Cuenta Corriente</v>
          </cell>
          <cell r="D32">
            <v>3</v>
          </cell>
          <cell r="H32" t="str">
            <v>Cancela</v>
          </cell>
        </row>
        <row r="33">
          <cell r="A33" t="str">
            <v>33 - CORONADO</v>
          </cell>
          <cell r="B33" t="str">
            <v>Pago Voluntario</v>
          </cell>
          <cell r="C33" t="str">
            <v>Cargo a Interes Plazo Fijo</v>
          </cell>
          <cell r="D33">
            <v>4</v>
          </cell>
          <cell r="H33" t="str">
            <v>No Cancela</v>
          </cell>
        </row>
        <row r="34">
          <cell r="A34" t="str">
            <v>34 - ALBROOK MALL</v>
          </cell>
          <cell r="C34" t="str">
            <v>Pago Voluntario</v>
          </cell>
          <cell r="D34">
            <v>5</v>
          </cell>
        </row>
        <row r="35">
          <cell r="A35" t="str">
            <v>37 - PENONOME</v>
          </cell>
        </row>
        <row r="36">
          <cell r="A36" t="str">
            <v>38 - ALBROOK</v>
          </cell>
        </row>
        <row r="37">
          <cell r="A37" t="str">
            <v>39 - SUCURSAL DE VISTA ALEGRE</v>
          </cell>
        </row>
        <row r="38">
          <cell r="A38" t="str">
            <v>40 - LAS TABLAS</v>
          </cell>
          <cell r="B38" t="str">
            <v>Primera Residencia</v>
          </cell>
          <cell r="C38" t="str">
            <v>SI</v>
          </cell>
          <cell r="E38" t="str">
            <v>SI</v>
          </cell>
          <cell r="F38">
            <v>1</v>
          </cell>
        </row>
        <row r="39">
          <cell r="A39" t="str">
            <v>41 - 24 DE DICIEMBRE</v>
          </cell>
          <cell r="B39" t="str">
            <v>Segunda Residencia</v>
          </cell>
          <cell r="C39" t="str">
            <v>NO</v>
          </cell>
          <cell r="E39" t="str">
            <v>NO</v>
          </cell>
          <cell r="F39">
            <v>2</v>
          </cell>
        </row>
        <row r="40">
          <cell r="A40" t="str">
            <v>42 - DAVID - TERRONAL</v>
          </cell>
          <cell r="B40" t="str">
            <v>Inversión</v>
          </cell>
        </row>
        <row r="41">
          <cell r="A41" t="str">
            <v>43 - COSTA DEL ESTE</v>
          </cell>
        </row>
        <row r="42">
          <cell r="A42" t="str">
            <v>44 - MULTI PLAZA</v>
          </cell>
        </row>
        <row r="43">
          <cell r="A43" t="str">
            <v>45 - HOSPITAL PUNTA PACIFICA</v>
          </cell>
          <cell r="B43" t="str">
            <v>Comisiones y  Servicios Legales</v>
          </cell>
          <cell r="E43" t="str">
            <v>Objetivo</v>
          </cell>
        </row>
        <row r="44">
          <cell r="A44" t="str">
            <v>46 - TERMINAL DE ALBROOK</v>
          </cell>
          <cell r="B44" t="str">
            <v>Prest. de Auto</v>
          </cell>
          <cell r="E44" t="str">
            <v>Indefinido revisado</v>
          </cell>
        </row>
        <row r="45">
          <cell r="A45" t="str">
            <v>47 - CONCEPCION</v>
          </cell>
          <cell r="B45" t="str">
            <v>Alquiler</v>
          </cell>
          <cell r="E45" t="str">
            <v>No objetivo</v>
          </cell>
        </row>
        <row r="46">
          <cell r="A46" t="str">
            <v>48 - BOQUETE</v>
          </cell>
          <cell r="B46" t="str">
            <v>Factoring</v>
          </cell>
          <cell r="E46" t="str">
            <v>Indefinido no revisado</v>
          </cell>
        </row>
        <row r="47">
          <cell r="A47" t="str">
            <v>49 - BRISAS DEL GOLF</v>
          </cell>
          <cell r="B47" t="str">
            <v>Facilidades de Crédito</v>
          </cell>
        </row>
        <row r="48">
          <cell r="A48" t="str">
            <v>51 - PUENTE CENTENARIO</v>
          </cell>
          <cell r="B48" t="str">
            <v xml:space="preserve">Hipoteca </v>
          </cell>
        </row>
        <row r="49">
          <cell r="A49" t="str">
            <v>53 - AGUADULCE</v>
          </cell>
          <cell r="B49" t="str">
            <v>Línea Rotativa</v>
          </cell>
          <cell r="E49" t="str">
            <v>Compra de Vivienda</v>
          </cell>
        </row>
        <row r="50">
          <cell r="A50" t="str">
            <v>54 - SABANITAS</v>
          </cell>
          <cell r="B50" t="str">
            <v>Línea de Crédito</v>
          </cell>
          <cell r="E50" t="str">
            <v>Casa Cash</v>
          </cell>
        </row>
        <row r="51">
          <cell r="A51" t="str">
            <v>66 - METROMALL</v>
          </cell>
          <cell r="B51" t="str">
            <v>Leasing</v>
          </cell>
          <cell r="E51" t="str">
            <v>Compra Vivienda Vacacional</v>
          </cell>
        </row>
        <row r="52">
          <cell r="A52" t="str">
            <v>68 - ALTOS DE PANAMA</v>
          </cell>
          <cell r="B52" t="str">
            <v>Prest. Personal</v>
          </cell>
          <cell r="E52" t="str">
            <v>Traspaso de Otro Banco</v>
          </cell>
        </row>
        <row r="53">
          <cell r="A53" t="str">
            <v>70 - BUSINESS PARK</v>
          </cell>
          <cell r="B53" t="str">
            <v>Prest. Agropecuario</v>
          </cell>
          <cell r="E53" t="str">
            <v>Traspaso por compra de vivienda</v>
          </cell>
        </row>
        <row r="54">
          <cell r="A54" t="str">
            <v>71 - SAN FRANCISCO</v>
          </cell>
          <cell r="B54" t="str">
            <v>Prest. Comercial</v>
          </cell>
          <cell r="E54" t="str">
            <v>Construcción</v>
          </cell>
        </row>
        <row r="55">
          <cell r="A55" t="str">
            <v>72 - PLAZA BANCO GENERAL</v>
          </cell>
          <cell r="B55" t="str">
            <v>Prest. Prendario</v>
          </cell>
        </row>
        <row r="56">
          <cell r="A56" t="str">
            <v>73 - LA CHORRERA - PARQUE 10 DE NOV.</v>
          </cell>
          <cell r="B56" t="str">
            <v>Prest. Educativo</v>
          </cell>
        </row>
        <row r="57">
          <cell r="A57" t="str">
            <v>74 - COSTA DEL ESTE - CENTENARIO</v>
          </cell>
          <cell r="B57" t="str">
            <v>Servicios</v>
          </cell>
        </row>
        <row r="58">
          <cell r="A58" t="str">
            <v>76 - CLAYTON</v>
          </cell>
          <cell r="B58" t="str">
            <v>Tarjeta de Crédito</v>
          </cell>
        </row>
        <row r="59">
          <cell r="A59" t="str">
            <v>77 - MARBELLA</v>
          </cell>
          <cell r="B59" t="str">
            <v>Excedente</v>
          </cell>
        </row>
        <row r="60">
          <cell r="A60" t="str">
            <v>78 - PLAZA CAROLINA</v>
          </cell>
          <cell r="B60" t="str">
            <v>Aplicar Préstamo BG</v>
          </cell>
        </row>
        <row r="61">
          <cell r="A61" t="str">
            <v>79 - PLAZA CORDOBA</v>
          </cell>
          <cell r="B61" t="str">
            <v>Promotor/Vendedor</v>
          </cell>
        </row>
        <row r="62">
          <cell r="A62" t="str">
            <v>80 - VIA SIMON BOLIVAR</v>
          </cell>
          <cell r="B62" t="str">
            <v>Intereses</v>
          </cell>
        </row>
        <row r="63">
          <cell r="A63" t="str">
            <v>89 - JUSTO AROSEMENA</v>
          </cell>
          <cell r="B63" t="str">
            <v>Adjudicado</v>
          </cell>
        </row>
        <row r="64">
          <cell r="A64" t="str">
            <v>91 - NEGOCIOS</v>
          </cell>
          <cell r="B64" t="str">
            <v>Interino</v>
          </cell>
        </row>
        <row r="65">
          <cell r="A65" t="str">
            <v>95 - BOULEVARD EL DORADO</v>
          </cell>
          <cell r="B65" t="str">
            <v>Interino BG</v>
          </cell>
        </row>
        <row r="66">
          <cell r="A66" t="str">
            <v>97 - SAN SEBASTIAN</v>
          </cell>
          <cell r="B66" t="str">
            <v>Fideicomiso BG</v>
          </cell>
        </row>
        <row r="67">
          <cell r="A67" t="str">
            <v>99 - CIUDAD DEL SABER</v>
          </cell>
        </row>
        <row r="68">
          <cell r="A68" t="str">
            <v>BIENES REPOSEÍDOS</v>
          </cell>
        </row>
        <row r="69">
          <cell r="A69" t="str">
            <v>F.V. CONSUMO</v>
          </cell>
        </row>
        <row r="70">
          <cell r="A70" t="str">
            <v>F.V. CONSUMO INTERIOR</v>
          </cell>
        </row>
        <row r="71">
          <cell r="A71" t="str">
            <v>RETENCIÓN</v>
          </cell>
        </row>
        <row r="72">
          <cell r="A72" t="str">
            <v>CAPITAL HUMANO</v>
          </cell>
        </row>
        <row r="73">
          <cell r="A73" t="str">
            <v>CENTRO DE ATENCIÓN AL CLIENTE</v>
          </cell>
        </row>
        <row r="74">
          <cell r="A74" t="str">
            <v>SERVICIOS HIPOTECARIOS</v>
          </cell>
        </row>
        <row r="75">
          <cell r="A75" t="str">
            <v>TELEMERCADEO</v>
          </cell>
        </row>
      </sheetData>
      <sheetData sheetId="1">
        <row r="74">
          <cell r="A74">
            <v>1</v>
          </cell>
          <cell r="B74">
            <v>5</v>
          </cell>
        </row>
        <row r="75">
          <cell r="A75">
            <v>50001</v>
          </cell>
          <cell r="B75">
            <v>8</v>
          </cell>
        </row>
        <row r="76">
          <cell r="A76">
            <v>80001</v>
          </cell>
          <cell r="B76">
            <v>10</v>
          </cell>
        </row>
        <row r="77">
          <cell r="A77">
            <v>100001</v>
          </cell>
          <cell r="B77">
            <v>15</v>
          </cell>
        </row>
        <row r="78">
          <cell r="A78">
            <v>150001</v>
          </cell>
          <cell r="B78">
            <v>20</v>
          </cell>
        </row>
        <row r="79">
          <cell r="A79">
            <v>200001</v>
          </cell>
          <cell r="B79">
            <v>30</v>
          </cell>
        </row>
        <row r="80">
          <cell r="A80">
            <v>250001</v>
          </cell>
          <cell r="B80">
            <v>40</v>
          </cell>
        </row>
        <row r="81">
          <cell r="A81">
            <v>300001</v>
          </cell>
          <cell r="B81">
            <v>50</v>
          </cell>
        </row>
        <row r="82">
          <cell r="A82">
            <v>350001</v>
          </cell>
          <cell r="B82">
            <v>60</v>
          </cell>
        </row>
        <row r="83">
          <cell r="A83">
            <v>400001</v>
          </cell>
          <cell r="B83">
            <v>70</v>
          </cell>
        </row>
        <row r="84">
          <cell r="A84">
            <v>450001</v>
          </cell>
          <cell r="B84">
            <v>80</v>
          </cell>
        </row>
        <row r="85">
          <cell r="A85">
            <v>500001</v>
          </cell>
          <cell r="B85">
            <v>90</v>
          </cell>
        </row>
        <row r="86">
          <cell r="A86">
            <v>550001</v>
          </cell>
          <cell r="B86">
            <v>100</v>
          </cell>
        </row>
      </sheetData>
      <sheetData sheetId="2">
        <row r="2">
          <cell r="I2" t="str">
            <v>Cambio de DeudorIndividualResidencialUsadaApartamentoBG000000005000.00</v>
          </cell>
          <cell r="J2">
            <v>5000</v>
          </cell>
          <cell r="K2">
            <v>50000000</v>
          </cell>
          <cell r="L2">
            <v>100</v>
          </cell>
          <cell r="M2">
            <v>30</v>
          </cell>
          <cell r="N2">
            <v>0</v>
          </cell>
          <cell r="O2">
            <v>0</v>
          </cell>
        </row>
        <row r="3">
          <cell r="I3" t="str">
            <v>Cambio de DeudorIndividualResidencialUsadaApartamentoFERIA000000005000.00</v>
          </cell>
          <cell r="J3">
            <v>5000</v>
          </cell>
          <cell r="K3">
            <v>50000000</v>
          </cell>
          <cell r="L3">
            <v>100</v>
          </cell>
          <cell r="M3">
            <v>30</v>
          </cell>
          <cell r="N3">
            <v>0</v>
          </cell>
          <cell r="O3">
            <v>0</v>
          </cell>
        </row>
        <row r="4">
          <cell r="I4" t="str">
            <v>Cambio de DeudorIndividualResidencialUsadaCasaBG000000005000.00</v>
          </cell>
          <cell r="J4">
            <v>5000</v>
          </cell>
          <cell r="K4">
            <v>50000000</v>
          </cell>
          <cell r="L4">
            <v>100</v>
          </cell>
          <cell r="M4">
            <v>30</v>
          </cell>
          <cell r="N4">
            <v>0</v>
          </cell>
          <cell r="O4">
            <v>0</v>
          </cell>
        </row>
        <row r="5">
          <cell r="I5" t="str">
            <v>Cambio de DeudorIndividualResidencialUsadaCasaFERIA000000005000.00</v>
          </cell>
          <cell r="J5">
            <v>5000</v>
          </cell>
          <cell r="K5">
            <v>50000000</v>
          </cell>
          <cell r="L5">
            <v>100</v>
          </cell>
          <cell r="M5">
            <v>30</v>
          </cell>
          <cell r="N5">
            <v>0</v>
          </cell>
          <cell r="O5">
            <v>0</v>
          </cell>
        </row>
        <row r="6">
          <cell r="I6" t="str">
            <v>Cambio de DeudorLey PreferencialResidencialUsadaApartamentoBG000000005000.00</v>
          </cell>
          <cell r="J6">
            <v>5000</v>
          </cell>
          <cell r="K6">
            <v>120000</v>
          </cell>
          <cell r="L6">
            <v>100</v>
          </cell>
          <cell r="M6">
            <v>30</v>
          </cell>
          <cell r="N6">
            <v>0</v>
          </cell>
          <cell r="O6">
            <v>8.56</v>
          </cell>
        </row>
        <row r="7">
          <cell r="I7" t="str">
            <v>Cambio de DeudorLey PreferencialResidencialUsadaApartamentoFERIA000000005000.00</v>
          </cell>
          <cell r="J7">
            <v>5000</v>
          </cell>
          <cell r="K7">
            <v>120000</v>
          </cell>
          <cell r="L7">
            <v>100</v>
          </cell>
          <cell r="M7">
            <v>30</v>
          </cell>
          <cell r="N7">
            <v>0</v>
          </cell>
          <cell r="O7">
            <v>4.28</v>
          </cell>
        </row>
        <row r="8">
          <cell r="I8" t="str">
            <v>Cambio de DeudorLey PreferencialResidencialUsadaCasaBG000000005000.00</v>
          </cell>
          <cell r="J8">
            <v>5000</v>
          </cell>
          <cell r="K8">
            <v>120000</v>
          </cell>
          <cell r="L8">
            <v>100</v>
          </cell>
          <cell r="M8">
            <v>30</v>
          </cell>
          <cell r="N8">
            <v>0</v>
          </cell>
          <cell r="O8">
            <v>8.56</v>
          </cell>
        </row>
        <row r="9">
          <cell r="I9" t="str">
            <v>Cambio de DeudorLey PreferencialResidencialUsadaCasaFERIA000000005000.00</v>
          </cell>
          <cell r="J9">
            <v>5000</v>
          </cell>
          <cell r="K9">
            <v>120000</v>
          </cell>
          <cell r="L9">
            <v>100</v>
          </cell>
          <cell r="M9">
            <v>30</v>
          </cell>
          <cell r="N9">
            <v>0</v>
          </cell>
          <cell r="O9">
            <v>4.28</v>
          </cell>
        </row>
        <row r="10">
          <cell r="I10" t="str">
            <v>Cambio de Dueño y DeudorIndividualResidencialUsadaApartamentoBG000000005000.00</v>
          </cell>
          <cell r="J10">
            <v>5000</v>
          </cell>
          <cell r="K10">
            <v>50000000</v>
          </cell>
          <cell r="L10">
            <v>100</v>
          </cell>
          <cell r="M10">
            <v>30</v>
          </cell>
          <cell r="N10">
            <v>0</v>
          </cell>
          <cell r="O10">
            <v>0</v>
          </cell>
        </row>
        <row r="11">
          <cell r="I11" t="str">
            <v>Cambio de Dueño y DeudorIndividualResidencialUsadaApartamentoFERIA000000005000.00</v>
          </cell>
          <cell r="J11">
            <v>5000</v>
          </cell>
          <cell r="K11">
            <v>50000000</v>
          </cell>
          <cell r="L11">
            <v>100</v>
          </cell>
          <cell r="M11">
            <v>30</v>
          </cell>
          <cell r="N11">
            <v>0</v>
          </cell>
          <cell r="O11">
            <v>0</v>
          </cell>
        </row>
        <row r="12">
          <cell r="I12" t="str">
            <v>Cambio de Dueño y DeudorIndividualResidencialUsadaCasaBG000000005000.00</v>
          </cell>
          <cell r="J12">
            <v>5000</v>
          </cell>
          <cell r="K12">
            <v>50000000</v>
          </cell>
          <cell r="L12">
            <v>100</v>
          </cell>
          <cell r="M12">
            <v>30</v>
          </cell>
          <cell r="N12">
            <v>0</v>
          </cell>
          <cell r="O12">
            <v>0</v>
          </cell>
        </row>
        <row r="13">
          <cell r="I13" t="str">
            <v>Cambio de Dueño y DeudorIndividualResidencialUsadaCasaFERIA000000005000.00</v>
          </cell>
          <cell r="J13">
            <v>5000</v>
          </cell>
          <cell r="K13">
            <v>50000000</v>
          </cell>
          <cell r="L13">
            <v>100</v>
          </cell>
          <cell r="M13">
            <v>30</v>
          </cell>
          <cell r="N13">
            <v>0</v>
          </cell>
          <cell r="O13">
            <v>0</v>
          </cell>
        </row>
        <row r="14">
          <cell r="I14" t="str">
            <v>Cambio de Dueño y DeudorLey PreferencialResidencialUsadaApartamentoBG000000005000.00</v>
          </cell>
          <cell r="J14">
            <v>5000</v>
          </cell>
          <cell r="K14">
            <v>120000</v>
          </cell>
          <cell r="L14">
            <v>100</v>
          </cell>
          <cell r="M14">
            <v>30</v>
          </cell>
          <cell r="N14">
            <v>0</v>
          </cell>
          <cell r="O14">
            <v>8.56</v>
          </cell>
        </row>
        <row r="15">
          <cell r="I15" t="str">
            <v>Cambio de Dueño y DeudorLey PreferencialResidencialUsadaApartamentoFERIA000000005000.00</v>
          </cell>
          <cell r="J15">
            <v>5000</v>
          </cell>
          <cell r="K15">
            <v>120000</v>
          </cell>
          <cell r="L15">
            <v>100</v>
          </cell>
          <cell r="M15">
            <v>30</v>
          </cell>
          <cell r="N15">
            <v>0</v>
          </cell>
          <cell r="O15">
            <v>4.28</v>
          </cell>
        </row>
        <row r="16">
          <cell r="I16" t="str">
            <v>Cambio de Dueño y DeudorLey PreferencialResidencialUsadaCasaBG000000005000.00</v>
          </cell>
          <cell r="J16">
            <v>5000</v>
          </cell>
          <cell r="K16">
            <v>120000</v>
          </cell>
          <cell r="L16">
            <v>100</v>
          </cell>
          <cell r="M16">
            <v>30</v>
          </cell>
          <cell r="N16">
            <v>0</v>
          </cell>
          <cell r="O16">
            <v>8.56</v>
          </cell>
        </row>
        <row r="17">
          <cell r="I17" t="str">
            <v>Cambio de Dueño y DeudorLey PreferencialResidencialUsadaCasaFERIA000000005000.00</v>
          </cell>
          <cell r="J17">
            <v>5000</v>
          </cell>
          <cell r="K17">
            <v>120000</v>
          </cell>
          <cell r="L17">
            <v>100</v>
          </cell>
          <cell r="M17">
            <v>30</v>
          </cell>
          <cell r="N17">
            <v>0</v>
          </cell>
          <cell r="O17">
            <v>4.28</v>
          </cell>
        </row>
        <row r="18">
          <cell r="I18" t="str">
            <v>Cambio de DueñoIndividualResidencialUsadaApartamentoBG000000005000.00</v>
          </cell>
          <cell r="J18">
            <v>5000</v>
          </cell>
          <cell r="K18">
            <v>50000000</v>
          </cell>
          <cell r="L18">
            <v>100</v>
          </cell>
          <cell r="M18">
            <v>30</v>
          </cell>
          <cell r="N18">
            <v>0</v>
          </cell>
          <cell r="O18">
            <v>0</v>
          </cell>
        </row>
        <row r="19">
          <cell r="I19" t="str">
            <v>Cambio de DueñoIndividualResidencialUsadaApartamentoFERIA000000005000.00</v>
          </cell>
          <cell r="J19">
            <v>5000</v>
          </cell>
          <cell r="K19">
            <v>50000000</v>
          </cell>
          <cell r="L19">
            <v>100</v>
          </cell>
          <cell r="M19">
            <v>30</v>
          </cell>
          <cell r="N19">
            <v>0</v>
          </cell>
          <cell r="O19">
            <v>0</v>
          </cell>
        </row>
        <row r="20">
          <cell r="I20" t="str">
            <v>Cambio de DueñoIndividualResidencialUsadaCasaBG000000005000.00</v>
          </cell>
          <cell r="J20">
            <v>5000</v>
          </cell>
          <cell r="K20">
            <v>50000000</v>
          </cell>
          <cell r="L20">
            <v>100</v>
          </cell>
          <cell r="M20">
            <v>30</v>
          </cell>
          <cell r="N20">
            <v>0</v>
          </cell>
          <cell r="O20">
            <v>0</v>
          </cell>
        </row>
        <row r="21">
          <cell r="I21" t="str">
            <v>Cambio de DueñoIndividualResidencialUsadaCasaFERIA000000005000.00</v>
          </cell>
          <cell r="J21">
            <v>5000</v>
          </cell>
          <cell r="K21">
            <v>50000000</v>
          </cell>
          <cell r="L21">
            <v>100</v>
          </cell>
          <cell r="M21">
            <v>30</v>
          </cell>
          <cell r="N21">
            <v>0</v>
          </cell>
          <cell r="O21">
            <v>0</v>
          </cell>
        </row>
        <row r="22">
          <cell r="I22" t="str">
            <v>Cambio de DueñoLey PreferencialResidencialUsadaApartamentoBG000000005000.00</v>
          </cell>
          <cell r="J22">
            <v>5000</v>
          </cell>
          <cell r="K22">
            <v>120000</v>
          </cell>
          <cell r="L22">
            <v>100</v>
          </cell>
          <cell r="M22">
            <v>30</v>
          </cell>
          <cell r="N22">
            <v>0</v>
          </cell>
          <cell r="O22">
            <v>8.56</v>
          </cell>
        </row>
        <row r="23">
          <cell r="I23" t="str">
            <v>Cambio de DueñoLey PreferencialResidencialUsadaApartamentoFERIA000000005000.00</v>
          </cell>
          <cell r="J23">
            <v>5000</v>
          </cell>
          <cell r="K23">
            <v>120000</v>
          </cell>
          <cell r="L23">
            <v>100</v>
          </cell>
          <cell r="M23">
            <v>30</v>
          </cell>
          <cell r="N23">
            <v>0</v>
          </cell>
          <cell r="O23">
            <v>4.28</v>
          </cell>
        </row>
        <row r="24">
          <cell r="I24" t="str">
            <v>Cambio de DueñoLey PreferencialResidencialUsadaCasaBG000000005000.00</v>
          </cell>
          <cell r="J24">
            <v>5000</v>
          </cell>
          <cell r="K24">
            <v>120000</v>
          </cell>
          <cell r="L24">
            <v>100</v>
          </cell>
          <cell r="M24">
            <v>30</v>
          </cell>
          <cell r="N24">
            <v>0</v>
          </cell>
          <cell r="O24">
            <v>8.56</v>
          </cell>
        </row>
        <row r="25">
          <cell r="I25" t="str">
            <v>Cambio de DueñoLey PreferencialResidencialUsadaCasaFERIA000000005000.00</v>
          </cell>
          <cell r="J25">
            <v>5000</v>
          </cell>
          <cell r="K25">
            <v>120000</v>
          </cell>
          <cell r="L25">
            <v>100</v>
          </cell>
          <cell r="M25">
            <v>30</v>
          </cell>
          <cell r="N25">
            <v>0</v>
          </cell>
          <cell r="O25">
            <v>4.28</v>
          </cell>
        </row>
        <row r="26">
          <cell r="I26" t="str">
            <v>Cambio de Fiador SolidarioIndividualResidencialUsadaApartamentoBG000000005000.00</v>
          </cell>
          <cell r="J26">
            <v>5000</v>
          </cell>
          <cell r="K26">
            <v>50000000</v>
          </cell>
          <cell r="L26">
            <v>100</v>
          </cell>
          <cell r="M26">
            <v>30</v>
          </cell>
          <cell r="N26">
            <v>0</v>
          </cell>
          <cell r="O26">
            <v>0</v>
          </cell>
        </row>
        <row r="27">
          <cell r="I27" t="str">
            <v>Cambio de Fiador SolidarioIndividualResidencialUsadaApartamentoFERIA000000005000.00</v>
          </cell>
          <cell r="J27">
            <v>5000</v>
          </cell>
          <cell r="K27">
            <v>50000000</v>
          </cell>
          <cell r="L27">
            <v>100</v>
          </cell>
          <cell r="M27">
            <v>30</v>
          </cell>
          <cell r="N27">
            <v>0</v>
          </cell>
          <cell r="O27">
            <v>0</v>
          </cell>
        </row>
        <row r="28">
          <cell r="I28" t="str">
            <v>Cambio de Fiador SolidarioIndividualResidencialUsadaCasaBG000000005000.00</v>
          </cell>
          <cell r="J28">
            <v>5000</v>
          </cell>
          <cell r="K28">
            <v>50000000</v>
          </cell>
          <cell r="L28">
            <v>100</v>
          </cell>
          <cell r="M28">
            <v>30</v>
          </cell>
          <cell r="N28">
            <v>0</v>
          </cell>
          <cell r="O28">
            <v>0</v>
          </cell>
        </row>
        <row r="29">
          <cell r="I29" t="str">
            <v>Cambio de Fiador SolidarioIndividualResidencialUsadaCasaFERIA000000005000.00</v>
          </cell>
          <cell r="J29">
            <v>5000</v>
          </cell>
          <cell r="K29">
            <v>50000000</v>
          </cell>
          <cell r="L29">
            <v>100</v>
          </cell>
          <cell r="M29">
            <v>30</v>
          </cell>
          <cell r="N29">
            <v>0</v>
          </cell>
          <cell r="O29">
            <v>0</v>
          </cell>
        </row>
        <row r="30">
          <cell r="I30" t="str">
            <v>Cambio de Fiador SolidarioLey PreferencialResidencialUsadaApartamentoBG000000005000.00</v>
          </cell>
          <cell r="J30">
            <v>5000</v>
          </cell>
          <cell r="K30">
            <v>120000</v>
          </cell>
          <cell r="L30">
            <v>100</v>
          </cell>
          <cell r="M30">
            <v>30</v>
          </cell>
          <cell r="N30">
            <v>0</v>
          </cell>
          <cell r="O30">
            <v>8.56</v>
          </cell>
        </row>
        <row r="31">
          <cell r="I31" t="str">
            <v>Cambio de Fiador SolidarioLey PreferencialResidencialUsadaApartamentoFERIA000000005000.00</v>
          </cell>
          <cell r="J31">
            <v>5000</v>
          </cell>
          <cell r="K31">
            <v>120000</v>
          </cell>
          <cell r="L31">
            <v>100</v>
          </cell>
          <cell r="M31">
            <v>30</v>
          </cell>
          <cell r="N31">
            <v>0</v>
          </cell>
          <cell r="O31">
            <v>4.28</v>
          </cell>
        </row>
        <row r="32">
          <cell r="I32" t="str">
            <v>Cambio de Fiador SolidarioLey PreferencialResidencialUsadaCasaBG000000005000.00</v>
          </cell>
          <cell r="J32">
            <v>5000</v>
          </cell>
          <cell r="K32">
            <v>120000</v>
          </cell>
          <cell r="L32">
            <v>100</v>
          </cell>
          <cell r="M32">
            <v>30</v>
          </cell>
          <cell r="N32">
            <v>0</v>
          </cell>
          <cell r="O32">
            <v>8.56</v>
          </cell>
        </row>
        <row r="33">
          <cell r="I33" t="str">
            <v>Cambio de Fiador SolidarioLey PreferencialResidencialUsadaCasaFERIA000000005000.00</v>
          </cell>
          <cell r="J33">
            <v>5000</v>
          </cell>
          <cell r="K33">
            <v>120000</v>
          </cell>
          <cell r="L33">
            <v>100</v>
          </cell>
          <cell r="M33">
            <v>30</v>
          </cell>
          <cell r="N33">
            <v>0</v>
          </cell>
          <cell r="O33">
            <v>4.28</v>
          </cell>
        </row>
        <row r="34">
          <cell r="I34" t="str">
            <v>Casa CashIndividualRefinanciamientoUsadaApartamentoBG000000030000.00</v>
          </cell>
          <cell r="J34">
            <v>30000</v>
          </cell>
          <cell r="K34">
            <v>250000</v>
          </cell>
          <cell r="L34">
            <v>90</v>
          </cell>
          <cell r="M34">
            <v>20</v>
          </cell>
          <cell r="N34">
            <v>7.25</v>
          </cell>
          <cell r="O34">
            <v>0</v>
          </cell>
        </row>
        <row r="35">
          <cell r="I35" t="str">
            <v>Casa CashIndividualRefinanciamientoUsadaApartamentoBG000000250000.01</v>
          </cell>
          <cell r="J35">
            <v>250000.01</v>
          </cell>
          <cell r="K35">
            <v>500000</v>
          </cell>
          <cell r="L35">
            <v>80</v>
          </cell>
          <cell r="M35">
            <v>20</v>
          </cell>
          <cell r="N35">
            <v>7.25</v>
          </cell>
          <cell r="O35">
            <v>0</v>
          </cell>
        </row>
        <row r="36">
          <cell r="I36" t="str">
            <v>Casa CashIndividualRefinanciamientoUsadaApartamentoBG000000500000.01</v>
          </cell>
          <cell r="J36">
            <v>500000.01</v>
          </cell>
          <cell r="K36">
            <v>99999999</v>
          </cell>
          <cell r="L36">
            <v>70</v>
          </cell>
          <cell r="M36">
            <v>20</v>
          </cell>
          <cell r="N36">
            <v>7.25</v>
          </cell>
          <cell r="O36">
            <v>0</v>
          </cell>
        </row>
        <row r="37">
          <cell r="I37" t="str">
            <v>Casa CashIndividualRefinanciamientoUsadaApartamentoFERIA000000030000.00</v>
          </cell>
          <cell r="J37">
            <v>30000</v>
          </cell>
          <cell r="K37">
            <v>250000</v>
          </cell>
          <cell r="L37">
            <v>90</v>
          </cell>
          <cell r="M37">
            <v>20</v>
          </cell>
          <cell r="N37">
            <v>7</v>
          </cell>
          <cell r="O37">
            <v>0</v>
          </cell>
        </row>
        <row r="38">
          <cell r="I38" t="str">
            <v>Casa CashIndividualRefinanciamientoUsadaApartamentoFERIA000000250000.01</v>
          </cell>
          <cell r="J38">
            <v>250000.01</v>
          </cell>
          <cell r="K38">
            <v>500000</v>
          </cell>
          <cell r="L38">
            <v>90</v>
          </cell>
          <cell r="M38">
            <v>20</v>
          </cell>
          <cell r="N38">
            <v>7</v>
          </cell>
          <cell r="O38">
            <v>0</v>
          </cell>
        </row>
        <row r="39">
          <cell r="I39" t="str">
            <v>Casa CashIndividualRefinanciamientoUsadaApartamentoFERIA000000500000.01</v>
          </cell>
          <cell r="J39">
            <v>500000.01</v>
          </cell>
          <cell r="K39">
            <v>99999999</v>
          </cell>
          <cell r="L39">
            <v>90</v>
          </cell>
          <cell r="M39">
            <v>20</v>
          </cell>
          <cell r="N39">
            <v>7</v>
          </cell>
          <cell r="O39">
            <v>0</v>
          </cell>
        </row>
        <row r="40">
          <cell r="I40" t="str">
            <v>Casa CashIndividualRefinanciamientoUsadaCasaBG000000030000.00</v>
          </cell>
          <cell r="J40">
            <v>30000</v>
          </cell>
          <cell r="K40">
            <v>250000</v>
          </cell>
          <cell r="L40">
            <v>90</v>
          </cell>
          <cell r="M40">
            <v>20</v>
          </cell>
          <cell r="N40">
            <v>7.25</v>
          </cell>
          <cell r="O40">
            <v>0</v>
          </cell>
        </row>
        <row r="41">
          <cell r="I41" t="str">
            <v>Casa CashIndividualRefinanciamientoUsadaCasaBG000000250000.01</v>
          </cell>
          <cell r="J41">
            <v>250000.01</v>
          </cell>
          <cell r="K41">
            <v>500000</v>
          </cell>
          <cell r="L41">
            <v>80</v>
          </cell>
          <cell r="M41">
            <v>20</v>
          </cell>
          <cell r="N41">
            <v>7.25</v>
          </cell>
          <cell r="O41">
            <v>0</v>
          </cell>
        </row>
        <row r="42">
          <cell r="I42" t="str">
            <v>Casa CashIndividualRefinanciamientoUsadaCasaBG000000500000.01</v>
          </cell>
          <cell r="J42">
            <v>500000.01</v>
          </cell>
          <cell r="K42">
            <v>99999999</v>
          </cell>
          <cell r="L42">
            <v>70</v>
          </cell>
          <cell r="M42">
            <v>20</v>
          </cell>
          <cell r="N42">
            <v>7.25</v>
          </cell>
          <cell r="O42">
            <v>0</v>
          </cell>
        </row>
        <row r="43">
          <cell r="I43" t="str">
            <v>Casa CashIndividualRefinanciamientoUsadaCasaFERIA000000030000.00</v>
          </cell>
          <cell r="J43">
            <v>30000</v>
          </cell>
          <cell r="K43">
            <v>250000</v>
          </cell>
          <cell r="L43">
            <v>90</v>
          </cell>
          <cell r="M43">
            <v>20</v>
          </cell>
          <cell r="N43">
            <v>7</v>
          </cell>
          <cell r="O43">
            <v>0</v>
          </cell>
        </row>
        <row r="44">
          <cell r="I44" t="str">
            <v>Casa CashIndividualRefinanciamientoUsadaCasaFERIA000000250000.01</v>
          </cell>
          <cell r="J44">
            <v>250000.01</v>
          </cell>
          <cell r="K44">
            <v>500000</v>
          </cell>
          <cell r="L44">
            <v>90</v>
          </cell>
          <cell r="M44">
            <v>20</v>
          </cell>
          <cell r="N44">
            <v>7</v>
          </cell>
          <cell r="O44">
            <v>0</v>
          </cell>
        </row>
        <row r="45">
          <cell r="I45" t="str">
            <v>Casa CashIndividualRefinanciamientoUsadaCasaFERIA000000500000.01</v>
          </cell>
          <cell r="J45">
            <v>500000.01</v>
          </cell>
          <cell r="K45">
            <v>99999999</v>
          </cell>
          <cell r="L45">
            <v>90</v>
          </cell>
          <cell r="M45">
            <v>20</v>
          </cell>
          <cell r="N45">
            <v>7</v>
          </cell>
          <cell r="O45">
            <v>0</v>
          </cell>
        </row>
        <row r="46">
          <cell r="I46" t="str">
            <v>Casa CashIndividualResidencialUsadaApartamentoBG000000030000.00</v>
          </cell>
          <cell r="J46">
            <v>30000</v>
          </cell>
          <cell r="K46">
            <v>250000</v>
          </cell>
          <cell r="L46">
            <v>90</v>
          </cell>
          <cell r="M46">
            <v>20</v>
          </cell>
          <cell r="N46">
            <v>7.25</v>
          </cell>
          <cell r="O46">
            <v>0</v>
          </cell>
        </row>
        <row r="47">
          <cell r="I47" t="str">
            <v>Casa CashIndividualResidencialUsadaApartamentoBG000000250000.01</v>
          </cell>
          <cell r="J47">
            <v>250000.01</v>
          </cell>
          <cell r="K47">
            <v>500000</v>
          </cell>
          <cell r="L47">
            <v>80</v>
          </cell>
          <cell r="M47">
            <v>20</v>
          </cell>
          <cell r="N47">
            <v>7.25</v>
          </cell>
          <cell r="O47">
            <v>0</v>
          </cell>
        </row>
        <row r="48">
          <cell r="I48" t="str">
            <v>Casa CashIndividualResidencialUsadaApartamentoBG000000500000.01</v>
          </cell>
          <cell r="J48">
            <v>500000.01</v>
          </cell>
          <cell r="K48">
            <v>99999999</v>
          </cell>
          <cell r="L48">
            <v>70</v>
          </cell>
          <cell r="M48">
            <v>20</v>
          </cell>
          <cell r="N48">
            <v>7.25</v>
          </cell>
          <cell r="O48">
            <v>0</v>
          </cell>
        </row>
        <row r="49">
          <cell r="I49" t="str">
            <v>Casa CashIndividualResidencialUsadaApartamentoFERIA000000030000.00</v>
          </cell>
          <cell r="J49">
            <v>30000</v>
          </cell>
          <cell r="K49">
            <v>250000</v>
          </cell>
          <cell r="L49">
            <v>90</v>
          </cell>
          <cell r="M49">
            <v>20</v>
          </cell>
          <cell r="N49">
            <v>7</v>
          </cell>
          <cell r="O49">
            <v>0</v>
          </cell>
        </row>
        <row r="50">
          <cell r="I50" t="str">
            <v>Casa CashIndividualResidencialUsadaApartamentoFERIA000000250000.01</v>
          </cell>
          <cell r="J50">
            <v>250000.01</v>
          </cell>
          <cell r="K50">
            <v>500000</v>
          </cell>
          <cell r="L50">
            <v>90</v>
          </cell>
          <cell r="M50">
            <v>20</v>
          </cell>
          <cell r="N50">
            <v>7</v>
          </cell>
          <cell r="O50">
            <v>0</v>
          </cell>
        </row>
        <row r="51">
          <cell r="I51" t="str">
            <v>Casa CashIndividualResidencialUsadaApartamentoFERIA000000500000.01</v>
          </cell>
          <cell r="J51">
            <v>500000.01</v>
          </cell>
          <cell r="K51">
            <v>99999999</v>
          </cell>
          <cell r="L51">
            <v>90</v>
          </cell>
          <cell r="M51">
            <v>20</v>
          </cell>
          <cell r="N51">
            <v>7</v>
          </cell>
          <cell r="O51">
            <v>0</v>
          </cell>
        </row>
        <row r="52">
          <cell r="I52" t="str">
            <v>Casa CashIndividualResidencialUsadaCasaBG000000030000.00</v>
          </cell>
          <cell r="J52">
            <v>30000</v>
          </cell>
          <cell r="K52">
            <v>250000</v>
          </cell>
          <cell r="L52">
            <v>90</v>
          </cell>
          <cell r="M52">
            <v>20</v>
          </cell>
          <cell r="N52">
            <v>7.25</v>
          </cell>
          <cell r="O52">
            <v>0</v>
          </cell>
        </row>
        <row r="53">
          <cell r="I53" t="str">
            <v>Casa CashIndividualResidencialUsadaCasaBG000000250000.01</v>
          </cell>
          <cell r="J53">
            <v>250000.01</v>
          </cell>
          <cell r="K53">
            <v>500000</v>
          </cell>
          <cell r="L53">
            <v>80</v>
          </cell>
          <cell r="M53">
            <v>20</v>
          </cell>
          <cell r="N53">
            <v>7.25</v>
          </cell>
          <cell r="O53">
            <v>0</v>
          </cell>
        </row>
        <row r="54">
          <cell r="I54" t="str">
            <v>Casa CashIndividualResidencialUsadaCasaBG000000500000.01</v>
          </cell>
          <cell r="J54">
            <v>500000.01</v>
          </cell>
          <cell r="K54">
            <v>99999999</v>
          </cell>
          <cell r="L54">
            <v>70</v>
          </cell>
          <cell r="M54">
            <v>20</v>
          </cell>
          <cell r="N54">
            <v>7.25</v>
          </cell>
          <cell r="O54">
            <v>0</v>
          </cell>
        </row>
        <row r="55">
          <cell r="I55" t="str">
            <v>Casa CashIndividualResidencialUsadaCasaFERIA000000030000.00</v>
          </cell>
          <cell r="J55">
            <v>30000</v>
          </cell>
          <cell r="K55">
            <v>250000</v>
          </cell>
          <cell r="L55">
            <v>90</v>
          </cell>
          <cell r="M55">
            <v>20</v>
          </cell>
          <cell r="N55">
            <v>7</v>
          </cell>
          <cell r="O55">
            <v>0</v>
          </cell>
        </row>
        <row r="56">
          <cell r="I56" t="str">
            <v>Casa CashIndividualResidencialUsadaCasaFERIA000000250000.01</v>
          </cell>
          <cell r="J56">
            <v>250000.01</v>
          </cell>
          <cell r="K56">
            <v>500000</v>
          </cell>
          <cell r="L56">
            <v>90</v>
          </cell>
          <cell r="M56">
            <v>20</v>
          </cell>
          <cell r="N56">
            <v>7</v>
          </cell>
          <cell r="O56">
            <v>0</v>
          </cell>
        </row>
        <row r="57">
          <cell r="I57" t="str">
            <v>Casa CashIndividualResidencialUsadaCasaFERIA000000500000.01</v>
          </cell>
          <cell r="J57">
            <v>500000.01</v>
          </cell>
          <cell r="K57">
            <v>99999999</v>
          </cell>
          <cell r="L57">
            <v>90</v>
          </cell>
          <cell r="M57">
            <v>20</v>
          </cell>
          <cell r="N57">
            <v>7</v>
          </cell>
          <cell r="O57">
            <v>0</v>
          </cell>
        </row>
        <row r="58">
          <cell r="I58" t="str">
            <v>Casa CashIndividualSegunda HipotecaUsadaApartamentoBG000000030000.00</v>
          </cell>
          <cell r="J58">
            <v>30000</v>
          </cell>
          <cell r="K58">
            <v>250000</v>
          </cell>
          <cell r="L58">
            <v>90</v>
          </cell>
          <cell r="M58">
            <v>20</v>
          </cell>
          <cell r="N58">
            <v>7.25</v>
          </cell>
          <cell r="O58">
            <v>0</v>
          </cell>
        </row>
        <row r="59">
          <cell r="I59" t="str">
            <v>Casa CashIndividualSegunda HipotecaUsadaApartamentoBG000000250000.01</v>
          </cell>
          <cell r="J59">
            <v>250000.01</v>
          </cell>
          <cell r="K59">
            <v>500000</v>
          </cell>
          <cell r="L59">
            <v>80</v>
          </cell>
          <cell r="M59">
            <v>20</v>
          </cell>
          <cell r="N59">
            <v>7.25</v>
          </cell>
          <cell r="O59">
            <v>0</v>
          </cell>
        </row>
        <row r="60">
          <cell r="I60" t="str">
            <v>Casa CashIndividualSegunda HipotecaUsadaApartamentoBG000000500000.01</v>
          </cell>
          <cell r="J60">
            <v>500000.01</v>
          </cell>
          <cell r="K60">
            <v>99999999</v>
          </cell>
          <cell r="L60">
            <v>70</v>
          </cell>
          <cell r="M60">
            <v>20</v>
          </cell>
          <cell r="N60">
            <v>7.25</v>
          </cell>
          <cell r="O60">
            <v>0</v>
          </cell>
        </row>
        <row r="61">
          <cell r="I61" t="str">
            <v>Casa CashIndividualSegunda HipotecaUsadaApartamentoFERIA000000030000.00</v>
          </cell>
          <cell r="J61">
            <v>30000</v>
          </cell>
          <cell r="K61">
            <v>250000</v>
          </cell>
          <cell r="L61">
            <v>90</v>
          </cell>
          <cell r="M61">
            <v>20</v>
          </cell>
          <cell r="N61">
            <v>7</v>
          </cell>
          <cell r="O61">
            <v>0</v>
          </cell>
        </row>
        <row r="62">
          <cell r="I62" t="str">
            <v>Casa CashIndividualSegunda HipotecaUsadaApartamentoFERIA000000250000.01</v>
          </cell>
          <cell r="J62">
            <v>250000.01</v>
          </cell>
          <cell r="K62">
            <v>500000</v>
          </cell>
          <cell r="L62">
            <v>90</v>
          </cell>
          <cell r="M62">
            <v>20</v>
          </cell>
          <cell r="N62">
            <v>7</v>
          </cell>
          <cell r="O62">
            <v>0</v>
          </cell>
        </row>
        <row r="63">
          <cell r="I63" t="str">
            <v>Casa CashIndividualSegunda HipotecaUsadaApartamentoFERIA000000500000.01</v>
          </cell>
          <cell r="J63">
            <v>500000.01</v>
          </cell>
          <cell r="K63">
            <v>99999999</v>
          </cell>
          <cell r="L63">
            <v>90</v>
          </cell>
          <cell r="M63">
            <v>20</v>
          </cell>
          <cell r="N63">
            <v>7</v>
          </cell>
          <cell r="O63">
            <v>0</v>
          </cell>
        </row>
        <row r="64">
          <cell r="I64" t="str">
            <v>Casa CashIndividualSegunda HipotecaUsadaCasaBG000000030000.00</v>
          </cell>
          <cell r="J64">
            <v>30000</v>
          </cell>
          <cell r="K64">
            <v>250000</v>
          </cell>
          <cell r="L64">
            <v>90</v>
          </cell>
          <cell r="M64">
            <v>20</v>
          </cell>
          <cell r="N64">
            <v>7.25</v>
          </cell>
          <cell r="O64">
            <v>0</v>
          </cell>
        </row>
        <row r="65">
          <cell r="I65" t="str">
            <v>Casa CashIndividualSegunda HipotecaUsadaCasaBG000000250000.01</v>
          </cell>
          <cell r="J65">
            <v>250000.01</v>
          </cell>
          <cell r="K65">
            <v>500000</v>
          </cell>
          <cell r="L65">
            <v>80</v>
          </cell>
          <cell r="M65">
            <v>20</v>
          </cell>
          <cell r="N65">
            <v>7.25</v>
          </cell>
          <cell r="O65">
            <v>0</v>
          </cell>
        </row>
        <row r="66">
          <cell r="I66" t="str">
            <v>Casa CashIndividualSegunda HipotecaUsadaCasaBG000000500000.01</v>
          </cell>
          <cell r="J66">
            <v>500000.01</v>
          </cell>
          <cell r="K66">
            <v>99999999</v>
          </cell>
          <cell r="L66">
            <v>70</v>
          </cell>
          <cell r="M66">
            <v>20</v>
          </cell>
          <cell r="N66">
            <v>7.25</v>
          </cell>
          <cell r="O66">
            <v>0</v>
          </cell>
        </row>
        <row r="67">
          <cell r="I67" t="str">
            <v>Casa CashIndividualSegunda HipotecaUsadaCasaFERIA000000030000.00</v>
          </cell>
          <cell r="J67">
            <v>30000</v>
          </cell>
          <cell r="K67">
            <v>250000</v>
          </cell>
          <cell r="L67">
            <v>90</v>
          </cell>
          <cell r="M67">
            <v>20</v>
          </cell>
          <cell r="N67">
            <v>7</v>
          </cell>
          <cell r="O67">
            <v>0</v>
          </cell>
        </row>
        <row r="68">
          <cell r="I68" t="str">
            <v>Casa CashIndividualSegunda HipotecaUsadaCasaFERIA000000250000.01</v>
          </cell>
          <cell r="J68">
            <v>250000.01</v>
          </cell>
          <cell r="K68">
            <v>500000</v>
          </cell>
          <cell r="L68">
            <v>90</v>
          </cell>
          <cell r="M68">
            <v>20</v>
          </cell>
          <cell r="N68">
            <v>7</v>
          </cell>
          <cell r="O68">
            <v>0</v>
          </cell>
        </row>
        <row r="69">
          <cell r="I69" t="str">
            <v>Casa CashIndividualSegunda HipotecaUsadaCasaFERIA000000500000.01</v>
          </cell>
          <cell r="J69">
            <v>500000.01</v>
          </cell>
          <cell r="K69">
            <v>99999999</v>
          </cell>
          <cell r="L69">
            <v>90</v>
          </cell>
          <cell r="M69">
            <v>20</v>
          </cell>
          <cell r="N69">
            <v>7</v>
          </cell>
          <cell r="O69">
            <v>0</v>
          </cell>
        </row>
        <row r="70">
          <cell r="I70" t="str">
            <v>Compra de ViviendaIndividualReposeídoUsadaApartamentoBG000000030000.00</v>
          </cell>
          <cell r="J70">
            <v>30000</v>
          </cell>
          <cell r="K70">
            <v>250000</v>
          </cell>
          <cell r="L70">
            <v>98</v>
          </cell>
          <cell r="M70">
            <v>30</v>
          </cell>
          <cell r="N70">
            <v>5.25</v>
          </cell>
          <cell r="O70">
            <v>0</v>
          </cell>
        </row>
        <row r="71">
          <cell r="I71" t="str">
            <v>Compra de ViviendaIndividualReposeídoUsadaApartamentoBG000000250000.01</v>
          </cell>
          <cell r="J71">
            <v>250000.01</v>
          </cell>
          <cell r="K71">
            <v>500000</v>
          </cell>
          <cell r="L71">
            <v>90</v>
          </cell>
          <cell r="M71">
            <v>30</v>
          </cell>
          <cell r="N71">
            <v>5.25</v>
          </cell>
          <cell r="O71">
            <v>0</v>
          </cell>
        </row>
        <row r="72">
          <cell r="I72" t="str">
            <v>Compra de ViviendaIndividualReposeídoUsadaApartamentoBG000000500000.01</v>
          </cell>
          <cell r="J72">
            <v>500000.01</v>
          </cell>
          <cell r="K72">
            <v>99999999</v>
          </cell>
          <cell r="L72">
            <v>70</v>
          </cell>
          <cell r="M72">
            <v>30</v>
          </cell>
          <cell r="N72">
            <v>5.25</v>
          </cell>
          <cell r="O72">
            <v>0</v>
          </cell>
        </row>
        <row r="73">
          <cell r="I73" t="str">
            <v>Compra de ViviendaIndividualReposeídoUsadaApartamentoFERIA000000030000.00</v>
          </cell>
          <cell r="J73">
            <v>30000</v>
          </cell>
          <cell r="K73">
            <v>250000</v>
          </cell>
          <cell r="L73">
            <v>98</v>
          </cell>
          <cell r="M73">
            <v>30</v>
          </cell>
          <cell r="N73">
            <v>6.75</v>
          </cell>
          <cell r="O73">
            <v>0</v>
          </cell>
        </row>
        <row r="74">
          <cell r="I74" t="str">
            <v>Compra de ViviendaIndividualReposeídoUsadaApartamentoFERIA000000250000.01</v>
          </cell>
          <cell r="J74">
            <v>250000.01</v>
          </cell>
          <cell r="K74">
            <v>500000</v>
          </cell>
          <cell r="L74">
            <v>95</v>
          </cell>
          <cell r="M74">
            <v>30</v>
          </cell>
          <cell r="N74">
            <v>5.25</v>
          </cell>
          <cell r="O74">
            <v>0</v>
          </cell>
        </row>
        <row r="75">
          <cell r="I75" t="str">
            <v>Compra de ViviendaIndividualReposeídoUsadaApartamentoFERIA000000500000.01</v>
          </cell>
          <cell r="J75">
            <v>500000.01</v>
          </cell>
          <cell r="K75">
            <v>99999999</v>
          </cell>
          <cell r="L75">
            <v>95</v>
          </cell>
          <cell r="M75">
            <v>30</v>
          </cell>
          <cell r="N75">
            <v>5.25</v>
          </cell>
          <cell r="O75">
            <v>0</v>
          </cell>
        </row>
        <row r="76">
          <cell r="I76" t="str">
            <v>Compra de ViviendaIndividualReposeídoUsadaCasaBG000000030000.00</v>
          </cell>
          <cell r="J76">
            <v>30000</v>
          </cell>
          <cell r="K76">
            <v>250000</v>
          </cell>
          <cell r="L76">
            <v>98</v>
          </cell>
          <cell r="M76">
            <v>30</v>
          </cell>
          <cell r="N76">
            <v>5.25</v>
          </cell>
          <cell r="O76">
            <v>0</v>
          </cell>
        </row>
        <row r="77">
          <cell r="I77" t="str">
            <v>Compra de ViviendaIndividualReposeídoUsadaCasaBG000000250000.01</v>
          </cell>
          <cell r="J77">
            <v>250000.01</v>
          </cell>
          <cell r="K77">
            <v>500000</v>
          </cell>
          <cell r="L77">
            <v>90</v>
          </cell>
          <cell r="M77">
            <v>30</v>
          </cell>
          <cell r="N77">
            <v>5.25</v>
          </cell>
          <cell r="O77">
            <v>0</v>
          </cell>
        </row>
        <row r="78">
          <cell r="I78" t="str">
            <v>Compra de ViviendaIndividualReposeídoUsadaCasaBG000000500000.01</v>
          </cell>
          <cell r="J78">
            <v>500000.01</v>
          </cell>
          <cell r="K78">
            <v>99999999</v>
          </cell>
          <cell r="L78">
            <v>70</v>
          </cell>
          <cell r="M78">
            <v>30</v>
          </cell>
          <cell r="N78">
            <v>5.25</v>
          </cell>
          <cell r="O78">
            <v>0</v>
          </cell>
        </row>
        <row r="79">
          <cell r="I79" t="str">
            <v>Compra de ViviendaIndividualReposeídoUsadaCasaFERIA000000030000.00</v>
          </cell>
          <cell r="J79">
            <v>30000</v>
          </cell>
          <cell r="K79">
            <v>250000</v>
          </cell>
          <cell r="L79">
            <v>98</v>
          </cell>
          <cell r="M79">
            <v>30</v>
          </cell>
          <cell r="N79">
            <v>6.75</v>
          </cell>
          <cell r="O79">
            <v>0</v>
          </cell>
        </row>
        <row r="80">
          <cell r="I80" t="str">
            <v>Compra de ViviendaIndividualReposeídoUsadaCasaFERIA000000250000.01</v>
          </cell>
          <cell r="J80">
            <v>250000.01</v>
          </cell>
          <cell r="K80">
            <v>500000</v>
          </cell>
          <cell r="L80">
            <v>95</v>
          </cell>
          <cell r="M80">
            <v>30</v>
          </cell>
          <cell r="N80">
            <v>5.25</v>
          </cell>
          <cell r="O80">
            <v>0</v>
          </cell>
        </row>
        <row r="81">
          <cell r="I81" t="str">
            <v>Compra de ViviendaIndividualReposeídoUsadaCasaFERIA000000500000.01</v>
          </cell>
          <cell r="J81">
            <v>500000.01</v>
          </cell>
          <cell r="K81">
            <v>99999999</v>
          </cell>
          <cell r="L81">
            <v>95</v>
          </cell>
          <cell r="M81">
            <v>30</v>
          </cell>
          <cell r="N81">
            <v>5.25</v>
          </cell>
          <cell r="O81">
            <v>0</v>
          </cell>
        </row>
        <row r="82">
          <cell r="I82" t="str">
            <v>Compra de ViviendaIndividualResidencialNuevaApartamentoBG000000030000.00</v>
          </cell>
          <cell r="J82">
            <v>30000</v>
          </cell>
          <cell r="K82">
            <v>100000</v>
          </cell>
          <cell r="L82">
            <v>95</v>
          </cell>
          <cell r="M82">
            <v>30</v>
          </cell>
          <cell r="N82">
            <v>4.75</v>
          </cell>
          <cell r="O82">
            <v>0</v>
          </cell>
        </row>
        <row r="83">
          <cell r="I83" t="str">
            <v>Compra de ViviendaIndividualResidencialNuevaApartamentoBG000000100000.01</v>
          </cell>
          <cell r="J83">
            <v>100000.01</v>
          </cell>
          <cell r="K83">
            <v>250000</v>
          </cell>
          <cell r="L83">
            <v>90</v>
          </cell>
          <cell r="M83">
            <v>30</v>
          </cell>
          <cell r="N83">
            <v>4.75</v>
          </cell>
          <cell r="O83">
            <v>0</v>
          </cell>
        </row>
        <row r="84">
          <cell r="I84" t="str">
            <v>Compra de ViviendaIndividualResidencialNuevaApartamentoBG000000250000.01</v>
          </cell>
          <cell r="J84">
            <v>250000.01</v>
          </cell>
          <cell r="K84">
            <v>400000</v>
          </cell>
          <cell r="L84">
            <v>80</v>
          </cell>
          <cell r="M84">
            <v>30</v>
          </cell>
          <cell r="N84">
            <v>4.5</v>
          </cell>
          <cell r="O84">
            <v>0</v>
          </cell>
        </row>
        <row r="85">
          <cell r="I85" t="str">
            <v>Compra de ViviendaIndividualResidencialNuevaApartamentoBG000000400000.01</v>
          </cell>
          <cell r="J85">
            <v>400000.01</v>
          </cell>
          <cell r="K85">
            <v>99999999</v>
          </cell>
          <cell r="L85">
            <v>70</v>
          </cell>
          <cell r="M85">
            <v>30</v>
          </cell>
          <cell r="N85">
            <v>4.5</v>
          </cell>
          <cell r="O85">
            <v>0</v>
          </cell>
        </row>
        <row r="86">
          <cell r="I86" t="str">
            <v>Compra de ViviendaIndividualResidencialNuevaApartamentoFERIA000000030000.00</v>
          </cell>
          <cell r="J86">
            <v>30000</v>
          </cell>
          <cell r="K86">
            <v>100000</v>
          </cell>
          <cell r="L86">
            <v>95</v>
          </cell>
          <cell r="M86">
            <v>30</v>
          </cell>
          <cell r="N86">
            <v>4.5</v>
          </cell>
          <cell r="O86">
            <v>0</v>
          </cell>
        </row>
        <row r="87">
          <cell r="I87" t="str">
            <v>Compra de ViviendaIndividualResidencialNuevaApartamentoFERIA000000100000.01</v>
          </cell>
          <cell r="J87">
            <v>100000.01</v>
          </cell>
          <cell r="K87">
            <v>250000</v>
          </cell>
          <cell r="L87">
            <v>90</v>
          </cell>
          <cell r="M87">
            <v>30</v>
          </cell>
          <cell r="N87">
            <v>4.5</v>
          </cell>
          <cell r="O87">
            <v>0</v>
          </cell>
        </row>
        <row r="88">
          <cell r="I88" t="str">
            <v>Compra de ViviendaIndividualResidencialNuevaApartamentoFERIA000000250000.01</v>
          </cell>
          <cell r="J88">
            <v>250000.01</v>
          </cell>
          <cell r="K88">
            <v>400000</v>
          </cell>
          <cell r="L88">
            <v>80</v>
          </cell>
          <cell r="M88">
            <v>30</v>
          </cell>
          <cell r="N88">
            <v>4.5</v>
          </cell>
          <cell r="O88">
            <v>0</v>
          </cell>
        </row>
        <row r="89">
          <cell r="I89" t="str">
            <v>Compra de ViviendaIndividualResidencialNuevaApartamentoFERIA000000400000.01</v>
          </cell>
          <cell r="J89">
            <v>400000.01</v>
          </cell>
          <cell r="K89">
            <v>99999999</v>
          </cell>
          <cell r="L89">
            <v>70</v>
          </cell>
          <cell r="M89">
            <v>30</v>
          </cell>
          <cell r="N89">
            <v>4.5</v>
          </cell>
          <cell r="O89">
            <v>0</v>
          </cell>
        </row>
        <row r="90">
          <cell r="I90" t="str">
            <v>Compra de ViviendaIndividualResidencialNuevaCasaBG000000018000.00</v>
          </cell>
          <cell r="J90">
            <v>18000</v>
          </cell>
          <cell r="K90">
            <v>100000</v>
          </cell>
          <cell r="L90">
            <v>95</v>
          </cell>
          <cell r="M90">
            <v>30</v>
          </cell>
          <cell r="N90">
            <v>4.75</v>
          </cell>
          <cell r="O90">
            <v>0</v>
          </cell>
        </row>
        <row r="91">
          <cell r="I91" t="str">
            <v>Compra de ViviendaIndividualResidencialNuevaCasaBG000000100000.01</v>
          </cell>
          <cell r="J91">
            <v>100000.01</v>
          </cell>
          <cell r="K91">
            <v>250000</v>
          </cell>
          <cell r="L91">
            <v>90</v>
          </cell>
          <cell r="M91">
            <v>30</v>
          </cell>
          <cell r="N91">
            <v>4.75</v>
          </cell>
          <cell r="O91">
            <v>0</v>
          </cell>
        </row>
        <row r="92">
          <cell r="I92" t="str">
            <v>Compra de ViviendaIndividualResidencialNuevaCasaBG000000250000.01</v>
          </cell>
          <cell r="J92">
            <v>250000.01</v>
          </cell>
          <cell r="K92">
            <v>400000</v>
          </cell>
          <cell r="L92">
            <v>80</v>
          </cell>
          <cell r="M92">
            <v>30</v>
          </cell>
          <cell r="N92">
            <v>4.5</v>
          </cell>
          <cell r="O92">
            <v>0</v>
          </cell>
        </row>
        <row r="93">
          <cell r="I93" t="str">
            <v>Compra de ViviendaIndividualResidencialNuevaCasaBG000000400000.01</v>
          </cell>
          <cell r="J93">
            <v>400000.01</v>
          </cell>
          <cell r="K93">
            <v>99999999</v>
          </cell>
          <cell r="L93">
            <v>70</v>
          </cell>
          <cell r="M93">
            <v>30</v>
          </cell>
          <cell r="N93">
            <v>4.5</v>
          </cell>
          <cell r="O93">
            <v>0</v>
          </cell>
        </row>
        <row r="94">
          <cell r="I94" t="str">
            <v>Compra de ViviendaIndividualResidencialNuevaCasaFERIA000000018000.00</v>
          </cell>
          <cell r="J94">
            <v>18000</v>
          </cell>
          <cell r="K94">
            <v>100000</v>
          </cell>
          <cell r="L94">
            <v>95</v>
          </cell>
          <cell r="M94">
            <v>30</v>
          </cell>
          <cell r="N94">
            <v>4.5</v>
          </cell>
          <cell r="O94">
            <v>0</v>
          </cell>
        </row>
        <row r="95">
          <cell r="I95" t="str">
            <v>Compra de ViviendaIndividualResidencialNuevaCasaFERIA000000100000.01</v>
          </cell>
          <cell r="J95">
            <v>100000.01</v>
          </cell>
          <cell r="K95">
            <v>250000</v>
          </cell>
          <cell r="L95">
            <v>90</v>
          </cell>
          <cell r="M95">
            <v>30</v>
          </cell>
          <cell r="N95">
            <v>4.5</v>
          </cell>
          <cell r="O95">
            <v>0</v>
          </cell>
        </row>
        <row r="96">
          <cell r="I96" t="str">
            <v>Compra de ViviendaIndividualResidencialNuevaCasaFERIA000000250000.01</v>
          </cell>
          <cell r="J96">
            <v>250000.01</v>
          </cell>
          <cell r="K96">
            <v>400000</v>
          </cell>
          <cell r="L96">
            <v>80</v>
          </cell>
          <cell r="M96">
            <v>30</v>
          </cell>
          <cell r="N96">
            <v>4.5</v>
          </cell>
          <cell r="O96">
            <v>0</v>
          </cell>
        </row>
        <row r="97">
          <cell r="I97" t="str">
            <v>Compra de ViviendaIndividualResidencialNuevaCasaFERIA000000400000.01</v>
          </cell>
          <cell r="J97">
            <v>400000.01</v>
          </cell>
          <cell r="K97">
            <v>99999999</v>
          </cell>
          <cell r="L97">
            <v>70</v>
          </cell>
          <cell r="M97">
            <v>30</v>
          </cell>
          <cell r="N97">
            <v>4.5</v>
          </cell>
          <cell r="O97">
            <v>0</v>
          </cell>
        </row>
        <row r="98">
          <cell r="I98" t="str">
            <v>Compra de ViviendaIndividualResidencialUsadaApartamentoBG000000030000.00</v>
          </cell>
          <cell r="J98">
            <v>30000</v>
          </cell>
          <cell r="K98">
            <v>250000</v>
          </cell>
          <cell r="L98">
            <v>85</v>
          </cell>
          <cell r="M98">
            <v>25</v>
          </cell>
          <cell r="N98">
            <v>5</v>
          </cell>
          <cell r="O98">
            <v>0</v>
          </cell>
        </row>
        <row r="99">
          <cell r="I99" t="str">
            <v>Compra de ViviendaIndividualResidencialUsadaApartamentoBG000000250000.01</v>
          </cell>
          <cell r="J99">
            <v>250000.01</v>
          </cell>
          <cell r="K99">
            <v>500000</v>
          </cell>
          <cell r="L99">
            <v>75</v>
          </cell>
          <cell r="M99">
            <v>25</v>
          </cell>
          <cell r="N99">
            <v>4.75</v>
          </cell>
          <cell r="O99">
            <v>0</v>
          </cell>
        </row>
        <row r="100">
          <cell r="I100" t="str">
            <v>Compra de ViviendaIndividualResidencialUsadaApartamentoBG000000500000.01</v>
          </cell>
          <cell r="J100">
            <v>500000.01</v>
          </cell>
          <cell r="K100">
            <v>50000000</v>
          </cell>
          <cell r="L100">
            <v>65</v>
          </cell>
          <cell r="M100">
            <v>25</v>
          </cell>
          <cell r="N100">
            <v>4.75</v>
          </cell>
          <cell r="O100">
            <v>0</v>
          </cell>
        </row>
        <row r="101">
          <cell r="I101" t="str">
            <v>Compra de ViviendaIndividualResidencialUsadaCasaBG000000030000.00</v>
          </cell>
          <cell r="J101">
            <v>30000</v>
          </cell>
          <cell r="K101">
            <v>250000</v>
          </cell>
          <cell r="L101">
            <v>90</v>
          </cell>
          <cell r="M101">
            <v>30</v>
          </cell>
          <cell r="N101">
            <v>5</v>
          </cell>
          <cell r="O101">
            <v>0</v>
          </cell>
        </row>
        <row r="102">
          <cell r="I102" t="str">
            <v>Compra de ViviendaIndividualResidencialUsadaCasaBG000000250000.01</v>
          </cell>
          <cell r="J102">
            <v>250000.01</v>
          </cell>
          <cell r="K102">
            <v>500000</v>
          </cell>
          <cell r="L102">
            <v>80</v>
          </cell>
          <cell r="M102">
            <v>30</v>
          </cell>
          <cell r="N102">
            <v>4.75</v>
          </cell>
          <cell r="O102">
            <v>0</v>
          </cell>
        </row>
        <row r="103">
          <cell r="I103" t="str">
            <v>Compra de ViviendaIndividualResidencialUsadaCasaBG000000500000.01</v>
          </cell>
          <cell r="J103">
            <v>500000.01</v>
          </cell>
          <cell r="K103">
            <v>99999999</v>
          </cell>
          <cell r="L103">
            <v>70</v>
          </cell>
          <cell r="M103">
            <v>30</v>
          </cell>
          <cell r="N103">
            <v>4.75</v>
          </cell>
          <cell r="O103">
            <v>0</v>
          </cell>
        </row>
        <row r="104">
          <cell r="I104" t="str">
            <v>Compra de ViviendaIndividualResidencialUsadaCasaFERIA000000030000.00</v>
          </cell>
          <cell r="J104">
            <v>30000</v>
          </cell>
          <cell r="K104">
            <v>250000</v>
          </cell>
          <cell r="L104">
            <v>90</v>
          </cell>
          <cell r="M104">
            <v>30</v>
          </cell>
          <cell r="N104">
            <v>4.75</v>
          </cell>
          <cell r="O104">
            <v>0</v>
          </cell>
        </row>
        <row r="105">
          <cell r="I105" t="str">
            <v>Compra de ViviendaIndividualResidencialUsadaCasaFERIA000000250000.01</v>
          </cell>
          <cell r="J105">
            <v>250000.01</v>
          </cell>
          <cell r="K105">
            <v>500000</v>
          </cell>
          <cell r="L105">
            <v>80</v>
          </cell>
          <cell r="M105">
            <v>30</v>
          </cell>
          <cell r="N105">
            <v>4.5</v>
          </cell>
          <cell r="O105">
            <v>0</v>
          </cell>
        </row>
        <row r="106">
          <cell r="I106" t="str">
            <v>Compra de ViviendaIndividualResidencialUsadaCasaFERIA000000500000.01</v>
          </cell>
          <cell r="J106">
            <v>500000.01</v>
          </cell>
          <cell r="K106">
            <v>99999999</v>
          </cell>
          <cell r="L106">
            <v>70</v>
          </cell>
          <cell r="M106">
            <v>30</v>
          </cell>
          <cell r="N106">
            <v>4.5</v>
          </cell>
          <cell r="O106">
            <v>0</v>
          </cell>
        </row>
        <row r="107">
          <cell r="I107" t="str">
            <v>Compra de ViviendaLey PreferencialReposeídoUsadaApartamentoBG000000030000.01</v>
          </cell>
          <cell r="J107">
            <v>30000.01</v>
          </cell>
          <cell r="K107">
            <v>40000</v>
          </cell>
          <cell r="L107">
            <v>98</v>
          </cell>
          <cell r="M107">
            <v>30</v>
          </cell>
          <cell r="N107">
            <v>0</v>
          </cell>
          <cell r="O107">
            <v>8.56</v>
          </cell>
        </row>
        <row r="108">
          <cell r="I108" t="str">
            <v>Compra de ViviendaLey PreferencialReposeídoUsadaApartamentoBG000000040000.01</v>
          </cell>
          <cell r="J108">
            <v>40000.01</v>
          </cell>
          <cell r="K108">
            <v>80000</v>
          </cell>
          <cell r="L108">
            <v>98</v>
          </cell>
          <cell r="M108">
            <v>30</v>
          </cell>
          <cell r="N108">
            <v>1.75</v>
          </cell>
          <cell r="O108">
            <v>8.56</v>
          </cell>
        </row>
        <row r="109">
          <cell r="I109" t="str">
            <v>Compra de ViviendaLey PreferencialReposeídoUsadaApartamentoBG000000080000.01</v>
          </cell>
          <cell r="J109">
            <v>80000.009999999995</v>
          </cell>
          <cell r="K109">
            <v>120000</v>
          </cell>
          <cell r="L109">
            <v>98</v>
          </cell>
          <cell r="M109">
            <v>30</v>
          </cell>
          <cell r="N109">
            <v>3.25</v>
          </cell>
          <cell r="O109">
            <v>8.56</v>
          </cell>
        </row>
        <row r="110">
          <cell r="I110" t="str">
            <v>Compra de ViviendaLey PreferencialReposeídoUsadaApartamentoFERIA000000030000.01</v>
          </cell>
          <cell r="J110">
            <v>30000.01</v>
          </cell>
          <cell r="K110">
            <v>40000</v>
          </cell>
          <cell r="L110">
            <v>95</v>
          </cell>
          <cell r="M110">
            <v>30</v>
          </cell>
          <cell r="N110">
            <v>0</v>
          </cell>
          <cell r="O110">
            <v>8.56</v>
          </cell>
        </row>
        <row r="111">
          <cell r="I111" t="str">
            <v>Compra de ViviendaLey PreferencialReposeídoUsadaApartamentoFERIA000000040000.01</v>
          </cell>
          <cell r="J111">
            <v>40000.01</v>
          </cell>
          <cell r="K111">
            <v>80000</v>
          </cell>
          <cell r="L111">
            <v>95</v>
          </cell>
          <cell r="M111">
            <v>30</v>
          </cell>
          <cell r="N111">
            <v>1.5</v>
          </cell>
          <cell r="O111">
            <v>4.28</v>
          </cell>
        </row>
        <row r="112">
          <cell r="I112" t="str">
            <v>Compra de ViviendaLey PreferencialReposeídoUsadaApartamentoFERIA000000080000.01</v>
          </cell>
          <cell r="J112">
            <v>80000.009999999995</v>
          </cell>
          <cell r="K112">
            <v>120000</v>
          </cell>
          <cell r="L112">
            <v>95</v>
          </cell>
          <cell r="M112">
            <v>30</v>
          </cell>
          <cell r="N112">
            <v>3</v>
          </cell>
          <cell r="O112">
            <v>4.28</v>
          </cell>
        </row>
        <row r="113">
          <cell r="I113" t="str">
            <v>Compra de ViviendaLey PreferencialReposeídoUsadaCasaBG000000018000.00</v>
          </cell>
          <cell r="J113">
            <v>18000</v>
          </cell>
          <cell r="K113">
            <v>40000</v>
          </cell>
          <cell r="L113">
            <v>98</v>
          </cell>
          <cell r="M113">
            <v>30</v>
          </cell>
          <cell r="N113">
            <v>0</v>
          </cell>
          <cell r="O113">
            <v>8.56</v>
          </cell>
        </row>
        <row r="114">
          <cell r="I114" t="str">
            <v>Compra de ViviendaLey PreferencialReposeídoUsadaCasaBG000000040000.01</v>
          </cell>
          <cell r="J114">
            <v>40000.01</v>
          </cell>
          <cell r="K114">
            <v>80000</v>
          </cell>
          <cell r="L114">
            <v>98</v>
          </cell>
          <cell r="M114">
            <v>30</v>
          </cell>
          <cell r="N114">
            <v>1.75</v>
          </cell>
          <cell r="O114">
            <v>8.56</v>
          </cell>
        </row>
        <row r="115">
          <cell r="I115" t="str">
            <v>Compra de ViviendaLey PreferencialReposeídoUsadaCasaBG000000080000.01</v>
          </cell>
          <cell r="J115">
            <v>80000.009999999995</v>
          </cell>
          <cell r="K115">
            <v>120000</v>
          </cell>
          <cell r="L115">
            <v>98</v>
          </cell>
          <cell r="M115">
            <v>30</v>
          </cell>
          <cell r="N115">
            <v>3.25</v>
          </cell>
          <cell r="O115">
            <v>8.56</v>
          </cell>
        </row>
        <row r="116">
          <cell r="I116" t="str">
            <v>Compra de ViviendaLey PreferencialReposeídoUsadaCasaFERIA000000018000.00</v>
          </cell>
          <cell r="J116">
            <v>18000</v>
          </cell>
          <cell r="K116">
            <v>40000</v>
          </cell>
          <cell r="L116">
            <v>95</v>
          </cell>
          <cell r="M116">
            <v>30</v>
          </cell>
          <cell r="N116">
            <v>0</v>
          </cell>
          <cell r="O116">
            <v>8.56</v>
          </cell>
        </row>
        <row r="117">
          <cell r="I117" t="str">
            <v>Compra de ViviendaLey PreferencialReposeídoUsadaCasaFERIA000000040000.01</v>
          </cell>
          <cell r="J117">
            <v>40000.01</v>
          </cell>
          <cell r="K117">
            <v>80000</v>
          </cell>
          <cell r="L117">
            <v>95</v>
          </cell>
          <cell r="M117">
            <v>30</v>
          </cell>
          <cell r="N117">
            <v>1.5</v>
          </cell>
          <cell r="O117">
            <v>4.28</v>
          </cell>
        </row>
        <row r="118">
          <cell r="I118" t="str">
            <v>Compra de ViviendaLey PreferencialReposeídoUsadaCasaFERIA000000080000.01</v>
          </cell>
          <cell r="J118">
            <v>80000.009999999995</v>
          </cell>
          <cell r="K118">
            <v>120000</v>
          </cell>
          <cell r="L118">
            <v>95</v>
          </cell>
          <cell r="M118">
            <v>30</v>
          </cell>
          <cell r="N118">
            <v>3</v>
          </cell>
          <cell r="O118">
            <v>4.28</v>
          </cell>
        </row>
        <row r="119">
          <cell r="I119" t="str">
            <v>Compra de ViviendaLey PreferencialResidencialNuevaApartamentoBG000000030000.00</v>
          </cell>
          <cell r="J119">
            <v>30000</v>
          </cell>
          <cell r="K119">
            <v>40000</v>
          </cell>
          <cell r="L119">
            <v>95</v>
          </cell>
          <cell r="M119">
            <v>30</v>
          </cell>
          <cell r="N119">
            <v>0</v>
          </cell>
          <cell r="O119">
            <v>8.56</v>
          </cell>
        </row>
        <row r="120">
          <cell r="I120" t="str">
            <v>Compra de ViviendaLey PreferencialResidencialNuevaApartamentoBG000000040000.01</v>
          </cell>
          <cell r="J120">
            <v>40000.01</v>
          </cell>
          <cell r="K120">
            <v>80000</v>
          </cell>
          <cell r="L120">
            <v>95</v>
          </cell>
          <cell r="M120">
            <v>30</v>
          </cell>
          <cell r="N120">
            <v>1.75</v>
          </cell>
          <cell r="O120">
            <v>8.56</v>
          </cell>
        </row>
        <row r="121">
          <cell r="I121" t="str">
            <v>Compra de ViviendaLey PreferencialResidencialNuevaApartamentoBG000000080000.01</v>
          </cell>
          <cell r="J121">
            <v>80000.009999999995</v>
          </cell>
          <cell r="K121">
            <v>120000</v>
          </cell>
          <cell r="L121">
            <v>95</v>
          </cell>
          <cell r="M121">
            <v>30</v>
          </cell>
          <cell r="N121">
            <v>3.25</v>
          </cell>
          <cell r="O121">
            <v>8.56</v>
          </cell>
        </row>
        <row r="122">
          <cell r="I122" t="str">
            <v>Compra de ViviendaLey PreferencialResidencialNuevaApartamentoFERIA000000030000.00</v>
          </cell>
          <cell r="J122">
            <v>30000</v>
          </cell>
          <cell r="K122">
            <v>40000</v>
          </cell>
          <cell r="L122">
            <v>95</v>
          </cell>
          <cell r="M122">
            <v>30</v>
          </cell>
          <cell r="N122">
            <v>0</v>
          </cell>
          <cell r="O122">
            <v>8.56</v>
          </cell>
        </row>
        <row r="123">
          <cell r="I123" t="str">
            <v>Compra de ViviendaLey PreferencialResidencialNuevaApartamentoFERIA000000040000.01</v>
          </cell>
          <cell r="J123">
            <v>40000.01</v>
          </cell>
          <cell r="K123">
            <v>80000</v>
          </cell>
          <cell r="L123">
            <v>95</v>
          </cell>
          <cell r="M123">
            <v>30</v>
          </cell>
          <cell r="N123">
            <v>1.5</v>
          </cell>
          <cell r="O123">
            <v>4.28</v>
          </cell>
        </row>
        <row r="124">
          <cell r="I124" t="str">
            <v>Compra de ViviendaLey PreferencialResidencialNuevaApartamentoFERIA000000080000.01</v>
          </cell>
          <cell r="J124">
            <v>80000.009999999995</v>
          </cell>
          <cell r="K124">
            <v>120000</v>
          </cell>
          <cell r="L124">
            <v>95</v>
          </cell>
          <cell r="M124">
            <v>30</v>
          </cell>
          <cell r="N124">
            <v>3</v>
          </cell>
          <cell r="O124">
            <v>4.28</v>
          </cell>
        </row>
        <row r="125">
          <cell r="I125" t="str">
            <v>Compra de ViviendaLey PreferencialResidencialNuevaCasaBG000000000000.00</v>
          </cell>
          <cell r="J125">
            <v>0</v>
          </cell>
          <cell r="K125">
            <v>0</v>
          </cell>
          <cell r="L125">
            <v>0</v>
          </cell>
          <cell r="M125">
            <v>0</v>
          </cell>
          <cell r="N125">
            <v>0</v>
          </cell>
          <cell r="O125">
            <v>8.56</v>
          </cell>
        </row>
        <row r="126">
          <cell r="I126" t="str">
            <v>Compra de ViviendaLey PreferencialResidencialNuevaCasaBG000000018000.00</v>
          </cell>
          <cell r="J126">
            <v>18000</v>
          </cell>
          <cell r="K126">
            <v>40000</v>
          </cell>
          <cell r="L126">
            <v>98</v>
          </cell>
          <cell r="M126">
            <v>30</v>
          </cell>
          <cell r="N126">
            <v>0</v>
          </cell>
          <cell r="O126">
            <v>8.56</v>
          </cell>
        </row>
        <row r="127">
          <cell r="I127" t="str">
            <v>Compra de ViviendaLey PreferencialResidencialNuevaCasaBG000000040000.01</v>
          </cell>
          <cell r="J127">
            <v>40000.01</v>
          </cell>
          <cell r="K127">
            <v>80000</v>
          </cell>
          <cell r="L127">
            <v>98</v>
          </cell>
          <cell r="M127">
            <v>30</v>
          </cell>
          <cell r="N127">
            <v>1.75</v>
          </cell>
          <cell r="O127">
            <v>8.56</v>
          </cell>
        </row>
        <row r="128">
          <cell r="I128" t="str">
            <v>Compra de ViviendaLey PreferencialResidencialNuevaCasaBG000000080000.01</v>
          </cell>
          <cell r="J128">
            <v>80000.009999999995</v>
          </cell>
          <cell r="K128">
            <v>120000</v>
          </cell>
          <cell r="L128">
            <v>98</v>
          </cell>
          <cell r="M128">
            <v>30</v>
          </cell>
          <cell r="N128">
            <v>3.25</v>
          </cell>
          <cell r="O128">
            <v>8.56</v>
          </cell>
        </row>
        <row r="129">
          <cell r="I129" t="str">
            <v>Compra de ViviendaLey PreferencialResidencialNuevaCasaFERIA000000018000.00</v>
          </cell>
          <cell r="J129">
            <v>18000</v>
          </cell>
          <cell r="K129">
            <v>40000</v>
          </cell>
          <cell r="L129">
            <v>98</v>
          </cell>
          <cell r="M129">
            <v>30</v>
          </cell>
          <cell r="N129">
            <v>0</v>
          </cell>
          <cell r="O129">
            <v>8.56</v>
          </cell>
        </row>
        <row r="130">
          <cell r="I130" t="str">
            <v>Compra de ViviendaLey PreferencialResidencialNuevaCasaFERIA000000040000.01</v>
          </cell>
          <cell r="J130">
            <v>40000.01</v>
          </cell>
          <cell r="K130">
            <v>80000</v>
          </cell>
          <cell r="L130">
            <v>98</v>
          </cell>
          <cell r="M130">
            <v>30</v>
          </cell>
          <cell r="N130">
            <v>1.5</v>
          </cell>
          <cell r="O130">
            <v>4.28</v>
          </cell>
        </row>
        <row r="131">
          <cell r="I131" t="str">
            <v>Compra de ViviendaLey PreferencialResidencialNuevaCasaFERIA000000080000.01</v>
          </cell>
          <cell r="J131">
            <v>80000.009999999995</v>
          </cell>
          <cell r="K131">
            <v>120000</v>
          </cell>
          <cell r="L131">
            <v>98</v>
          </cell>
          <cell r="M131">
            <v>30</v>
          </cell>
          <cell r="N131">
            <v>3</v>
          </cell>
          <cell r="O131">
            <v>4.28</v>
          </cell>
        </row>
        <row r="132">
          <cell r="I132" t="str">
            <v>Compra Vivienda VacacionalIndividualResidencialUsadaApartamentoBG000000030000.00</v>
          </cell>
          <cell r="J132">
            <v>30000</v>
          </cell>
          <cell r="K132">
            <v>250000</v>
          </cell>
          <cell r="L132">
            <v>90</v>
          </cell>
          <cell r="M132">
            <v>30</v>
          </cell>
          <cell r="N132">
            <v>6</v>
          </cell>
          <cell r="O132">
            <v>0</v>
          </cell>
        </row>
        <row r="133">
          <cell r="I133" t="str">
            <v>Compra Vivienda VacacionalIndividualResidencialUsadaApartamentoBG000000250000.01</v>
          </cell>
          <cell r="J133">
            <v>250000.01</v>
          </cell>
          <cell r="K133">
            <v>500000</v>
          </cell>
          <cell r="L133">
            <v>80</v>
          </cell>
          <cell r="M133">
            <v>30</v>
          </cell>
          <cell r="N133">
            <v>6</v>
          </cell>
          <cell r="O133">
            <v>0</v>
          </cell>
        </row>
        <row r="134">
          <cell r="I134" t="str">
            <v>Compra Vivienda VacacionalIndividualResidencialUsadaApartamentoBG000000500000.01</v>
          </cell>
          <cell r="J134">
            <v>500000.01</v>
          </cell>
          <cell r="K134">
            <v>99999999</v>
          </cell>
          <cell r="L134">
            <v>70</v>
          </cell>
          <cell r="M134">
            <v>30</v>
          </cell>
          <cell r="N134">
            <v>6</v>
          </cell>
          <cell r="O134">
            <v>0</v>
          </cell>
        </row>
        <row r="135">
          <cell r="I135" t="str">
            <v>Compra Vivienda VacacionalIndividualResidencialUsadaApartamentoFERIA000000030000.00</v>
          </cell>
          <cell r="J135">
            <v>30000</v>
          </cell>
          <cell r="K135">
            <v>250000</v>
          </cell>
          <cell r="L135">
            <v>90</v>
          </cell>
          <cell r="M135">
            <v>30</v>
          </cell>
          <cell r="N135">
            <v>6</v>
          </cell>
          <cell r="O135">
            <v>0</v>
          </cell>
        </row>
        <row r="136">
          <cell r="I136" t="str">
            <v>Compra Vivienda VacacionalIndividualResidencialUsadaApartamentoFERIA000000250000.01</v>
          </cell>
          <cell r="J136">
            <v>250000.01</v>
          </cell>
          <cell r="K136">
            <v>500000</v>
          </cell>
          <cell r="L136">
            <v>80</v>
          </cell>
          <cell r="M136">
            <v>30</v>
          </cell>
          <cell r="N136">
            <v>6</v>
          </cell>
          <cell r="O136">
            <v>0</v>
          </cell>
        </row>
        <row r="137">
          <cell r="I137" t="str">
            <v>Compra Vivienda VacacionalIndividualResidencialUsadaApartamentoFERIA000000500000.01</v>
          </cell>
          <cell r="J137">
            <v>500000.01</v>
          </cell>
          <cell r="K137">
            <v>99999999</v>
          </cell>
          <cell r="L137">
            <v>70</v>
          </cell>
          <cell r="M137">
            <v>30</v>
          </cell>
          <cell r="N137">
            <v>6</v>
          </cell>
          <cell r="O137">
            <v>0</v>
          </cell>
        </row>
        <row r="138">
          <cell r="I138" t="str">
            <v>Compra Vivienda VacacionalIndividualVacacionalNuevaApartamentoBG000000050000.00</v>
          </cell>
          <cell r="J138">
            <v>50000</v>
          </cell>
          <cell r="K138">
            <v>99999999</v>
          </cell>
          <cell r="L138">
            <v>70</v>
          </cell>
          <cell r="M138">
            <v>20</v>
          </cell>
          <cell r="N138">
            <v>6</v>
          </cell>
          <cell r="O138">
            <v>0</v>
          </cell>
        </row>
        <row r="139">
          <cell r="I139" t="str">
            <v>Compra Vivienda VacacionalIndividualVacacionalNuevaApartamentoFERIA000000050000.00</v>
          </cell>
          <cell r="J139">
            <v>50000</v>
          </cell>
          <cell r="K139">
            <v>99999999</v>
          </cell>
          <cell r="L139">
            <v>70</v>
          </cell>
          <cell r="M139">
            <v>20</v>
          </cell>
          <cell r="N139">
            <v>6</v>
          </cell>
          <cell r="O139">
            <v>0</v>
          </cell>
        </row>
        <row r="140">
          <cell r="I140" t="str">
            <v>Compra Vivienda VacacionalIndividualVacacionalNuevaCasaBG000000050000.00</v>
          </cell>
          <cell r="J140">
            <v>50000</v>
          </cell>
          <cell r="K140">
            <v>99999999</v>
          </cell>
          <cell r="L140">
            <v>70</v>
          </cell>
          <cell r="M140">
            <v>20</v>
          </cell>
          <cell r="N140">
            <v>6</v>
          </cell>
          <cell r="O140">
            <v>0</v>
          </cell>
        </row>
        <row r="141">
          <cell r="I141" t="str">
            <v>Compra Vivienda VacacionalIndividualVacacionalNuevaCasaFERIA000000050000.00</v>
          </cell>
          <cell r="J141">
            <v>50000</v>
          </cell>
          <cell r="K141">
            <v>99999999</v>
          </cell>
          <cell r="L141">
            <v>70</v>
          </cell>
          <cell r="M141">
            <v>20</v>
          </cell>
          <cell r="N141">
            <v>6</v>
          </cell>
          <cell r="O141">
            <v>0</v>
          </cell>
        </row>
        <row r="142">
          <cell r="I142" t="str">
            <v>Compra Vivienda VacacionalIndividualVacacionalUsadaApartamentoBG000000050000.00</v>
          </cell>
          <cell r="J142">
            <v>50000</v>
          </cell>
          <cell r="K142">
            <v>99999999</v>
          </cell>
          <cell r="L142">
            <v>70</v>
          </cell>
          <cell r="M142">
            <v>20</v>
          </cell>
          <cell r="N142">
            <v>6</v>
          </cell>
          <cell r="O142">
            <v>0</v>
          </cell>
        </row>
        <row r="143">
          <cell r="I143" t="str">
            <v>Compra Vivienda VacacionalIndividualVacacionalUsadaApartamentoFERIA000000050000.00</v>
          </cell>
          <cell r="J143">
            <v>50000</v>
          </cell>
          <cell r="K143">
            <v>99999999</v>
          </cell>
          <cell r="L143">
            <v>70</v>
          </cell>
          <cell r="M143">
            <v>20</v>
          </cell>
          <cell r="N143">
            <v>6</v>
          </cell>
          <cell r="O143">
            <v>0</v>
          </cell>
        </row>
        <row r="144">
          <cell r="I144" t="str">
            <v>Compra Vivienda VacacionalIndividualVacacionalUsadaCasaBG000000050000.00</v>
          </cell>
          <cell r="J144">
            <v>50000</v>
          </cell>
          <cell r="K144">
            <v>99999999</v>
          </cell>
          <cell r="L144">
            <v>70</v>
          </cell>
          <cell r="M144">
            <v>20</v>
          </cell>
          <cell r="N144">
            <v>6</v>
          </cell>
          <cell r="O144">
            <v>0</v>
          </cell>
        </row>
        <row r="145">
          <cell r="I145" t="str">
            <v>Compra Vivienda VacacionalIndividualVacacionalUsadaCasaFERIA000000050000.00</v>
          </cell>
          <cell r="J145">
            <v>50000</v>
          </cell>
          <cell r="K145">
            <v>99999999</v>
          </cell>
          <cell r="L145">
            <v>70</v>
          </cell>
          <cell r="M145">
            <v>20</v>
          </cell>
          <cell r="N145">
            <v>6</v>
          </cell>
          <cell r="O145">
            <v>0</v>
          </cell>
        </row>
        <row r="146">
          <cell r="I146" t="str">
            <v>ConstrucciónIndividualInterinoNuevaApartamentoBG000000100000.00</v>
          </cell>
          <cell r="J146">
            <v>100000</v>
          </cell>
          <cell r="K146">
            <v>99999999</v>
          </cell>
          <cell r="L146">
            <v>90</v>
          </cell>
          <cell r="M146">
            <v>30</v>
          </cell>
          <cell r="N146">
            <v>7.5</v>
          </cell>
          <cell r="O146">
            <v>0</v>
          </cell>
        </row>
        <row r="147">
          <cell r="I147" t="str">
            <v>ConstrucciónIndividualInterinoNuevaApartamentoFERIA000000100000.00</v>
          </cell>
          <cell r="J147">
            <v>100000</v>
          </cell>
          <cell r="K147">
            <v>99999999</v>
          </cell>
          <cell r="L147">
            <v>90</v>
          </cell>
          <cell r="M147">
            <v>30</v>
          </cell>
          <cell r="N147">
            <v>7.25</v>
          </cell>
          <cell r="O147">
            <v>0</v>
          </cell>
        </row>
        <row r="148">
          <cell r="I148" t="str">
            <v>ConstrucciónIndividualInterinoNuevaCasaBG000000100000.00</v>
          </cell>
          <cell r="J148">
            <v>100000</v>
          </cell>
          <cell r="K148">
            <v>99999999</v>
          </cell>
          <cell r="L148">
            <v>90</v>
          </cell>
          <cell r="M148">
            <v>30</v>
          </cell>
          <cell r="N148">
            <v>7.5</v>
          </cell>
          <cell r="O148">
            <v>0</v>
          </cell>
        </row>
        <row r="149">
          <cell r="I149" t="str">
            <v>ConstrucciónIndividualInterinoNuevaCasaFERIA000000100000.00</v>
          </cell>
          <cell r="J149">
            <v>100000</v>
          </cell>
          <cell r="K149">
            <v>99999999</v>
          </cell>
          <cell r="L149">
            <v>90</v>
          </cell>
          <cell r="M149">
            <v>30</v>
          </cell>
          <cell r="N149">
            <v>7.25</v>
          </cell>
          <cell r="O149">
            <v>0</v>
          </cell>
        </row>
        <row r="150">
          <cell r="I150" t="str">
            <v>ConstrucciónLey PreferencialInterinoNuevaApartamentoBG000000080000.01</v>
          </cell>
          <cell r="J150">
            <v>80000.009999999995</v>
          </cell>
          <cell r="K150">
            <v>120000</v>
          </cell>
          <cell r="L150">
            <v>90</v>
          </cell>
          <cell r="M150">
            <v>30</v>
          </cell>
          <cell r="N150">
            <v>7.5</v>
          </cell>
          <cell r="O150">
            <v>8.56</v>
          </cell>
        </row>
        <row r="151">
          <cell r="I151" t="str">
            <v>ConstrucciónLey PreferencialInterinoNuevaApartamentoFERIA000000080000.01</v>
          </cell>
          <cell r="J151">
            <v>80000.009999999995</v>
          </cell>
          <cell r="K151">
            <v>120000</v>
          </cell>
          <cell r="L151">
            <v>90</v>
          </cell>
          <cell r="M151">
            <v>30</v>
          </cell>
          <cell r="N151">
            <v>7.25</v>
          </cell>
          <cell r="O151">
            <v>4.28</v>
          </cell>
        </row>
        <row r="152">
          <cell r="I152" t="str">
            <v>ConstrucciónLey PreferencialInterinoNuevaCasaBG000000080000.01</v>
          </cell>
          <cell r="J152">
            <v>80000.009999999995</v>
          </cell>
          <cell r="K152">
            <v>120000</v>
          </cell>
          <cell r="L152">
            <v>90</v>
          </cell>
          <cell r="M152">
            <v>30</v>
          </cell>
          <cell r="N152">
            <v>7.5</v>
          </cell>
          <cell r="O152">
            <v>8.56</v>
          </cell>
        </row>
        <row r="153">
          <cell r="I153" t="str">
            <v>ConstrucciónLey PreferencialInterinoNuevaCasaFERIA000000080000.01</v>
          </cell>
          <cell r="J153">
            <v>80000.009999999995</v>
          </cell>
          <cell r="K153">
            <v>120000</v>
          </cell>
          <cell r="L153">
            <v>90</v>
          </cell>
          <cell r="M153">
            <v>30</v>
          </cell>
          <cell r="N153">
            <v>7.25</v>
          </cell>
          <cell r="O153">
            <v>4.28</v>
          </cell>
        </row>
        <row r="154">
          <cell r="I154" t="str">
            <v>Extensión de PlazoIndividualResidencialUsadaApartamentoBG000000005000.00</v>
          </cell>
          <cell r="J154">
            <v>5000</v>
          </cell>
          <cell r="K154">
            <v>50000000</v>
          </cell>
          <cell r="L154">
            <v>100</v>
          </cell>
          <cell r="M154">
            <v>30</v>
          </cell>
          <cell r="N154">
            <v>0</v>
          </cell>
          <cell r="O154">
            <v>0</v>
          </cell>
        </row>
        <row r="155">
          <cell r="I155" t="str">
            <v>Extensión de PlazoIndividualResidencialUsadaApartamentoFERIA000000005000.00</v>
          </cell>
          <cell r="J155">
            <v>5000</v>
          </cell>
          <cell r="K155">
            <v>50000000</v>
          </cell>
          <cell r="L155">
            <v>100</v>
          </cell>
          <cell r="M155">
            <v>30</v>
          </cell>
          <cell r="N155">
            <v>0</v>
          </cell>
          <cell r="O155">
            <v>0</v>
          </cell>
        </row>
        <row r="156">
          <cell r="I156" t="str">
            <v>Extensión de PlazoIndividualResidencialUsadaCasaBG000000005000.00</v>
          </cell>
          <cell r="J156">
            <v>5000</v>
          </cell>
          <cell r="K156">
            <v>50000000</v>
          </cell>
          <cell r="L156">
            <v>100</v>
          </cell>
          <cell r="M156">
            <v>30</v>
          </cell>
          <cell r="N156">
            <v>0</v>
          </cell>
          <cell r="O156">
            <v>0</v>
          </cell>
        </row>
        <row r="157">
          <cell r="I157" t="str">
            <v>Extensión de PlazoIndividualResidencialUsadaCasaFERIA000000005000.00</v>
          </cell>
          <cell r="J157">
            <v>5000</v>
          </cell>
          <cell r="K157">
            <v>50000000</v>
          </cell>
          <cell r="L157">
            <v>100</v>
          </cell>
          <cell r="M157">
            <v>30</v>
          </cell>
          <cell r="N157">
            <v>0</v>
          </cell>
          <cell r="O157">
            <v>0</v>
          </cell>
        </row>
        <row r="158">
          <cell r="I158" t="str">
            <v>Extensión de PlazoLey PreferencialResidencialUsadaApartamentoBG000000005000.00</v>
          </cell>
          <cell r="J158">
            <v>5000</v>
          </cell>
          <cell r="K158">
            <v>120000</v>
          </cell>
          <cell r="L158">
            <v>100</v>
          </cell>
          <cell r="M158">
            <v>30</v>
          </cell>
          <cell r="N158">
            <v>0</v>
          </cell>
          <cell r="O158">
            <v>8.56</v>
          </cell>
        </row>
        <row r="159">
          <cell r="I159" t="str">
            <v>Extensión de PlazoLey PreferencialResidencialUsadaApartamentoFERIA000000005000.00</v>
          </cell>
          <cell r="J159">
            <v>5000</v>
          </cell>
          <cell r="K159">
            <v>120000</v>
          </cell>
          <cell r="L159">
            <v>100</v>
          </cell>
          <cell r="M159">
            <v>30</v>
          </cell>
          <cell r="N159">
            <v>0</v>
          </cell>
          <cell r="O159">
            <v>4.28</v>
          </cell>
        </row>
        <row r="160">
          <cell r="I160" t="str">
            <v>Extensión de PlazoLey PreferencialResidencialUsadaCasaBG000000005000.00</v>
          </cell>
          <cell r="J160">
            <v>5000</v>
          </cell>
          <cell r="K160">
            <v>120000</v>
          </cell>
          <cell r="L160">
            <v>100</v>
          </cell>
          <cell r="M160">
            <v>30</v>
          </cell>
          <cell r="N160">
            <v>0</v>
          </cell>
          <cell r="O160">
            <v>8.56</v>
          </cell>
        </row>
        <row r="161">
          <cell r="I161" t="str">
            <v>Extensión de PlazoLey PreferencialResidencialUsadaCasaFERIA000000005000.00</v>
          </cell>
          <cell r="J161">
            <v>5000</v>
          </cell>
          <cell r="K161">
            <v>120000</v>
          </cell>
          <cell r="L161">
            <v>100</v>
          </cell>
          <cell r="M161">
            <v>30</v>
          </cell>
          <cell r="N161">
            <v>0</v>
          </cell>
          <cell r="O161">
            <v>4.28</v>
          </cell>
        </row>
        <row r="162">
          <cell r="I162" t="str">
            <v>Traspaso de Otro BancoIndividualResidencialUsadaApartamentoBG000000030000.00</v>
          </cell>
          <cell r="J162">
            <v>30000</v>
          </cell>
          <cell r="K162">
            <v>250000</v>
          </cell>
          <cell r="L162">
            <v>90</v>
          </cell>
          <cell r="M162">
            <v>30</v>
          </cell>
          <cell r="N162">
            <v>5</v>
          </cell>
          <cell r="O162">
            <v>0</v>
          </cell>
        </row>
        <row r="163">
          <cell r="I163" t="str">
            <v>Traspaso de Otro BancoIndividualResidencialUsadaApartamentoBG000000250000.01</v>
          </cell>
          <cell r="J163">
            <v>250000.01</v>
          </cell>
          <cell r="K163">
            <v>500000</v>
          </cell>
          <cell r="L163">
            <v>80</v>
          </cell>
          <cell r="M163">
            <v>30</v>
          </cell>
          <cell r="N163">
            <v>4.75</v>
          </cell>
          <cell r="O163">
            <v>0</v>
          </cell>
        </row>
        <row r="164">
          <cell r="I164" t="str">
            <v>Traspaso de Otro BancoIndividualResidencialUsadaApartamentoBG000000500000.01</v>
          </cell>
          <cell r="J164">
            <v>500000.01</v>
          </cell>
          <cell r="K164">
            <v>99999999</v>
          </cell>
          <cell r="L164">
            <v>70</v>
          </cell>
          <cell r="M164">
            <v>30</v>
          </cell>
          <cell r="N164">
            <v>4.75</v>
          </cell>
          <cell r="O164">
            <v>0</v>
          </cell>
        </row>
        <row r="165">
          <cell r="I165" t="str">
            <v>Traspaso de Otro BancoIndividualResidencialUsadaApartamentoFERIA000000030000.00</v>
          </cell>
          <cell r="J165">
            <v>30000</v>
          </cell>
          <cell r="K165">
            <v>250000</v>
          </cell>
          <cell r="L165">
            <v>90</v>
          </cell>
          <cell r="M165">
            <v>30</v>
          </cell>
          <cell r="N165">
            <v>4.75</v>
          </cell>
          <cell r="O165">
            <v>0</v>
          </cell>
        </row>
        <row r="166">
          <cell r="I166" t="str">
            <v>Traspaso de Otro BancoIndividualResidencialUsadaApartamentoFERIA000000250000.01</v>
          </cell>
          <cell r="J166">
            <v>250000.01</v>
          </cell>
          <cell r="K166">
            <v>500000</v>
          </cell>
          <cell r="L166">
            <v>80</v>
          </cell>
          <cell r="M166">
            <v>30</v>
          </cell>
          <cell r="N166">
            <v>4.5</v>
          </cell>
          <cell r="O166">
            <v>0</v>
          </cell>
        </row>
        <row r="167">
          <cell r="I167" t="str">
            <v>Traspaso de Otro BancoIndividualResidencialUsadaApartamentoFERIA000000500000.01</v>
          </cell>
          <cell r="J167">
            <v>500000.01</v>
          </cell>
          <cell r="K167">
            <v>99999999</v>
          </cell>
          <cell r="L167">
            <v>70</v>
          </cell>
          <cell r="M167">
            <v>30</v>
          </cell>
          <cell r="N167">
            <v>4.5</v>
          </cell>
          <cell r="O167">
            <v>0</v>
          </cell>
        </row>
        <row r="168">
          <cell r="I168" t="str">
            <v>Traspaso de Otro BancoIndividualResidencialUsadaCasaBG000000030000.00</v>
          </cell>
          <cell r="J168">
            <v>30000</v>
          </cell>
          <cell r="K168">
            <v>250000</v>
          </cell>
          <cell r="L168">
            <v>90</v>
          </cell>
          <cell r="M168">
            <v>30</v>
          </cell>
          <cell r="N168">
            <v>5</v>
          </cell>
          <cell r="O168">
            <v>0</v>
          </cell>
        </row>
        <row r="169">
          <cell r="I169" t="str">
            <v>Traspaso de Otro BancoIndividualResidencialUsadaCasaBG000000250000.01</v>
          </cell>
          <cell r="J169">
            <v>250000.01</v>
          </cell>
          <cell r="K169">
            <v>500000</v>
          </cell>
          <cell r="L169">
            <v>80</v>
          </cell>
          <cell r="M169">
            <v>30</v>
          </cell>
          <cell r="N169">
            <v>4.75</v>
          </cell>
          <cell r="O169">
            <v>0</v>
          </cell>
        </row>
        <row r="170">
          <cell r="I170" t="str">
            <v>Traspaso de Otro BancoIndividualResidencialUsadaCasaBG000000500000.01</v>
          </cell>
          <cell r="J170">
            <v>500000.01</v>
          </cell>
          <cell r="K170">
            <v>99999999</v>
          </cell>
          <cell r="L170">
            <v>70</v>
          </cell>
          <cell r="M170">
            <v>30</v>
          </cell>
          <cell r="N170">
            <v>4.75</v>
          </cell>
          <cell r="O170">
            <v>0</v>
          </cell>
        </row>
        <row r="171">
          <cell r="I171" t="str">
            <v>Traspaso de Otro BancoIndividualResidencialUsadaCasaFERIA000000030000.00</v>
          </cell>
          <cell r="J171">
            <v>30000</v>
          </cell>
          <cell r="K171">
            <v>250000</v>
          </cell>
          <cell r="L171">
            <v>90</v>
          </cell>
          <cell r="M171">
            <v>30</v>
          </cell>
          <cell r="N171">
            <v>4.75</v>
          </cell>
          <cell r="O171">
            <v>0</v>
          </cell>
        </row>
        <row r="172">
          <cell r="I172" t="str">
            <v>Traspaso de Otro BancoIndividualResidencialUsadaCasaFERIA000000250000.01</v>
          </cell>
          <cell r="J172">
            <v>250000.01</v>
          </cell>
          <cell r="K172">
            <v>500000</v>
          </cell>
          <cell r="L172">
            <v>80</v>
          </cell>
          <cell r="M172">
            <v>30</v>
          </cell>
          <cell r="N172">
            <v>4.5</v>
          </cell>
          <cell r="O172">
            <v>0</v>
          </cell>
        </row>
        <row r="173">
          <cell r="I173" t="str">
            <v>Traspaso de Otro BancoIndividualResidencialUsadaCasaFERIA000000500000.01</v>
          </cell>
          <cell r="J173">
            <v>500000.01</v>
          </cell>
          <cell r="K173">
            <v>99999999</v>
          </cell>
          <cell r="L173">
            <v>70</v>
          </cell>
          <cell r="M173">
            <v>30</v>
          </cell>
          <cell r="N173">
            <v>4.5</v>
          </cell>
          <cell r="O173">
            <v>0</v>
          </cell>
        </row>
        <row r="174">
          <cell r="I174" t="str">
            <v>Traspaso por Compra de ViviendaLey PreferencialResidencialUsadaApartamentoBG000000030000.00</v>
          </cell>
          <cell r="J174">
            <v>30000</v>
          </cell>
          <cell r="K174">
            <v>40000</v>
          </cell>
          <cell r="L174">
            <v>95</v>
          </cell>
          <cell r="M174">
            <v>30</v>
          </cell>
          <cell r="N174">
            <v>0</v>
          </cell>
          <cell r="O174">
            <v>8.56</v>
          </cell>
        </row>
        <row r="175">
          <cell r="I175" t="str">
            <v>Traspaso por Compra de ViviendaLey PreferencialResidencialUsadaApartamentoBG000000040000.01</v>
          </cell>
          <cell r="J175">
            <v>40000.01</v>
          </cell>
          <cell r="K175">
            <v>80000</v>
          </cell>
          <cell r="L175">
            <v>95</v>
          </cell>
          <cell r="M175">
            <v>30</v>
          </cell>
          <cell r="N175">
            <v>1.75</v>
          </cell>
          <cell r="O175">
            <v>8.56</v>
          </cell>
        </row>
        <row r="176">
          <cell r="I176" t="str">
            <v>Traspaso por Compra de ViviendaLey PreferencialResidencialUsadaApartamentoBG000000080000.01</v>
          </cell>
          <cell r="J176">
            <v>80000.009999999995</v>
          </cell>
          <cell r="K176">
            <v>120000</v>
          </cell>
          <cell r="L176">
            <v>95</v>
          </cell>
          <cell r="M176">
            <v>30</v>
          </cell>
          <cell r="N176">
            <v>3.25</v>
          </cell>
          <cell r="O176">
            <v>8.56</v>
          </cell>
        </row>
        <row r="177">
          <cell r="I177" t="str">
            <v>Traspaso por Compra de ViviendaLey PreferencialResidencialUsadaApartamentoFERIA000000030000.00</v>
          </cell>
          <cell r="J177">
            <v>30000</v>
          </cell>
          <cell r="K177">
            <v>40000</v>
          </cell>
          <cell r="L177">
            <v>95</v>
          </cell>
          <cell r="M177">
            <v>30</v>
          </cell>
          <cell r="N177">
            <v>0</v>
          </cell>
          <cell r="O177">
            <v>8.56</v>
          </cell>
        </row>
        <row r="178">
          <cell r="I178" t="str">
            <v>Traspaso por Compra de ViviendaLey PreferencialResidencialUsadaApartamentoFERIA000000040000.01</v>
          </cell>
          <cell r="J178">
            <v>40000.01</v>
          </cell>
          <cell r="K178">
            <v>80000</v>
          </cell>
          <cell r="L178">
            <v>95</v>
          </cell>
          <cell r="M178">
            <v>30</v>
          </cell>
          <cell r="N178">
            <v>1.5</v>
          </cell>
          <cell r="O178">
            <v>4.28</v>
          </cell>
        </row>
        <row r="179">
          <cell r="I179" t="str">
            <v>Traspaso por Compra de ViviendaLey PreferencialResidencialUsadaApartamentoFERIA000000080000.01</v>
          </cell>
          <cell r="J179">
            <v>80000.009999999995</v>
          </cell>
          <cell r="K179">
            <v>120000</v>
          </cell>
          <cell r="L179">
            <v>95</v>
          </cell>
          <cell r="M179">
            <v>30</v>
          </cell>
          <cell r="N179">
            <v>3</v>
          </cell>
          <cell r="O179">
            <v>4.28</v>
          </cell>
        </row>
        <row r="180">
          <cell r="I180" t="str">
            <v>Traspaso por Compra de ViviendaLey PreferencialResidencialUsadaCasaBG000000018000.00</v>
          </cell>
          <cell r="J180">
            <v>18000</v>
          </cell>
          <cell r="K180">
            <v>40000</v>
          </cell>
          <cell r="L180">
            <v>98</v>
          </cell>
          <cell r="M180">
            <v>30</v>
          </cell>
          <cell r="N180">
            <v>0</v>
          </cell>
          <cell r="O180">
            <v>8.56</v>
          </cell>
        </row>
        <row r="181">
          <cell r="I181" t="str">
            <v>Traspaso por Compra de ViviendaLey PreferencialResidencialUsadaCasaBG000000030000.01</v>
          </cell>
          <cell r="J181">
            <v>30000.01</v>
          </cell>
          <cell r="K181">
            <v>80000</v>
          </cell>
          <cell r="L181">
            <v>98</v>
          </cell>
          <cell r="M181">
            <v>30</v>
          </cell>
          <cell r="N181">
            <v>1.75</v>
          </cell>
          <cell r="O181">
            <v>8.56</v>
          </cell>
        </row>
        <row r="182">
          <cell r="I182" t="str">
            <v>Traspaso por Compra de ViviendaLey PreferencialResidencialUsadaCasaBG000000080000.01</v>
          </cell>
          <cell r="J182">
            <v>80000.009999999995</v>
          </cell>
          <cell r="K182">
            <v>120000</v>
          </cell>
          <cell r="L182">
            <v>98</v>
          </cell>
          <cell r="M182">
            <v>30</v>
          </cell>
          <cell r="N182">
            <v>3.25</v>
          </cell>
          <cell r="O182">
            <v>8.56</v>
          </cell>
        </row>
        <row r="183">
          <cell r="I183" t="str">
            <v>Traspaso por Compra de ViviendaLey PreferencialResidencialUsadaCasaFERIA000000018000.00</v>
          </cell>
          <cell r="J183">
            <v>18000</v>
          </cell>
          <cell r="K183">
            <v>40000</v>
          </cell>
          <cell r="L183">
            <v>98</v>
          </cell>
          <cell r="M183">
            <v>30</v>
          </cell>
          <cell r="N183">
            <v>0</v>
          </cell>
          <cell r="O183">
            <v>8.56</v>
          </cell>
        </row>
        <row r="184">
          <cell r="I184" t="str">
            <v>Traspaso por Compra de ViviendaLey PreferencialResidencialUsadaCasaFERIA000000030000.01</v>
          </cell>
          <cell r="J184">
            <v>30000.01</v>
          </cell>
          <cell r="K184">
            <v>80000</v>
          </cell>
          <cell r="L184">
            <v>98</v>
          </cell>
          <cell r="M184">
            <v>30</v>
          </cell>
          <cell r="N184">
            <v>1.5</v>
          </cell>
          <cell r="O184">
            <v>4.28</v>
          </cell>
        </row>
        <row r="185">
          <cell r="I185" t="str">
            <v>Traspaso por Compra de ViviendaLey PreferencialResidencialUsadaCasaFERIA000000080000.01</v>
          </cell>
          <cell r="J185">
            <v>80000.009999999995</v>
          </cell>
          <cell r="K185">
            <v>120000</v>
          </cell>
          <cell r="L185">
            <v>98</v>
          </cell>
          <cell r="M185">
            <v>30</v>
          </cell>
          <cell r="N185">
            <v>3</v>
          </cell>
          <cell r="O185">
            <v>4.28</v>
          </cell>
        </row>
      </sheetData>
      <sheetData sheetId="3">
        <row r="2">
          <cell r="P2" t="str">
            <v>01010101010101</v>
          </cell>
          <cell r="Q2">
            <v>252</v>
          </cell>
          <cell r="R2">
            <v>0</v>
          </cell>
          <cell r="S2">
            <v>0</v>
          </cell>
          <cell r="T2">
            <v>10</v>
          </cell>
          <cell r="U2">
            <v>8</v>
          </cell>
          <cell r="V2">
            <v>8</v>
          </cell>
          <cell r="W2">
            <v>31</v>
          </cell>
          <cell r="X2">
            <v>255</v>
          </cell>
          <cell r="Y2">
            <v>26</v>
          </cell>
          <cell r="Z2">
            <v>8</v>
          </cell>
          <cell r="AA2">
            <v>0</v>
          </cell>
          <cell r="AB2">
            <v>25</v>
          </cell>
          <cell r="AC2">
            <v>141</v>
          </cell>
          <cell r="AD2">
            <v>764</v>
          </cell>
          <cell r="AF2" t="str">
            <v>01010101010101</v>
          </cell>
          <cell r="AG2">
            <v>13</v>
          </cell>
          <cell r="AH2">
            <v>26</v>
          </cell>
          <cell r="AI2">
            <v>2</v>
          </cell>
          <cell r="AJ2">
            <v>7</v>
          </cell>
          <cell r="AK2">
            <v>208</v>
          </cell>
          <cell r="AL2">
            <v>2.7</v>
          </cell>
          <cell r="AM2">
            <v>0</v>
          </cell>
          <cell r="AN2">
            <v>0</v>
          </cell>
          <cell r="AO2">
            <v>10</v>
          </cell>
          <cell r="AP2">
            <v>255.7</v>
          </cell>
          <cell r="AR2" t="str">
            <v>01010101010101</v>
          </cell>
          <cell r="AS2">
            <v>350</v>
          </cell>
        </row>
        <row r="3">
          <cell r="P3" t="str">
            <v>01010101020101</v>
          </cell>
          <cell r="Q3">
            <v>252</v>
          </cell>
          <cell r="R3">
            <v>0</v>
          </cell>
          <cell r="S3">
            <v>0</v>
          </cell>
          <cell r="T3">
            <v>10</v>
          </cell>
          <cell r="U3">
            <v>8</v>
          </cell>
          <cell r="V3">
            <v>8</v>
          </cell>
          <cell r="W3">
            <v>31</v>
          </cell>
          <cell r="X3">
            <v>255</v>
          </cell>
          <cell r="Y3">
            <v>26</v>
          </cell>
          <cell r="Z3">
            <v>8</v>
          </cell>
          <cell r="AA3">
            <v>0</v>
          </cell>
          <cell r="AB3">
            <v>25</v>
          </cell>
          <cell r="AC3">
            <v>0</v>
          </cell>
          <cell r="AD3">
            <v>623</v>
          </cell>
          <cell r="AF3" t="str">
            <v>01010101020101</v>
          </cell>
          <cell r="AG3">
            <v>13</v>
          </cell>
          <cell r="AH3">
            <v>26</v>
          </cell>
          <cell r="AI3">
            <v>2</v>
          </cell>
          <cell r="AJ3">
            <v>7</v>
          </cell>
          <cell r="AK3">
            <v>208</v>
          </cell>
          <cell r="AL3">
            <v>2.7</v>
          </cell>
          <cell r="AM3">
            <v>0</v>
          </cell>
          <cell r="AN3">
            <v>0</v>
          </cell>
          <cell r="AO3">
            <v>10</v>
          </cell>
          <cell r="AP3">
            <v>255.7</v>
          </cell>
          <cell r="AR3" t="str">
            <v>01010101020101</v>
          </cell>
          <cell r="AS3">
            <v>350</v>
          </cell>
        </row>
        <row r="4">
          <cell r="P4" t="str">
            <v>01020101010101</v>
          </cell>
          <cell r="Q4">
            <v>252</v>
          </cell>
          <cell r="R4">
            <v>0</v>
          </cell>
          <cell r="S4">
            <v>0</v>
          </cell>
          <cell r="T4">
            <v>10</v>
          </cell>
          <cell r="U4">
            <v>8</v>
          </cell>
          <cell r="V4">
            <v>8</v>
          </cell>
          <cell r="W4">
            <v>31</v>
          </cell>
          <cell r="X4">
            <v>255</v>
          </cell>
          <cell r="Y4">
            <v>26</v>
          </cell>
          <cell r="Z4">
            <v>8</v>
          </cell>
          <cell r="AA4">
            <v>0</v>
          </cell>
          <cell r="AB4">
            <v>25</v>
          </cell>
          <cell r="AC4">
            <v>141</v>
          </cell>
          <cell r="AD4">
            <v>764</v>
          </cell>
          <cell r="AF4" t="str">
            <v>01020101010101</v>
          </cell>
          <cell r="AG4">
            <v>12</v>
          </cell>
          <cell r="AH4">
            <v>24</v>
          </cell>
          <cell r="AI4">
            <v>2</v>
          </cell>
          <cell r="AJ4">
            <v>7</v>
          </cell>
          <cell r="AK4">
            <v>192</v>
          </cell>
          <cell r="AL4">
            <v>2.5</v>
          </cell>
          <cell r="AM4">
            <v>0</v>
          </cell>
          <cell r="AN4">
            <v>0</v>
          </cell>
          <cell r="AO4">
            <v>10</v>
          </cell>
          <cell r="AP4">
            <v>237.5</v>
          </cell>
          <cell r="AR4" t="str">
            <v>01020101010101</v>
          </cell>
          <cell r="AS4">
            <v>500</v>
          </cell>
        </row>
        <row r="5">
          <cell r="P5" t="str">
            <v>01020101020101</v>
          </cell>
          <cell r="Q5">
            <v>252</v>
          </cell>
          <cell r="R5">
            <v>0</v>
          </cell>
          <cell r="S5">
            <v>0</v>
          </cell>
          <cell r="T5">
            <v>10</v>
          </cell>
          <cell r="U5">
            <v>8</v>
          </cell>
          <cell r="V5">
            <v>8</v>
          </cell>
          <cell r="W5">
            <v>31</v>
          </cell>
          <cell r="X5">
            <v>255</v>
          </cell>
          <cell r="Y5">
            <v>26</v>
          </cell>
          <cell r="Z5">
            <v>8</v>
          </cell>
          <cell r="AA5">
            <v>0</v>
          </cell>
          <cell r="AB5">
            <v>25</v>
          </cell>
          <cell r="AC5">
            <v>0</v>
          </cell>
          <cell r="AD5">
            <v>623</v>
          </cell>
          <cell r="AF5" t="str">
            <v>01020101020101</v>
          </cell>
          <cell r="AG5">
            <v>12</v>
          </cell>
          <cell r="AH5">
            <v>24</v>
          </cell>
          <cell r="AI5">
            <v>2</v>
          </cell>
          <cell r="AJ5">
            <v>7</v>
          </cell>
          <cell r="AK5">
            <v>192</v>
          </cell>
          <cell r="AL5">
            <v>2.5</v>
          </cell>
          <cell r="AM5">
            <v>0</v>
          </cell>
          <cell r="AN5">
            <v>0</v>
          </cell>
          <cell r="AO5">
            <v>10</v>
          </cell>
          <cell r="AP5">
            <v>237.5</v>
          </cell>
          <cell r="AR5" t="str">
            <v>01020101020101</v>
          </cell>
          <cell r="AS5">
            <v>500</v>
          </cell>
        </row>
        <row r="6">
          <cell r="P6" t="str">
            <v>03020601010101</v>
          </cell>
          <cell r="Q6">
            <v>252</v>
          </cell>
          <cell r="R6">
            <v>0</v>
          </cell>
          <cell r="S6">
            <v>0</v>
          </cell>
          <cell r="T6">
            <v>10</v>
          </cell>
          <cell r="U6">
            <v>8</v>
          </cell>
          <cell r="V6">
            <v>8</v>
          </cell>
          <cell r="W6">
            <v>31</v>
          </cell>
          <cell r="X6">
            <v>255</v>
          </cell>
          <cell r="Y6">
            <v>26</v>
          </cell>
          <cell r="Z6">
            <v>8</v>
          </cell>
          <cell r="AA6">
            <v>0</v>
          </cell>
          <cell r="AB6">
            <v>25</v>
          </cell>
          <cell r="AC6">
            <v>141</v>
          </cell>
          <cell r="AD6">
            <v>764</v>
          </cell>
          <cell r="AF6" t="str">
            <v>03020601010101</v>
          </cell>
          <cell r="AG6">
            <v>12</v>
          </cell>
          <cell r="AH6">
            <v>24</v>
          </cell>
          <cell r="AI6">
            <v>2</v>
          </cell>
          <cell r="AJ6">
            <v>7</v>
          </cell>
          <cell r="AK6">
            <v>192</v>
          </cell>
          <cell r="AL6">
            <v>2.5</v>
          </cell>
          <cell r="AM6">
            <v>0</v>
          </cell>
          <cell r="AN6">
            <v>0</v>
          </cell>
          <cell r="AO6">
            <v>10</v>
          </cell>
          <cell r="AP6">
            <v>237.5</v>
          </cell>
          <cell r="AR6" t="str">
            <v>03020601010101</v>
          </cell>
          <cell r="AS6">
            <v>500</v>
          </cell>
        </row>
        <row r="7">
          <cell r="P7" t="str">
            <v>03020602010101</v>
          </cell>
          <cell r="Q7">
            <v>252</v>
          </cell>
          <cell r="R7">
            <v>0</v>
          </cell>
          <cell r="S7">
            <v>0</v>
          </cell>
          <cell r="T7">
            <v>10</v>
          </cell>
          <cell r="U7">
            <v>8</v>
          </cell>
          <cell r="V7">
            <v>8</v>
          </cell>
          <cell r="W7">
            <v>31</v>
          </cell>
          <cell r="X7">
            <v>255</v>
          </cell>
          <cell r="Y7">
            <v>0</v>
          </cell>
          <cell r="Z7">
            <v>0</v>
          </cell>
          <cell r="AA7">
            <v>0</v>
          </cell>
          <cell r="AB7">
            <v>0</v>
          </cell>
          <cell r="AC7">
            <v>0</v>
          </cell>
          <cell r="AD7">
            <v>564</v>
          </cell>
          <cell r="AF7" t="str">
            <v>03020602010101</v>
          </cell>
          <cell r="AG7">
            <v>12</v>
          </cell>
          <cell r="AH7">
            <v>24</v>
          </cell>
          <cell r="AI7">
            <v>2</v>
          </cell>
          <cell r="AJ7">
            <v>7</v>
          </cell>
          <cell r="AK7">
            <v>192</v>
          </cell>
          <cell r="AL7">
            <v>2.5</v>
          </cell>
          <cell r="AM7">
            <v>0</v>
          </cell>
          <cell r="AN7">
            <v>0</v>
          </cell>
          <cell r="AO7">
            <v>10</v>
          </cell>
          <cell r="AP7">
            <v>237.5</v>
          </cell>
          <cell r="AR7" t="str">
            <v>03020602010101</v>
          </cell>
          <cell r="AS7">
            <v>500</v>
          </cell>
        </row>
        <row r="8">
          <cell r="P8" t="str">
            <v>03020601020101</v>
          </cell>
          <cell r="Q8">
            <v>252</v>
          </cell>
          <cell r="R8">
            <v>0</v>
          </cell>
          <cell r="S8">
            <v>0</v>
          </cell>
          <cell r="T8">
            <v>10</v>
          </cell>
          <cell r="U8">
            <v>8</v>
          </cell>
          <cell r="V8">
            <v>8</v>
          </cell>
          <cell r="W8">
            <v>31</v>
          </cell>
          <cell r="X8">
            <v>255</v>
          </cell>
          <cell r="Y8">
            <v>26</v>
          </cell>
          <cell r="Z8">
            <v>8</v>
          </cell>
          <cell r="AA8">
            <v>0</v>
          </cell>
          <cell r="AB8">
            <v>25</v>
          </cell>
          <cell r="AC8">
            <v>0</v>
          </cell>
          <cell r="AD8">
            <v>623</v>
          </cell>
          <cell r="AF8" t="str">
            <v>03020601020101</v>
          </cell>
          <cell r="AG8">
            <v>12</v>
          </cell>
          <cell r="AH8">
            <v>24</v>
          </cell>
          <cell r="AI8">
            <v>2</v>
          </cell>
          <cell r="AJ8">
            <v>7</v>
          </cell>
          <cell r="AK8">
            <v>192</v>
          </cell>
          <cell r="AL8">
            <v>2.5</v>
          </cell>
          <cell r="AM8">
            <v>0</v>
          </cell>
          <cell r="AN8">
            <v>0</v>
          </cell>
          <cell r="AO8">
            <v>10</v>
          </cell>
          <cell r="AP8">
            <v>237.5</v>
          </cell>
          <cell r="AR8" t="str">
            <v>03020601020101</v>
          </cell>
          <cell r="AS8">
            <v>500</v>
          </cell>
        </row>
        <row r="9">
          <cell r="P9" t="str">
            <v>03020602020101</v>
          </cell>
          <cell r="Q9">
            <v>252</v>
          </cell>
          <cell r="R9">
            <v>0</v>
          </cell>
          <cell r="S9">
            <v>0</v>
          </cell>
          <cell r="T9">
            <v>10</v>
          </cell>
          <cell r="U9">
            <v>8</v>
          </cell>
          <cell r="V9">
            <v>8</v>
          </cell>
          <cell r="W9">
            <v>31</v>
          </cell>
          <cell r="X9">
            <v>255</v>
          </cell>
          <cell r="Y9">
            <v>0</v>
          </cell>
          <cell r="Z9">
            <v>0</v>
          </cell>
          <cell r="AA9">
            <v>0</v>
          </cell>
          <cell r="AB9">
            <v>0</v>
          </cell>
          <cell r="AC9">
            <v>0</v>
          </cell>
          <cell r="AD9">
            <v>564</v>
          </cell>
          <cell r="AF9" t="str">
            <v>03020602020101</v>
          </cell>
          <cell r="AG9">
            <v>12</v>
          </cell>
          <cell r="AH9">
            <v>24</v>
          </cell>
          <cell r="AI9">
            <v>2</v>
          </cell>
          <cell r="AJ9">
            <v>7</v>
          </cell>
          <cell r="AK9">
            <v>192</v>
          </cell>
          <cell r="AL9">
            <v>2.5</v>
          </cell>
          <cell r="AM9">
            <v>0</v>
          </cell>
          <cell r="AN9">
            <v>0</v>
          </cell>
          <cell r="AO9">
            <v>10</v>
          </cell>
          <cell r="AP9">
            <v>237.5</v>
          </cell>
          <cell r="AR9" t="str">
            <v>03020602020101</v>
          </cell>
          <cell r="AS9">
            <v>500</v>
          </cell>
        </row>
        <row r="10">
          <cell r="P10" t="str">
            <v>01020102010101</v>
          </cell>
          <cell r="Q10">
            <v>252</v>
          </cell>
          <cell r="R10">
            <v>0</v>
          </cell>
          <cell r="S10">
            <v>0</v>
          </cell>
          <cell r="T10">
            <v>10</v>
          </cell>
          <cell r="U10">
            <v>8</v>
          </cell>
          <cell r="V10">
            <v>8</v>
          </cell>
          <cell r="W10">
            <v>31</v>
          </cell>
          <cell r="X10">
            <v>255</v>
          </cell>
          <cell r="Y10">
            <v>0</v>
          </cell>
          <cell r="Z10">
            <v>0</v>
          </cell>
          <cell r="AA10">
            <v>0</v>
          </cell>
          <cell r="AB10">
            <v>0</v>
          </cell>
          <cell r="AC10">
            <v>0</v>
          </cell>
          <cell r="AD10">
            <v>564</v>
          </cell>
          <cell r="AF10" t="str">
            <v>01020102010101</v>
          </cell>
          <cell r="AG10">
            <v>12</v>
          </cell>
          <cell r="AH10">
            <v>24</v>
          </cell>
          <cell r="AI10">
            <v>2</v>
          </cell>
          <cell r="AJ10">
            <v>7</v>
          </cell>
          <cell r="AK10">
            <v>192</v>
          </cell>
          <cell r="AL10">
            <v>2.5</v>
          </cell>
          <cell r="AM10">
            <v>0</v>
          </cell>
          <cell r="AN10">
            <v>0</v>
          </cell>
          <cell r="AO10">
            <v>10</v>
          </cell>
          <cell r="AP10">
            <v>237.5</v>
          </cell>
          <cell r="AR10" t="str">
            <v>01020102010101</v>
          </cell>
          <cell r="AS10">
            <v>500</v>
          </cell>
        </row>
        <row r="11">
          <cell r="P11" t="str">
            <v>03020102020101</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F11" t="str">
            <v>03020102020101</v>
          </cell>
          <cell r="AG11">
            <v>0</v>
          </cell>
          <cell r="AH11">
            <v>0</v>
          </cell>
          <cell r="AI11">
            <v>0</v>
          </cell>
          <cell r="AJ11">
            <v>0</v>
          </cell>
          <cell r="AK11">
            <v>0</v>
          </cell>
          <cell r="AL11">
            <v>0</v>
          </cell>
          <cell r="AM11">
            <v>0</v>
          </cell>
          <cell r="AN11">
            <v>0</v>
          </cell>
          <cell r="AO11">
            <v>0</v>
          </cell>
          <cell r="AP11">
            <v>0</v>
          </cell>
          <cell r="AR11" t="str">
            <v>03020102020101</v>
          </cell>
          <cell r="AS11">
            <v>500</v>
          </cell>
        </row>
        <row r="12">
          <cell r="P12" t="str">
            <v>01010202010101</v>
          </cell>
          <cell r="Q12">
            <v>252</v>
          </cell>
          <cell r="R12">
            <v>0</v>
          </cell>
          <cell r="S12">
            <v>0</v>
          </cell>
          <cell r="T12">
            <v>10</v>
          </cell>
          <cell r="U12">
            <v>8</v>
          </cell>
          <cell r="V12">
            <v>8</v>
          </cell>
          <cell r="W12">
            <v>0</v>
          </cell>
          <cell r="X12">
            <v>255</v>
          </cell>
          <cell r="Y12">
            <v>0</v>
          </cell>
          <cell r="Z12">
            <v>0</v>
          </cell>
          <cell r="AA12">
            <v>0</v>
          </cell>
          <cell r="AB12">
            <v>0</v>
          </cell>
          <cell r="AC12">
            <v>0</v>
          </cell>
          <cell r="AD12">
            <v>533</v>
          </cell>
          <cell r="AF12" t="str">
            <v>01010202010101</v>
          </cell>
          <cell r="AG12">
            <v>13</v>
          </cell>
          <cell r="AH12">
            <v>26</v>
          </cell>
          <cell r="AI12">
            <v>2</v>
          </cell>
          <cell r="AJ12">
            <v>7</v>
          </cell>
          <cell r="AK12">
            <v>208</v>
          </cell>
          <cell r="AL12">
            <v>2.7</v>
          </cell>
          <cell r="AM12">
            <v>0</v>
          </cell>
          <cell r="AN12">
            <v>0</v>
          </cell>
          <cell r="AO12">
            <v>10</v>
          </cell>
          <cell r="AP12">
            <v>255.7</v>
          </cell>
          <cell r="AR12" t="str">
            <v>01010202010101</v>
          </cell>
          <cell r="AS12">
            <v>250</v>
          </cell>
        </row>
        <row r="13">
          <cell r="P13" t="str">
            <v>01010202020101</v>
          </cell>
          <cell r="Q13">
            <v>252</v>
          </cell>
          <cell r="R13">
            <v>0</v>
          </cell>
          <cell r="S13">
            <v>0</v>
          </cell>
          <cell r="T13">
            <v>10</v>
          </cell>
          <cell r="U13">
            <v>8</v>
          </cell>
          <cell r="V13">
            <v>8</v>
          </cell>
          <cell r="W13">
            <v>0</v>
          </cell>
          <cell r="X13">
            <v>255</v>
          </cell>
          <cell r="Y13">
            <v>0</v>
          </cell>
          <cell r="Z13">
            <v>0</v>
          </cell>
          <cell r="AA13">
            <v>0</v>
          </cell>
          <cell r="AB13">
            <v>0</v>
          </cell>
          <cell r="AC13">
            <v>0</v>
          </cell>
          <cell r="AD13">
            <v>533</v>
          </cell>
          <cell r="AF13" t="str">
            <v>01010202020101</v>
          </cell>
          <cell r="AG13">
            <v>13</v>
          </cell>
          <cell r="AH13">
            <v>26</v>
          </cell>
          <cell r="AI13">
            <v>2</v>
          </cell>
          <cell r="AJ13">
            <v>7</v>
          </cell>
          <cell r="AK13">
            <v>208</v>
          </cell>
          <cell r="AL13">
            <v>2.7</v>
          </cell>
          <cell r="AM13">
            <v>0</v>
          </cell>
          <cell r="AN13">
            <v>0</v>
          </cell>
          <cell r="AO13">
            <v>10</v>
          </cell>
          <cell r="AP13">
            <v>255.7</v>
          </cell>
          <cell r="AR13" t="str">
            <v>01010202020101</v>
          </cell>
          <cell r="AS13">
            <v>250</v>
          </cell>
        </row>
        <row r="14">
          <cell r="P14" t="str">
            <v>01020202010101</v>
          </cell>
          <cell r="Q14">
            <v>252</v>
          </cell>
          <cell r="R14">
            <v>0</v>
          </cell>
          <cell r="S14">
            <v>0</v>
          </cell>
          <cell r="T14">
            <v>10</v>
          </cell>
          <cell r="U14">
            <v>8</v>
          </cell>
          <cell r="V14">
            <v>8</v>
          </cell>
          <cell r="W14">
            <v>0</v>
          </cell>
          <cell r="X14">
            <v>255</v>
          </cell>
          <cell r="Y14">
            <v>0</v>
          </cell>
          <cell r="Z14">
            <v>0</v>
          </cell>
          <cell r="AA14">
            <v>0</v>
          </cell>
          <cell r="AB14">
            <v>0</v>
          </cell>
          <cell r="AC14">
            <v>0</v>
          </cell>
          <cell r="AD14">
            <v>533</v>
          </cell>
          <cell r="AF14" t="str">
            <v>01020202010101</v>
          </cell>
          <cell r="AG14">
            <v>10</v>
          </cell>
          <cell r="AH14">
            <v>20</v>
          </cell>
          <cell r="AI14">
            <v>2</v>
          </cell>
          <cell r="AJ14">
            <v>7</v>
          </cell>
          <cell r="AK14">
            <v>160</v>
          </cell>
          <cell r="AL14">
            <v>2.1</v>
          </cell>
          <cell r="AM14">
            <v>0</v>
          </cell>
          <cell r="AN14">
            <v>0</v>
          </cell>
          <cell r="AO14">
            <v>10</v>
          </cell>
          <cell r="AP14">
            <v>201.1</v>
          </cell>
          <cell r="AR14" t="str">
            <v>01020202010101</v>
          </cell>
          <cell r="AS14">
            <v>250</v>
          </cell>
        </row>
        <row r="15">
          <cell r="P15" t="str">
            <v>01020202020101</v>
          </cell>
          <cell r="Q15">
            <v>252</v>
          </cell>
          <cell r="R15">
            <v>0</v>
          </cell>
          <cell r="S15">
            <v>0</v>
          </cell>
          <cell r="T15">
            <v>10</v>
          </cell>
          <cell r="U15">
            <v>8</v>
          </cell>
          <cell r="V15">
            <v>8</v>
          </cell>
          <cell r="W15">
            <v>0</v>
          </cell>
          <cell r="X15">
            <v>255</v>
          </cell>
          <cell r="Y15">
            <v>0</v>
          </cell>
          <cell r="Z15">
            <v>0</v>
          </cell>
          <cell r="AA15">
            <v>0</v>
          </cell>
          <cell r="AB15">
            <v>0</v>
          </cell>
          <cell r="AC15">
            <v>0</v>
          </cell>
          <cell r="AD15">
            <v>533</v>
          </cell>
          <cell r="AF15" t="str">
            <v>01020202020101</v>
          </cell>
          <cell r="AG15">
            <v>10</v>
          </cell>
          <cell r="AH15">
            <v>20</v>
          </cell>
          <cell r="AI15">
            <v>2</v>
          </cell>
          <cell r="AJ15">
            <v>7</v>
          </cell>
          <cell r="AK15">
            <v>160</v>
          </cell>
          <cell r="AL15">
            <v>2.1</v>
          </cell>
          <cell r="AM15">
            <v>0</v>
          </cell>
          <cell r="AN15">
            <v>0</v>
          </cell>
          <cell r="AO15">
            <v>10</v>
          </cell>
          <cell r="AP15">
            <v>201.1</v>
          </cell>
          <cell r="AR15" t="str">
            <v>01020202020101</v>
          </cell>
          <cell r="AS15">
            <v>250</v>
          </cell>
        </row>
        <row r="16">
          <cell r="P16" t="str">
            <v>04020102010101</v>
          </cell>
          <cell r="Q16">
            <v>252</v>
          </cell>
          <cell r="R16">
            <v>0</v>
          </cell>
          <cell r="S16">
            <v>0</v>
          </cell>
          <cell r="T16">
            <v>10</v>
          </cell>
          <cell r="U16">
            <v>8</v>
          </cell>
          <cell r="V16">
            <v>8</v>
          </cell>
          <cell r="W16">
            <v>31</v>
          </cell>
          <cell r="X16">
            <v>0</v>
          </cell>
          <cell r="Y16">
            <v>0</v>
          </cell>
          <cell r="Z16">
            <v>0</v>
          </cell>
          <cell r="AA16">
            <v>0</v>
          </cell>
          <cell r="AB16">
            <v>0</v>
          </cell>
          <cell r="AC16">
            <v>0</v>
          </cell>
          <cell r="AD16">
            <v>309</v>
          </cell>
          <cell r="AF16" t="str">
            <v>04020102010101</v>
          </cell>
          <cell r="AG16">
            <v>8</v>
          </cell>
          <cell r="AH16">
            <v>16</v>
          </cell>
          <cell r="AI16">
            <v>2</v>
          </cell>
          <cell r="AJ16">
            <v>7</v>
          </cell>
          <cell r="AK16">
            <v>128</v>
          </cell>
          <cell r="AL16">
            <v>1.7</v>
          </cell>
          <cell r="AM16">
            <v>0</v>
          </cell>
          <cell r="AN16">
            <v>0</v>
          </cell>
          <cell r="AO16">
            <v>0</v>
          </cell>
          <cell r="AP16">
            <v>154.69999999999999</v>
          </cell>
          <cell r="AR16" t="str">
            <v>04020102010101</v>
          </cell>
          <cell r="AS16">
            <v>230</v>
          </cell>
        </row>
        <row r="17">
          <cell r="P17" t="str">
            <v>04020102020101</v>
          </cell>
          <cell r="Q17">
            <v>252</v>
          </cell>
          <cell r="R17">
            <v>0</v>
          </cell>
          <cell r="S17">
            <v>0</v>
          </cell>
          <cell r="T17">
            <v>10</v>
          </cell>
          <cell r="U17">
            <v>8</v>
          </cell>
          <cell r="V17">
            <v>8</v>
          </cell>
          <cell r="W17">
            <v>31</v>
          </cell>
          <cell r="X17">
            <v>0</v>
          </cell>
          <cell r="Y17">
            <v>0</v>
          </cell>
          <cell r="Z17">
            <v>0</v>
          </cell>
          <cell r="AA17">
            <v>0</v>
          </cell>
          <cell r="AB17">
            <v>0</v>
          </cell>
          <cell r="AC17">
            <v>0</v>
          </cell>
          <cell r="AD17">
            <v>309</v>
          </cell>
          <cell r="AF17" t="str">
            <v>04020102020101</v>
          </cell>
          <cell r="AG17">
            <v>8</v>
          </cell>
          <cell r="AH17">
            <v>16</v>
          </cell>
          <cell r="AI17">
            <v>2</v>
          </cell>
          <cell r="AJ17">
            <v>7</v>
          </cell>
          <cell r="AK17">
            <v>128</v>
          </cell>
          <cell r="AL17">
            <v>1.7</v>
          </cell>
          <cell r="AM17">
            <v>0</v>
          </cell>
          <cell r="AN17">
            <v>0</v>
          </cell>
          <cell r="AO17">
            <v>0</v>
          </cell>
          <cell r="AP17">
            <v>154.69999999999999</v>
          </cell>
          <cell r="AR17" t="str">
            <v>04020102020101</v>
          </cell>
          <cell r="AS17">
            <v>230</v>
          </cell>
        </row>
        <row r="18">
          <cell r="P18" t="str">
            <v>02020402010101</v>
          </cell>
          <cell r="Q18">
            <v>252</v>
          </cell>
          <cell r="R18">
            <v>0</v>
          </cell>
          <cell r="S18">
            <v>0</v>
          </cell>
          <cell r="T18">
            <v>10</v>
          </cell>
          <cell r="U18">
            <v>8</v>
          </cell>
          <cell r="V18">
            <v>8</v>
          </cell>
          <cell r="W18">
            <v>31</v>
          </cell>
          <cell r="X18">
            <v>0</v>
          </cell>
          <cell r="Y18">
            <v>0</v>
          </cell>
          <cell r="Z18">
            <v>0</v>
          </cell>
          <cell r="AA18">
            <v>0</v>
          </cell>
          <cell r="AB18">
            <v>0</v>
          </cell>
          <cell r="AC18">
            <v>0</v>
          </cell>
          <cell r="AD18">
            <v>309</v>
          </cell>
          <cell r="AF18" t="str">
            <v>02020402010101</v>
          </cell>
          <cell r="AG18">
            <v>8</v>
          </cell>
          <cell r="AH18">
            <v>16</v>
          </cell>
          <cell r="AI18">
            <v>2</v>
          </cell>
          <cell r="AJ18">
            <v>7</v>
          </cell>
          <cell r="AK18">
            <v>128</v>
          </cell>
          <cell r="AL18">
            <v>1.7</v>
          </cell>
          <cell r="AM18">
            <v>0</v>
          </cell>
          <cell r="AN18">
            <v>0</v>
          </cell>
          <cell r="AO18">
            <v>0</v>
          </cell>
          <cell r="AP18">
            <v>154.69999999999999</v>
          </cell>
          <cell r="AR18" t="str">
            <v>02020402010101</v>
          </cell>
          <cell r="AS18">
            <v>230</v>
          </cell>
        </row>
        <row r="19">
          <cell r="P19" t="str">
            <v>02020402020101</v>
          </cell>
          <cell r="Q19">
            <v>252</v>
          </cell>
          <cell r="R19">
            <v>0</v>
          </cell>
          <cell r="S19">
            <v>0</v>
          </cell>
          <cell r="T19">
            <v>10</v>
          </cell>
          <cell r="U19">
            <v>8</v>
          </cell>
          <cell r="V19">
            <v>8</v>
          </cell>
          <cell r="W19">
            <v>31</v>
          </cell>
          <cell r="X19">
            <v>0</v>
          </cell>
          <cell r="Y19">
            <v>0</v>
          </cell>
          <cell r="Z19">
            <v>0</v>
          </cell>
          <cell r="AA19">
            <v>0</v>
          </cell>
          <cell r="AB19">
            <v>0</v>
          </cell>
          <cell r="AC19">
            <v>0</v>
          </cell>
          <cell r="AD19">
            <v>309</v>
          </cell>
          <cell r="AF19" t="str">
            <v>02020402020101</v>
          </cell>
          <cell r="AG19">
            <v>8</v>
          </cell>
          <cell r="AH19">
            <v>16</v>
          </cell>
          <cell r="AI19">
            <v>2</v>
          </cell>
          <cell r="AJ19">
            <v>7</v>
          </cell>
          <cell r="AK19">
            <v>128</v>
          </cell>
          <cell r="AL19">
            <v>1.7</v>
          </cell>
          <cell r="AM19">
            <v>0</v>
          </cell>
          <cell r="AN19">
            <v>0</v>
          </cell>
          <cell r="AO19">
            <v>0</v>
          </cell>
          <cell r="AP19">
            <v>154.69999999999999</v>
          </cell>
          <cell r="AR19" t="str">
            <v>02020402020101</v>
          </cell>
          <cell r="AS19">
            <v>230</v>
          </cell>
        </row>
        <row r="20">
          <cell r="P20" t="str">
            <v>02020502010101</v>
          </cell>
          <cell r="Q20">
            <v>252</v>
          </cell>
          <cell r="R20">
            <v>0</v>
          </cell>
          <cell r="S20">
            <v>0</v>
          </cell>
          <cell r="T20">
            <v>10</v>
          </cell>
          <cell r="U20">
            <v>8</v>
          </cell>
          <cell r="V20">
            <v>8</v>
          </cell>
          <cell r="W20">
            <v>0</v>
          </cell>
          <cell r="X20">
            <v>0</v>
          </cell>
          <cell r="Y20">
            <v>0</v>
          </cell>
          <cell r="Z20">
            <v>0</v>
          </cell>
          <cell r="AA20">
            <v>0</v>
          </cell>
          <cell r="AB20">
            <v>0</v>
          </cell>
          <cell r="AC20">
            <v>0</v>
          </cell>
          <cell r="AD20">
            <v>278</v>
          </cell>
          <cell r="AF20" t="str">
            <v>02020502010101</v>
          </cell>
          <cell r="AG20">
            <v>8</v>
          </cell>
          <cell r="AH20">
            <v>16</v>
          </cell>
          <cell r="AI20">
            <v>2</v>
          </cell>
          <cell r="AJ20">
            <v>7</v>
          </cell>
          <cell r="AK20">
            <v>128</v>
          </cell>
          <cell r="AL20">
            <v>1.7</v>
          </cell>
          <cell r="AM20">
            <v>0</v>
          </cell>
          <cell r="AN20">
            <v>0</v>
          </cell>
          <cell r="AO20">
            <v>0</v>
          </cell>
          <cell r="AP20">
            <v>154.69999999999999</v>
          </cell>
          <cell r="AR20" t="str">
            <v>02020502010101</v>
          </cell>
          <cell r="AS20">
            <v>230</v>
          </cell>
        </row>
        <row r="21">
          <cell r="P21" t="str">
            <v>02020502020101</v>
          </cell>
          <cell r="Q21">
            <v>252</v>
          </cell>
          <cell r="R21">
            <v>0</v>
          </cell>
          <cell r="S21">
            <v>0</v>
          </cell>
          <cell r="T21">
            <v>10</v>
          </cell>
          <cell r="U21">
            <v>8</v>
          </cell>
          <cell r="V21">
            <v>8</v>
          </cell>
          <cell r="W21">
            <v>0</v>
          </cell>
          <cell r="X21">
            <v>0</v>
          </cell>
          <cell r="Y21">
            <v>0</v>
          </cell>
          <cell r="Z21">
            <v>0</v>
          </cell>
          <cell r="AA21">
            <v>0</v>
          </cell>
          <cell r="AB21">
            <v>0</v>
          </cell>
          <cell r="AC21">
            <v>0</v>
          </cell>
          <cell r="AD21">
            <v>278</v>
          </cell>
          <cell r="AF21" t="str">
            <v>02020502020101</v>
          </cell>
          <cell r="AG21">
            <v>8</v>
          </cell>
          <cell r="AH21">
            <v>16</v>
          </cell>
          <cell r="AI21">
            <v>2</v>
          </cell>
          <cell r="AJ21">
            <v>7</v>
          </cell>
          <cell r="AK21">
            <v>128</v>
          </cell>
          <cell r="AL21">
            <v>1.7</v>
          </cell>
          <cell r="AM21">
            <v>0</v>
          </cell>
          <cell r="AN21">
            <v>0</v>
          </cell>
          <cell r="AO21">
            <v>0</v>
          </cell>
          <cell r="AP21">
            <v>154.69999999999999</v>
          </cell>
          <cell r="AR21" t="str">
            <v>02020502020101</v>
          </cell>
          <cell r="AS21">
            <v>230</v>
          </cell>
        </row>
        <row r="22">
          <cell r="P22" t="str">
            <v>02020102010101</v>
          </cell>
          <cell r="Q22">
            <v>252</v>
          </cell>
          <cell r="R22">
            <v>0</v>
          </cell>
          <cell r="S22">
            <v>0</v>
          </cell>
          <cell r="T22">
            <v>10</v>
          </cell>
          <cell r="U22">
            <v>8</v>
          </cell>
          <cell r="V22">
            <v>8</v>
          </cell>
          <cell r="W22">
            <v>0</v>
          </cell>
          <cell r="X22">
            <v>0</v>
          </cell>
          <cell r="Y22">
            <v>0</v>
          </cell>
          <cell r="Z22">
            <v>0</v>
          </cell>
          <cell r="AA22">
            <v>0</v>
          </cell>
          <cell r="AB22">
            <v>0</v>
          </cell>
          <cell r="AC22">
            <v>0</v>
          </cell>
          <cell r="AD22">
            <v>278</v>
          </cell>
          <cell r="AF22" t="str">
            <v>02020102010101</v>
          </cell>
          <cell r="AG22">
            <v>8</v>
          </cell>
          <cell r="AH22">
            <v>16</v>
          </cell>
          <cell r="AI22">
            <v>2</v>
          </cell>
          <cell r="AJ22">
            <v>7</v>
          </cell>
          <cell r="AK22">
            <v>128</v>
          </cell>
          <cell r="AL22">
            <v>1.7</v>
          </cell>
          <cell r="AM22">
            <v>0</v>
          </cell>
          <cell r="AN22">
            <v>0</v>
          </cell>
          <cell r="AO22">
            <v>0</v>
          </cell>
          <cell r="AP22">
            <v>154.69999999999999</v>
          </cell>
          <cell r="AR22" t="str">
            <v>02020102010101</v>
          </cell>
          <cell r="AS22">
            <v>230</v>
          </cell>
        </row>
        <row r="23">
          <cell r="P23" t="str">
            <v>02020102020101</v>
          </cell>
          <cell r="Q23">
            <v>252</v>
          </cell>
          <cell r="R23">
            <v>0</v>
          </cell>
          <cell r="S23">
            <v>0</v>
          </cell>
          <cell r="T23">
            <v>10</v>
          </cell>
          <cell r="U23">
            <v>8</v>
          </cell>
          <cell r="V23">
            <v>8</v>
          </cell>
          <cell r="W23">
            <v>0</v>
          </cell>
          <cell r="X23">
            <v>0</v>
          </cell>
          <cell r="Y23">
            <v>0</v>
          </cell>
          <cell r="Z23">
            <v>0</v>
          </cell>
          <cell r="AA23">
            <v>0</v>
          </cell>
          <cell r="AB23">
            <v>0</v>
          </cell>
          <cell r="AC23">
            <v>0</v>
          </cell>
          <cell r="AD23">
            <v>278</v>
          </cell>
          <cell r="AF23" t="str">
            <v>02020102020101</v>
          </cell>
          <cell r="AG23">
            <v>8</v>
          </cell>
          <cell r="AH23">
            <v>16</v>
          </cell>
          <cell r="AI23">
            <v>2</v>
          </cell>
          <cell r="AJ23">
            <v>7</v>
          </cell>
          <cell r="AK23">
            <v>128</v>
          </cell>
          <cell r="AL23">
            <v>1.7</v>
          </cell>
          <cell r="AM23">
            <v>0</v>
          </cell>
          <cell r="AN23">
            <v>0</v>
          </cell>
          <cell r="AO23">
            <v>0</v>
          </cell>
          <cell r="AP23">
            <v>154.69999999999999</v>
          </cell>
          <cell r="AR23" t="str">
            <v>02020102020101</v>
          </cell>
          <cell r="AS23">
            <v>230</v>
          </cell>
        </row>
        <row r="24">
          <cell r="P24" t="str">
            <v>06010102010101</v>
          </cell>
          <cell r="Q24">
            <v>0</v>
          </cell>
          <cell r="R24">
            <v>35</v>
          </cell>
          <cell r="S24">
            <v>0</v>
          </cell>
          <cell r="T24">
            <v>10</v>
          </cell>
          <cell r="U24">
            <v>8</v>
          </cell>
          <cell r="V24">
            <v>8</v>
          </cell>
          <cell r="W24">
            <v>0</v>
          </cell>
          <cell r="X24">
            <v>0</v>
          </cell>
          <cell r="Y24">
            <v>0</v>
          </cell>
          <cell r="Z24">
            <v>0</v>
          </cell>
          <cell r="AA24">
            <v>0</v>
          </cell>
          <cell r="AB24">
            <v>0</v>
          </cell>
          <cell r="AC24">
            <v>0</v>
          </cell>
          <cell r="AD24">
            <v>61</v>
          </cell>
          <cell r="AF24" t="str">
            <v>06010102010101</v>
          </cell>
          <cell r="AG24">
            <v>5</v>
          </cell>
          <cell r="AH24">
            <v>10</v>
          </cell>
          <cell r="AI24">
            <v>2</v>
          </cell>
          <cell r="AJ24">
            <v>7</v>
          </cell>
          <cell r="AK24">
            <v>80</v>
          </cell>
          <cell r="AL24">
            <v>1.1000000000000001</v>
          </cell>
          <cell r="AM24">
            <v>0</v>
          </cell>
          <cell r="AN24">
            <v>0</v>
          </cell>
          <cell r="AO24">
            <v>0</v>
          </cell>
          <cell r="AP24">
            <v>100.1</v>
          </cell>
          <cell r="AR24" t="str">
            <v>06010102010101</v>
          </cell>
          <cell r="AS24">
            <v>400</v>
          </cell>
        </row>
        <row r="25">
          <cell r="P25" t="str">
            <v>06010102020101</v>
          </cell>
          <cell r="Q25">
            <v>0</v>
          </cell>
          <cell r="R25">
            <v>35</v>
          </cell>
          <cell r="S25">
            <v>0</v>
          </cell>
          <cell r="T25">
            <v>10</v>
          </cell>
          <cell r="U25">
            <v>8</v>
          </cell>
          <cell r="V25">
            <v>8</v>
          </cell>
          <cell r="W25">
            <v>0</v>
          </cell>
          <cell r="X25">
            <v>0</v>
          </cell>
          <cell r="Y25">
            <v>0</v>
          </cell>
          <cell r="Z25">
            <v>0</v>
          </cell>
          <cell r="AA25">
            <v>0</v>
          </cell>
          <cell r="AB25">
            <v>0</v>
          </cell>
          <cell r="AC25">
            <v>0</v>
          </cell>
          <cell r="AD25">
            <v>61</v>
          </cell>
          <cell r="AF25" t="str">
            <v>06010102020101</v>
          </cell>
          <cell r="AG25">
            <v>5</v>
          </cell>
          <cell r="AH25">
            <v>10</v>
          </cell>
          <cell r="AI25">
            <v>2</v>
          </cell>
          <cell r="AJ25">
            <v>7</v>
          </cell>
          <cell r="AK25">
            <v>80</v>
          </cell>
          <cell r="AL25">
            <v>1.1000000000000001</v>
          </cell>
          <cell r="AM25">
            <v>0</v>
          </cell>
          <cell r="AN25">
            <v>0</v>
          </cell>
          <cell r="AO25">
            <v>0</v>
          </cell>
          <cell r="AP25">
            <v>100.1</v>
          </cell>
          <cell r="AR25" t="str">
            <v>06010102020101</v>
          </cell>
          <cell r="AS25">
            <v>400</v>
          </cell>
        </row>
        <row r="26">
          <cell r="P26" t="str">
            <v>06020102010101</v>
          </cell>
          <cell r="Q26">
            <v>0</v>
          </cell>
          <cell r="R26">
            <v>35</v>
          </cell>
          <cell r="S26">
            <v>0</v>
          </cell>
          <cell r="T26">
            <v>10</v>
          </cell>
          <cell r="U26">
            <v>8</v>
          </cell>
          <cell r="V26">
            <v>8</v>
          </cell>
          <cell r="W26">
            <v>0</v>
          </cell>
          <cell r="X26">
            <v>0</v>
          </cell>
          <cell r="Y26">
            <v>0</v>
          </cell>
          <cell r="Z26">
            <v>0</v>
          </cell>
          <cell r="AA26">
            <v>0</v>
          </cell>
          <cell r="AB26">
            <v>0</v>
          </cell>
          <cell r="AC26">
            <v>0</v>
          </cell>
          <cell r="AD26">
            <v>61</v>
          </cell>
          <cell r="AF26" t="str">
            <v>06020102010101</v>
          </cell>
          <cell r="AG26">
            <v>5</v>
          </cell>
          <cell r="AH26">
            <v>10</v>
          </cell>
          <cell r="AI26">
            <v>2</v>
          </cell>
          <cell r="AJ26">
            <v>7</v>
          </cell>
          <cell r="AK26">
            <v>80</v>
          </cell>
          <cell r="AL26">
            <v>1.1000000000000001</v>
          </cell>
          <cell r="AM26">
            <v>0</v>
          </cell>
          <cell r="AN26">
            <v>0</v>
          </cell>
          <cell r="AO26">
            <v>0</v>
          </cell>
          <cell r="AP26">
            <v>100.1</v>
          </cell>
          <cell r="AR26" t="str">
            <v>06020102010101</v>
          </cell>
          <cell r="AS26">
            <v>400</v>
          </cell>
        </row>
        <row r="27">
          <cell r="P27" t="str">
            <v>06020102020101</v>
          </cell>
          <cell r="Q27">
            <v>0</v>
          </cell>
          <cell r="R27">
            <v>35</v>
          </cell>
          <cell r="S27">
            <v>0</v>
          </cell>
          <cell r="T27">
            <v>10</v>
          </cell>
          <cell r="U27">
            <v>8</v>
          </cell>
          <cell r="V27">
            <v>8</v>
          </cell>
          <cell r="W27">
            <v>0</v>
          </cell>
          <cell r="X27">
            <v>0</v>
          </cell>
          <cell r="Y27">
            <v>0</v>
          </cell>
          <cell r="Z27">
            <v>0</v>
          </cell>
          <cell r="AA27">
            <v>0</v>
          </cell>
          <cell r="AB27">
            <v>0</v>
          </cell>
          <cell r="AC27">
            <v>0</v>
          </cell>
          <cell r="AD27">
            <v>61</v>
          </cell>
          <cell r="AF27" t="str">
            <v>06020102020101</v>
          </cell>
          <cell r="AG27">
            <v>5</v>
          </cell>
          <cell r="AH27">
            <v>10</v>
          </cell>
          <cell r="AI27">
            <v>2</v>
          </cell>
          <cell r="AJ27">
            <v>7</v>
          </cell>
          <cell r="AK27">
            <v>80</v>
          </cell>
          <cell r="AL27">
            <v>1.1000000000000001</v>
          </cell>
          <cell r="AM27">
            <v>0</v>
          </cell>
          <cell r="AN27">
            <v>0</v>
          </cell>
          <cell r="AO27">
            <v>0</v>
          </cell>
          <cell r="AP27">
            <v>100.1</v>
          </cell>
          <cell r="AR27" t="str">
            <v>06020102020101</v>
          </cell>
          <cell r="AS27">
            <v>400</v>
          </cell>
        </row>
        <row r="28">
          <cell r="P28" t="str">
            <v>10010102010101</v>
          </cell>
          <cell r="Q28">
            <v>0</v>
          </cell>
          <cell r="R28">
            <v>35</v>
          </cell>
          <cell r="S28">
            <v>0</v>
          </cell>
          <cell r="T28">
            <v>10</v>
          </cell>
          <cell r="U28">
            <v>8</v>
          </cell>
          <cell r="V28">
            <v>8</v>
          </cell>
          <cell r="W28">
            <v>0</v>
          </cell>
          <cell r="X28">
            <v>0</v>
          </cell>
          <cell r="Y28">
            <v>0</v>
          </cell>
          <cell r="Z28">
            <v>0</v>
          </cell>
          <cell r="AA28">
            <v>0</v>
          </cell>
          <cell r="AB28">
            <v>0</v>
          </cell>
          <cell r="AC28">
            <v>0</v>
          </cell>
          <cell r="AD28">
            <v>61</v>
          </cell>
          <cell r="AF28" t="str">
            <v>10010102010101</v>
          </cell>
          <cell r="AG28">
            <v>5</v>
          </cell>
          <cell r="AH28">
            <v>10</v>
          </cell>
          <cell r="AI28">
            <v>2</v>
          </cell>
          <cell r="AJ28">
            <v>7</v>
          </cell>
          <cell r="AK28">
            <v>80</v>
          </cell>
          <cell r="AL28">
            <v>1.1000000000000001</v>
          </cell>
          <cell r="AM28">
            <v>0</v>
          </cell>
          <cell r="AN28">
            <v>0</v>
          </cell>
          <cell r="AO28">
            <v>0</v>
          </cell>
          <cell r="AP28">
            <v>100.1</v>
          </cell>
          <cell r="AR28" t="str">
            <v>10010102010101</v>
          </cell>
          <cell r="AS28">
            <v>400</v>
          </cell>
        </row>
        <row r="29">
          <cell r="P29" t="str">
            <v>10010102020101</v>
          </cell>
          <cell r="Q29">
            <v>0</v>
          </cell>
          <cell r="R29">
            <v>35</v>
          </cell>
          <cell r="S29">
            <v>0</v>
          </cell>
          <cell r="T29">
            <v>10</v>
          </cell>
          <cell r="U29">
            <v>8</v>
          </cell>
          <cell r="V29">
            <v>8</v>
          </cell>
          <cell r="W29">
            <v>0</v>
          </cell>
          <cell r="X29">
            <v>0</v>
          </cell>
          <cell r="Y29">
            <v>0</v>
          </cell>
          <cell r="Z29">
            <v>0</v>
          </cell>
          <cell r="AA29">
            <v>0</v>
          </cell>
          <cell r="AB29">
            <v>0</v>
          </cell>
          <cell r="AC29">
            <v>0</v>
          </cell>
          <cell r="AD29">
            <v>61</v>
          </cell>
          <cell r="AF29" t="str">
            <v>10010102020101</v>
          </cell>
          <cell r="AG29">
            <v>5</v>
          </cell>
          <cell r="AH29">
            <v>10</v>
          </cell>
          <cell r="AI29">
            <v>2</v>
          </cell>
          <cell r="AJ29">
            <v>7</v>
          </cell>
          <cell r="AK29">
            <v>80</v>
          </cell>
          <cell r="AL29">
            <v>1.1000000000000001</v>
          </cell>
          <cell r="AM29">
            <v>0</v>
          </cell>
          <cell r="AN29">
            <v>0</v>
          </cell>
          <cell r="AO29">
            <v>0</v>
          </cell>
          <cell r="AP29">
            <v>100.1</v>
          </cell>
          <cell r="AR29" t="str">
            <v>10010102020101</v>
          </cell>
          <cell r="AS29">
            <v>400</v>
          </cell>
        </row>
        <row r="30">
          <cell r="P30" t="str">
            <v>10020102010101</v>
          </cell>
          <cell r="Q30">
            <v>0</v>
          </cell>
          <cell r="R30">
            <v>35</v>
          </cell>
          <cell r="S30">
            <v>0</v>
          </cell>
          <cell r="T30">
            <v>10</v>
          </cell>
          <cell r="U30">
            <v>8</v>
          </cell>
          <cell r="V30">
            <v>8</v>
          </cell>
          <cell r="W30">
            <v>0</v>
          </cell>
          <cell r="X30">
            <v>0</v>
          </cell>
          <cell r="Y30">
            <v>0</v>
          </cell>
          <cell r="Z30">
            <v>0</v>
          </cell>
          <cell r="AA30">
            <v>0</v>
          </cell>
          <cell r="AB30">
            <v>0</v>
          </cell>
          <cell r="AC30">
            <v>0</v>
          </cell>
          <cell r="AD30">
            <v>61</v>
          </cell>
          <cell r="AF30" t="str">
            <v>10020102010101</v>
          </cell>
          <cell r="AG30">
            <v>5</v>
          </cell>
          <cell r="AH30">
            <v>10</v>
          </cell>
          <cell r="AI30">
            <v>2</v>
          </cell>
          <cell r="AJ30">
            <v>7</v>
          </cell>
          <cell r="AK30">
            <v>80</v>
          </cell>
          <cell r="AL30">
            <v>1.1000000000000001</v>
          </cell>
          <cell r="AM30">
            <v>0</v>
          </cell>
          <cell r="AN30">
            <v>0</v>
          </cell>
          <cell r="AO30">
            <v>0</v>
          </cell>
          <cell r="AP30">
            <v>100.1</v>
          </cell>
          <cell r="AR30" t="str">
            <v>10020102010101</v>
          </cell>
          <cell r="AS30">
            <v>400</v>
          </cell>
        </row>
        <row r="31">
          <cell r="P31" t="str">
            <v>10020102020101</v>
          </cell>
          <cell r="Q31">
            <v>0</v>
          </cell>
          <cell r="R31">
            <v>35</v>
          </cell>
          <cell r="S31">
            <v>0</v>
          </cell>
          <cell r="T31">
            <v>10</v>
          </cell>
          <cell r="U31">
            <v>8</v>
          </cell>
          <cell r="V31">
            <v>8</v>
          </cell>
          <cell r="W31">
            <v>0</v>
          </cell>
          <cell r="X31">
            <v>0</v>
          </cell>
          <cell r="Y31">
            <v>0</v>
          </cell>
          <cell r="Z31">
            <v>0</v>
          </cell>
          <cell r="AA31">
            <v>0</v>
          </cell>
          <cell r="AB31">
            <v>0</v>
          </cell>
          <cell r="AC31">
            <v>0</v>
          </cell>
          <cell r="AD31">
            <v>61</v>
          </cell>
          <cell r="AF31" t="str">
            <v>10020102020101</v>
          </cell>
          <cell r="AG31">
            <v>5</v>
          </cell>
          <cell r="AH31">
            <v>10</v>
          </cell>
          <cell r="AI31">
            <v>2</v>
          </cell>
          <cell r="AJ31">
            <v>7</v>
          </cell>
          <cell r="AK31">
            <v>80</v>
          </cell>
          <cell r="AL31">
            <v>1.1000000000000001</v>
          </cell>
          <cell r="AM31">
            <v>0</v>
          </cell>
          <cell r="AN31">
            <v>0</v>
          </cell>
          <cell r="AO31">
            <v>0</v>
          </cell>
          <cell r="AP31">
            <v>100.1</v>
          </cell>
          <cell r="AR31" t="str">
            <v>10020102020101</v>
          </cell>
          <cell r="AS31">
            <v>400</v>
          </cell>
        </row>
        <row r="32">
          <cell r="P32" t="str">
            <v>07010102010101</v>
          </cell>
          <cell r="Q32">
            <v>0</v>
          </cell>
          <cell r="R32">
            <v>0</v>
          </cell>
          <cell r="S32">
            <v>35</v>
          </cell>
          <cell r="T32">
            <v>10</v>
          </cell>
          <cell r="U32">
            <v>8</v>
          </cell>
          <cell r="V32">
            <v>8</v>
          </cell>
          <cell r="W32">
            <v>0</v>
          </cell>
          <cell r="X32">
            <v>0</v>
          </cell>
          <cell r="Y32">
            <v>0</v>
          </cell>
          <cell r="Z32">
            <v>0</v>
          </cell>
          <cell r="AA32">
            <v>0</v>
          </cell>
          <cell r="AB32">
            <v>0</v>
          </cell>
          <cell r="AC32">
            <v>0</v>
          </cell>
          <cell r="AD32">
            <v>61</v>
          </cell>
          <cell r="AF32" t="str">
            <v>07010102010101</v>
          </cell>
          <cell r="AG32">
            <v>5</v>
          </cell>
          <cell r="AH32">
            <v>10</v>
          </cell>
          <cell r="AI32">
            <v>2</v>
          </cell>
          <cell r="AJ32">
            <v>7</v>
          </cell>
          <cell r="AK32">
            <v>80</v>
          </cell>
          <cell r="AL32">
            <v>1.1000000000000001</v>
          </cell>
          <cell r="AM32">
            <v>0</v>
          </cell>
          <cell r="AN32">
            <v>0</v>
          </cell>
          <cell r="AO32">
            <v>0</v>
          </cell>
          <cell r="AP32">
            <v>100.1</v>
          </cell>
          <cell r="AR32" t="str">
            <v>07010102010101</v>
          </cell>
          <cell r="AS32">
            <v>150</v>
          </cell>
        </row>
        <row r="33">
          <cell r="P33" t="str">
            <v>07010102020101</v>
          </cell>
          <cell r="Q33">
            <v>0</v>
          </cell>
          <cell r="R33">
            <v>0</v>
          </cell>
          <cell r="S33">
            <v>35</v>
          </cell>
          <cell r="T33">
            <v>10</v>
          </cell>
          <cell r="U33">
            <v>8</v>
          </cell>
          <cell r="V33">
            <v>8</v>
          </cell>
          <cell r="W33">
            <v>0</v>
          </cell>
          <cell r="X33">
            <v>0</v>
          </cell>
          <cell r="Y33">
            <v>0</v>
          </cell>
          <cell r="Z33">
            <v>0</v>
          </cell>
          <cell r="AA33">
            <v>0</v>
          </cell>
          <cell r="AB33">
            <v>0</v>
          </cell>
          <cell r="AC33">
            <v>0</v>
          </cell>
          <cell r="AD33">
            <v>61</v>
          </cell>
          <cell r="AF33" t="str">
            <v>07010102020101</v>
          </cell>
          <cell r="AG33">
            <v>5</v>
          </cell>
          <cell r="AH33">
            <v>10</v>
          </cell>
          <cell r="AI33">
            <v>2</v>
          </cell>
          <cell r="AJ33">
            <v>7</v>
          </cell>
          <cell r="AK33">
            <v>80</v>
          </cell>
          <cell r="AL33">
            <v>1.1000000000000001</v>
          </cell>
          <cell r="AM33">
            <v>0</v>
          </cell>
          <cell r="AN33">
            <v>0</v>
          </cell>
          <cell r="AO33">
            <v>0</v>
          </cell>
          <cell r="AP33">
            <v>100.1</v>
          </cell>
          <cell r="AR33" t="str">
            <v>07010102020101</v>
          </cell>
          <cell r="AS33">
            <v>150</v>
          </cell>
        </row>
        <row r="34">
          <cell r="P34" t="str">
            <v>07020102010101</v>
          </cell>
          <cell r="Q34">
            <v>0</v>
          </cell>
          <cell r="R34">
            <v>0</v>
          </cell>
          <cell r="S34">
            <v>35</v>
          </cell>
          <cell r="T34">
            <v>10</v>
          </cell>
          <cell r="U34">
            <v>8</v>
          </cell>
          <cell r="V34">
            <v>8</v>
          </cell>
          <cell r="W34">
            <v>0</v>
          </cell>
          <cell r="X34">
            <v>0</v>
          </cell>
          <cell r="Y34">
            <v>0</v>
          </cell>
          <cell r="Z34">
            <v>0</v>
          </cell>
          <cell r="AA34">
            <v>0</v>
          </cell>
          <cell r="AB34">
            <v>0</v>
          </cell>
          <cell r="AC34">
            <v>0</v>
          </cell>
          <cell r="AD34">
            <v>61</v>
          </cell>
          <cell r="AF34" t="str">
            <v>07020102010101</v>
          </cell>
          <cell r="AG34">
            <v>5</v>
          </cell>
          <cell r="AH34">
            <v>10</v>
          </cell>
          <cell r="AI34">
            <v>2</v>
          </cell>
          <cell r="AJ34">
            <v>7</v>
          </cell>
          <cell r="AK34">
            <v>80</v>
          </cell>
          <cell r="AL34">
            <v>1.1000000000000001</v>
          </cell>
          <cell r="AM34">
            <v>0</v>
          </cell>
          <cell r="AN34">
            <v>0</v>
          </cell>
          <cell r="AO34">
            <v>0</v>
          </cell>
          <cell r="AP34">
            <v>100.1</v>
          </cell>
          <cell r="AR34" t="str">
            <v>07020102010101</v>
          </cell>
          <cell r="AS34">
            <v>150</v>
          </cell>
        </row>
        <row r="35">
          <cell r="P35" t="str">
            <v>07020102020101</v>
          </cell>
          <cell r="Q35">
            <v>0</v>
          </cell>
          <cell r="R35">
            <v>0</v>
          </cell>
          <cell r="S35">
            <v>35</v>
          </cell>
          <cell r="T35">
            <v>10</v>
          </cell>
          <cell r="U35">
            <v>8</v>
          </cell>
          <cell r="V35">
            <v>8</v>
          </cell>
          <cell r="W35">
            <v>0</v>
          </cell>
          <cell r="X35">
            <v>0</v>
          </cell>
          <cell r="Y35">
            <v>0</v>
          </cell>
          <cell r="Z35">
            <v>0</v>
          </cell>
          <cell r="AA35">
            <v>0</v>
          </cell>
          <cell r="AB35">
            <v>0</v>
          </cell>
          <cell r="AC35">
            <v>0</v>
          </cell>
          <cell r="AD35">
            <v>61</v>
          </cell>
          <cell r="AF35" t="str">
            <v>07020102020101</v>
          </cell>
          <cell r="AG35">
            <v>5</v>
          </cell>
          <cell r="AH35">
            <v>10</v>
          </cell>
          <cell r="AI35">
            <v>2</v>
          </cell>
          <cell r="AJ35">
            <v>7</v>
          </cell>
          <cell r="AK35">
            <v>80</v>
          </cell>
          <cell r="AL35">
            <v>1.1000000000000001</v>
          </cell>
          <cell r="AM35">
            <v>0</v>
          </cell>
          <cell r="AN35">
            <v>0</v>
          </cell>
          <cell r="AO35">
            <v>0</v>
          </cell>
          <cell r="AP35">
            <v>100.1</v>
          </cell>
          <cell r="AR35" t="str">
            <v>07020102020101</v>
          </cell>
          <cell r="AS35">
            <v>150</v>
          </cell>
        </row>
        <row r="36">
          <cell r="P36" t="str">
            <v>11010102010101</v>
          </cell>
          <cell r="Q36">
            <v>0</v>
          </cell>
          <cell r="R36">
            <v>0</v>
          </cell>
          <cell r="S36">
            <v>0</v>
          </cell>
          <cell r="T36">
            <v>10</v>
          </cell>
          <cell r="U36">
            <v>8</v>
          </cell>
          <cell r="V36">
            <v>8</v>
          </cell>
          <cell r="W36">
            <v>0</v>
          </cell>
          <cell r="X36">
            <v>0</v>
          </cell>
          <cell r="Y36">
            <v>0</v>
          </cell>
          <cell r="Z36">
            <v>0</v>
          </cell>
          <cell r="AA36">
            <v>0</v>
          </cell>
          <cell r="AB36">
            <v>0</v>
          </cell>
          <cell r="AC36">
            <v>0</v>
          </cell>
          <cell r="AD36">
            <v>26</v>
          </cell>
          <cell r="AF36" t="str">
            <v>11010102010101</v>
          </cell>
          <cell r="AG36">
            <v>5</v>
          </cell>
          <cell r="AH36">
            <v>10</v>
          </cell>
          <cell r="AI36">
            <v>2</v>
          </cell>
          <cell r="AJ36">
            <v>7</v>
          </cell>
          <cell r="AK36">
            <v>80</v>
          </cell>
          <cell r="AL36">
            <v>1.1000000000000001</v>
          </cell>
          <cell r="AM36">
            <v>0</v>
          </cell>
          <cell r="AN36">
            <v>0</v>
          </cell>
          <cell r="AO36">
            <v>0</v>
          </cell>
          <cell r="AP36">
            <v>100.1</v>
          </cell>
          <cell r="AR36" t="str">
            <v>11010102010101</v>
          </cell>
          <cell r="AS36">
            <v>400</v>
          </cell>
        </row>
        <row r="37">
          <cell r="P37" t="str">
            <v>11020102010101</v>
          </cell>
          <cell r="Q37">
            <v>0</v>
          </cell>
          <cell r="R37">
            <v>0</v>
          </cell>
          <cell r="S37">
            <v>0</v>
          </cell>
          <cell r="T37">
            <v>10</v>
          </cell>
          <cell r="U37">
            <v>8</v>
          </cell>
          <cell r="V37">
            <v>8</v>
          </cell>
          <cell r="W37">
            <v>0</v>
          </cell>
          <cell r="X37">
            <v>0</v>
          </cell>
          <cell r="Y37">
            <v>0</v>
          </cell>
          <cell r="Z37">
            <v>0</v>
          </cell>
          <cell r="AA37">
            <v>0</v>
          </cell>
          <cell r="AB37">
            <v>0</v>
          </cell>
          <cell r="AC37">
            <v>0</v>
          </cell>
          <cell r="AD37">
            <v>26</v>
          </cell>
          <cell r="AF37" t="str">
            <v>11020102010101</v>
          </cell>
          <cell r="AG37">
            <v>5</v>
          </cell>
          <cell r="AH37">
            <v>10</v>
          </cell>
          <cell r="AI37">
            <v>2</v>
          </cell>
          <cell r="AJ37">
            <v>7</v>
          </cell>
          <cell r="AK37">
            <v>80</v>
          </cell>
          <cell r="AL37">
            <v>1.1000000000000001</v>
          </cell>
          <cell r="AM37">
            <v>0</v>
          </cell>
          <cell r="AN37">
            <v>0</v>
          </cell>
          <cell r="AO37">
            <v>0</v>
          </cell>
          <cell r="AP37">
            <v>100.1</v>
          </cell>
          <cell r="AR37" t="str">
            <v>11020102010101</v>
          </cell>
          <cell r="AS37">
            <v>400</v>
          </cell>
        </row>
        <row r="38">
          <cell r="P38" t="str">
            <v>11010102020101</v>
          </cell>
          <cell r="Q38">
            <v>0</v>
          </cell>
          <cell r="R38">
            <v>0</v>
          </cell>
          <cell r="S38">
            <v>0</v>
          </cell>
          <cell r="T38">
            <v>10</v>
          </cell>
          <cell r="U38">
            <v>8</v>
          </cell>
          <cell r="V38">
            <v>8</v>
          </cell>
          <cell r="W38">
            <v>0</v>
          </cell>
          <cell r="X38">
            <v>0</v>
          </cell>
          <cell r="Y38">
            <v>0</v>
          </cell>
          <cell r="Z38">
            <v>0</v>
          </cell>
          <cell r="AA38">
            <v>0</v>
          </cell>
          <cell r="AB38">
            <v>0</v>
          </cell>
          <cell r="AC38">
            <v>0</v>
          </cell>
          <cell r="AD38">
            <v>26</v>
          </cell>
          <cell r="AF38" t="str">
            <v>11010102020101</v>
          </cell>
          <cell r="AG38">
            <v>5</v>
          </cell>
          <cell r="AH38">
            <v>10</v>
          </cell>
          <cell r="AI38">
            <v>2</v>
          </cell>
          <cell r="AJ38">
            <v>7</v>
          </cell>
          <cell r="AK38">
            <v>80</v>
          </cell>
          <cell r="AL38">
            <v>1.1000000000000001</v>
          </cell>
          <cell r="AM38">
            <v>0</v>
          </cell>
          <cell r="AN38">
            <v>0</v>
          </cell>
          <cell r="AO38">
            <v>0</v>
          </cell>
          <cell r="AP38">
            <v>100.1</v>
          </cell>
          <cell r="AR38" t="str">
            <v>11010102020101</v>
          </cell>
          <cell r="AS38">
            <v>400</v>
          </cell>
        </row>
        <row r="39">
          <cell r="P39" t="str">
            <v>11020102020101</v>
          </cell>
          <cell r="Q39">
            <v>0</v>
          </cell>
          <cell r="R39">
            <v>0</v>
          </cell>
          <cell r="S39">
            <v>0</v>
          </cell>
          <cell r="T39">
            <v>10</v>
          </cell>
          <cell r="U39">
            <v>8</v>
          </cell>
          <cell r="V39">
            <v>8</v>
          </cell>
          <cell r="W39">
            <v>0</v>
          </cell>
          <cell r="X39">
            <v>0</v>
          </cell>
          <cell r="Y39">
            <v>0</v>
          </cell>
          <cell r="Z39">
            <v>0</v>
          </cell>
          <cell r="AA39">
            <v>0</v>
          </cell>
          <cell r="AB39">
            <v>0</v>
          </cell>
          <cell r="AC39">
            <v>0</v>
          </cell>
          <cell r="AD39">
            <v>26</v>
          </cell>
          <cell r="AF39" t="str">
            <v>11020102020101</v>
          </cell>
          <cell r="AG39">
            <v>5</v>
          </cell>
          <cell r="AH39">
            <v>10</v>
          </cell>
          <cell r="AI39">
            <v>2</v>
          </cell>
          <cell r="AJ39">
            <v>7</v>
          </cell>
          <cell r="AK39">
            <v>80</v>
          </cell>
          <cell r="AL39">
            <v>1.1000000000000001</v>
          </cell>
          <cell r="AM39">
            <v>0</v>
          </cell>
          <cell r="AN39">
            <v>0</v>
          </cell>
          <cell r="AO39">
            <v>0</v>
          </cell>
          <cell r="AP39">
            <v>100.1</v>
          </cell>
          <cell r="AR39" t="str">
            <v>11020102020101</v>
          </cell>
          <cell r="AS39">
            <v>400</v>
          </cell>
        </row>
        <row r="40">
          <cell r="P40" t="str">
            <v>08010301020101</v>
          </cell>
          <cell r="Q40">
            <v>252</v>
          </cell>
          <cell r="R40">
            <v>0</v>
          </cell>
          <cell r="S40">
            <v>0</v>
          </cell>
          <cell r="T40">
            <v>10</v>
          </cell>
          <cell r="U40">
            <v>8</v>
          </cell>
          <cell r="V40">
            <v>8</v>
          </cell>
          <cell r="W40">
            <v>0</v>
          </cell>
          <cell r="X40">
            <v>0</v>
          </cell>
          <cell r="Y40">
            <v>0</v>
          </cell>
          <cell r="Z40">
            <v>0</v>
          </cell>
          <cell r="AA40">
            <v>0</v>
          </cell>
          <cell r="AB40">
            <v>0</v>
          </cell>
          <cell r="AC40">
            <v>0</v>
          </cell>
          <cell r="AD40">
            <v>278</v>
          </cell>
          <cell r="AF40" t="str">
            <v>08010301020101</v>
          </cell>
          <cell r="AG40">
            <v>10</v>
          </cell>
          <cell r="AH40">
            <v>20</v>
          </cell>
          <cell r="AI40">
            <v>2</v>
          </cell>
          <cell r="AJ40">
            <v>7</v>
          </cell>
          <cell r="AK40">
            <v>160</v>
          </cell>
          <cell r="AL40">
            <v>2.1</v>
          </cell>
          <cell r="AM40">
            <v>0</v>
          </cell>
          <cell r="AN40">
            <v>0</v>
          </cell>
          <cell r="AO40">
            <v>0</v>
          </cell>
          <cell r="AP40">
            <v>191.1</v>
          </cell>
          <cell r="AR40" t="str">
            <v>08010301020101</v>
          </cell>
          <cell r="AS40">
            <v>350</v>
          </cell>
        </row>
        <row r="41">
          <cell r="P41" t="str">
            <v>08010301010101</v>
          </cell>
          <cell r="Q41">
            <v>252</v>
          </cell>
          <cell r="R41">
            <v>0</v>
          </cell>
          <cell r="S41">
            <v>0</v>
          </cell>
          <cell r="T41">
            <v>10</v>
          </cell>
          <cell r="U41">
            <v>8</v>
          </cell>
          <cell r="V41">
            <v>8</v>
          </cell>
          <cell r="W41">
            <v>0</v>
          </cell>
          <cell r="X41">
            <v>0</v>
          </cell>
          <cell r="Y41">
            <v>0</v>
          </cell>
          <cell r="Z41">
            <v>0</v>
          </cell>
          <cell r="AA41">
            <v>0</v>
          </cell>
          <cell r="AB41">
            <v>0</v>
          </cell>
          <cell r="AC41">
            <v>0</v>
          </cell>
          <cell r="AD41">
            <v>278</v>
          </cell>
          <cell r="AF41" t="str">
            <v>08010301010101</v>
          </cell>
          <cell r="AG41">
            <v>10</v>
          </cell>
          <cell r="AH41">
            <v>20</v>
          </cell>
          <cell r="AI41">
            <v>2</v>
          </cell>
          <cell r="AJ41">
            <v>7</v>
          </cell>
          <cell r="AK41">
            <v>160</v>
          </cell>
          <cell r="AL41">
            <v>2.1</v>
          </cell>
          <cell r="AM41">
            <v>0</v>
          </cell>
          <cell r="AN41">
            <v>0</v>
          </cell>
          <cell r="AO41">
            <v>0</v>
          </cell>
          <cell r="AP41">
            <v>191.1</v>
          </cell>
          <cell r="AR41" t="str">
            <v>08010301010101</v>
          </cell>
          <cell r="AS41">
            <v>350</v>
          </cell>
        </row>
        <row r="42">
          <cell r="P42" t="str">
            <v>08020301020101</v>
          </cell>
          <cell r="Q42">
            <v>252</v>
          </cell>
          <cell r="R42">
            <v>0</v>
          </cell>
          <cell r="S42">
            <v>0</v>
          </cell>
          <cell r="T42">
            <v>10</v>
          </cell>
          <cell r="U42">
            <v>8</v>
          </cell>
          <cell r="V42">
            <v>8</v>
          </cell>
          <cell r="W42">
            <v>0</v>
          </cell>
          <cell r="X42">
            <v>0</v>
          </cell>
          <cell r="Y42">
            <v>0</v>
          </cell>
          <cell r="Z42">
            <v>0</v>
          </cell>
          <cell r="AA42">
            <v>0</v>
          </cell>
          <cell r="AB42">
            <v>0</v>
          </cell>
          <cell r="AC42">
            <v>0</v>
          </cell>
          <cell r="AD42">
            <v>278</v>
          </cell>
          <cell r="AF42" t="str">
            <v>08020301020101</v>
          </cell>
          <cell r="AG42">
            <v>10</v>
          </cell>
          <cell r="AH42">
            <v>20</v>
          </cell>
          <cell r="AI42">
            <v>2</v>
          </cell>
          <cell r="AJ42">
            <v>7</v>
          </cell>
          <cell r="AK42">
            <v>160</v>
          </cell>
          <cell r="AL42">
            <v>2.1</v>
          </cell>
          <cell r="AM42">
            <v>0</v>
          </cell>
          <cell r="AN42">
            <v>0</v>
          </cell>
          <cell r="AO42">
            <v>0</v>
          </cell>
          <cell r="AP42">
            <v>191.1</v>
          </cell>
          <cell r="AR42" t="str">
            <v>08020301020101</v>
          </cell>
          <cell r="AS42">
            <v>500</v>
          </cell>
        </row>
        <row r="43">
          <cell r="P43" t="str">
            <v>08020301010101</v>
          </cell>
          <cell r="Q43">
            <v>252</v>
          </cell>
          <cell r="R43">
            <v>0</v>
          </cell>
          <cell r="S43">
            <v>0</v>
          </cell>
          <cell r="T43">
            <v>10</v>
          </cell>
          <cell r="U43">
            <v>8</v>
          </cell>
          <cell r="V43">
            <v>8</v>
          </cell>
          <cell r="W43">
            <v>0</v>
          </cell>
          <cell r="X43">
            <v>0</v>
          </cell>
          <cell r="Y43">
            <v>0</v>
          </cell>
          <cell r="Z43">
            <v>0</v>
          </cell>
          <cell r="AA43">
            <v>0</v>
          </cell>
          <cell r="AB43">
            <v>0</v>
          </cell>
          <cell r="AC43">
            <v>0</v>
          </cell>
          <cell r="AD43">
            <v>278</v>
          </cell>
          <cell r="AF43" t="str">
            <v>08020301010101</v>
          </cell>
          <cell r="AG43">
            <v>10</v>
          </cell>
          <cell r="AH43">
            <v>20</v>
          </cell>
          <cell r="AI43">
            <v>2</v>
          </cell>
          <cell r="AJ43">
            <v>7</v>
          </cell>
          <cell r="AK43">
            <v>160</v>
          </cell>
          <cell r="AL43">
            <v>2.1</v>
          </cell>
          <cell r="AM43">
            <v>0</v>
          </cell>
          <cell r="AN43">
            <v>0</v>
          </cell>
          <cell r="AO43">
            <v>0</v>
          </cell>
          <cell r="AP43">
            <v>191.1</v>
          </cell>
          <cell r="AR43" t="str">
            <v>08020301010101</v>
          </cell>
          <cell r="AS43">
            <v>500</v>
          </cell>
        </row>
        <row r="44">
          <cell r="P44" t="str">
            <v>05010102010101</v>
          </cell>
          <cell r="Q44">
            <v>252</v>
          </cell>
          <cell r="R44">
            <v>0</v>
          </cell>
          <cell r="S44">
            <v>0</v>
          </cell>
          <cell r="T44">
            <v>10</v>
          </cell>
          <cell r="U44">
            <v>8</v>
          </cell>
          <cell r="V44">
            <v>8</v>
          </cell>
          <cell r="W44">
            <v>0</v>
          </cell>
          <cell r="X44">
            <v>255</v>
          </cell>
          <cell r="Y44">
            <v>0</v>
          </cell>
          <cell r="Z44">
            <v>0</v>
          </cell>
          <cell r="AA44">
            <v>0</v>
          </cell>
          <cell r="AB44">
            <v>0</v>
          </cell>
          <cell r="AC44">
            <v>0</v>
          </cell>
          <cell r="AD44">
            <v>533</v>
          </cell>
          <cell r="AF44" t="str">
            <v>05010102010101</v>
          </cell>
          <cell r="AG44">
            <v>13</v>
          </cell>
          <cell r="AH44">
            <v>26</v>
          </cell>
          <cell r="AI44">
            <v>2</v>
          </cell>
          <cell r="AJ44">
            <v>7</v>
          </cell>
          <cell r="AK44">
            <v>208</v>
          </cell>
          <cell r="AL44">
            <v>2.7</v>
          </cell>
          <cell r="AM44">
            <v>10</v>
          </cell>
          <cell r="AN44">
            <v>0</v>
          </cell>
          <cell r="AO44">
            <v>10</v>
          </cell>
          <cell r="AP44">
            <v>265.7</v>
          </cell>
          <cell r="AR44" t="str">
            <v>05010102010101</v>
          </cell>
          <cell r="AS44">
            <v>500</v>
          </cell>
        </row>
        <row r="45">
          <cell r="P45" t="str">
            <v>05010102020101</v>
          </cell>
          <cell r="Q45">
            <v>252</v>
          </cell>
          <cell r="R45">
            <v>0</v>
          </cell>
          <cell r="S45">
            <v>0</v>
          </cell>
          <cell r="T45">
            <v>10</v>
          </cell>
          <cell r="U45">
            <v>8</v>
          </cell>
          <cell r="V45">
            <v>8</v>
          </cell>
          <cell r="W45">
            <v>0</v>
          </cell>
          <cell r="X45">
            <v>255</v>
          </cell>
          <cell r="Y45">
            <v>0</v>
          </cell>
          <cell r="Z45">
            <v>0</v>
          </cell>
          <cell r="AA45">
            <v>0</v>
          </cell>
          <cell r="AB45">
            <v>0</v>
          </cell>
          <cell r="AC45">
            <v>0</v>
          </cell>
          <cell r="AD45">
            <v>533</v>
          </cell>
          <cell r="AF45" t="str">
            <v>05010102020101</v>
          </cell>
          <cell r="AG45">
            <v>13</v>
          </cell>
          <cell r="AH45">
            <v>26</v>
          </cell>
          <cell r="AI45">
            <v>2</v>
          </cell>
          <cell r="AJ45">
            <v>7</v>
          </cell>
          <cell r="AK45">
            <v>208</v>
          </cell>
          <cell r="AL45">
            <v>2.7</v>
          </cell>
          <cell r="AM45">
            <v>10</v>
          </cell>
          <cell r="AN45">
            <v>0</v>
          </cell>
          <cell r="AO45">
            <v>10</v>
          </cell>
          <cell r="AP45">
            <v>265.7</v>
          </cell>
          <cell r="AR45" t="str">
            <v>05010102020101</v>
          </cell>
          <cell r="AS45">
            <v>500</v>
          </cell>
        </row>
        <row r="46">
          <cell r="P46" t="str">
            <v>09010102010101</v>
          </cell>
          <cell r="Q46">
            <v>0</v>
          </cell>
          <cell r="R46">
            <v>35</v>
          </cell>
          <cell r="S46">
            <v>0</v>
          </cell>
          <cell r="T46">
            <v>10</v>
          </cell>
          <cell r="U46">
            <v>8</v>
          </cell>
          <cell r="V46">
            <v>8</v>
          </cell>
          <cell r="W46">
            <v>0</v>
          </cell>
          <cell r="X46">
            <v>0</v>
          </cell>
          <cell r="Y46">
            <v>0</v>
          </cell>
          <cell r="Z46">
            <v>0</v>
          </cell>
          <cell r="AA46">
            <v>0</v>
          </cell>
          <cell r="AB46">
            <v>0</v>
          </cell>
          <cell r="AC46">
            <v>0</v>
          </cell>
          <cell r="AD46">
            <v>61</v>
          </cell>
          <cell r="AF46" t="str">
            <v>09010102010101</v>
          </cell>
          <cell r="AG46">
            <v>5</v>
          </cell>
          <cell r="AH46">
            <v>10</v>
          </cell>
          <cell r="AI46">
            <v>2</v>
          </cell>
          <cell r="AJ46">
            <v>7</v>
          </cell>
          <cell r="AK46">
            <v>80</v>
          </cell>
          <cell r="AL46">
            <v>1.1000000000000001</v>
          </cell>
          <cell r="AM46">
            <v>0</v>
          </cell>
          <cell r="AN46">
            <v>0</v>
          </cell>
          <cell r="AO46">
            <v>10</v>
          </cell>
          <cell r="AP46">
            <v>110.1</v>
          </cell>
          <cell r="AR46" t="str">
            <v>09010102010101</v>
          </cell>
          <cell r="AS46">
            <v>400</v>
          </cell>
        </row>
        <row r="47">
          <cell r="P47" t="str">
            <v>09010102020101</v>
          </cell>
          <cell r="Q47">
            <v>0</v>
          </cell>
          <cell r="R47">
            <v>35</v>
          </cell>
          <cell r="S47">
            <v>0</v>
          </cell>
          <cell r="T47">
            <v>10</v>
          </cell>
          <cell r="U47">
            <v>8</v>
          </cell>
          <cell r="V47">
            <v>8</v>
          </cell>
          <cell r="W47">
            <v>0</v>
          </cell>
          <cell r="X47">
            <v>0</v>
          </cell>
          <cell r="Y47">
            <v>0</v>
          </cell>
          <cell r="Z47">
            <v>0</v>
          </cell>
          <cell r="AA47">
            <v>0</v>
          </cell>
          <cell r="AB47">
            <v>0</v>
          </cell>
          <cell r="AC47">
            <v>0</v>
          </cell>
          <cell r="AD47">
            <v>61</v>
          </cell>
          <cell r="AF47" t="str">
            <v>09010102020101</v>
          </cell>
          <cell r="AG47">
            <v>5</v>
          </cell>
          <cell r="AH47">
            <v>10</v>
          </cell>
          <cell r="AI47">
            <v>2</v>
          </cell>
          <cell r="AJ47">
            <v>7</v>
          </cell>
          <cell r="AK47">
            <v>80</v>
          </cell>
          <cell r="AL47">
            <v>1.1000000000000001</v>
          </cell>
          <cell r="AM47">
            <v>0</v>
          </cell>
          <cell r="AN47">
            <v>0</v>
          </cell>
          <cell r="AO47">
            <v>10</v>
          </cell>
          <cell r="AP47">
            <v>110.1</v>
          </cell>
          <cell r="AR47" t="str">
            <v>09010102020101</v>
          </cell>
          <cell r="AS47">
            <v>400</v>
          </cell>
        </row>
        <row r="48">
          <cell r="P48" t="str">
            <v>09020102010101</v>
          </cell>
          <cell r="Q48">
            <v>0</v>
          </cell>
          <cell r="R48">
            <v>35</v>
          </cell>
          <cell r="S48">
            <v>0</v>
          </cell>
          <cell r="T48">
            <v>10</v>
          </cell>
          <cell r="U48">
            <v>8</v>
          </cell>
          <cell r="V48">
            <v>8</v>
          </cell>
          <cell r="W48">
            <v>0</v>
          </cell>
          <cell r="X48">
            <v>0</v>
          </cell>
          <cell r="Y48">
            <v>0</v>
          </cell>
          <cell r="Z48">
            <v>0</v>
          </cell>
          <cell r="AA48">
            <v>0</v>
          </cell>
          <cell r="AB48">
            <v>0</v>
          </cell>
          <cell r="AC48">
            <v>0</v>
          </cell>
          <cell r="AD48">
            <v>61</v>
          </cell>
          <cell r="AF48" t="str">
            <v>09020102010101</v>
          </cell>
          <cell r="AG48">
            <v>5</v>
          </cell>
          <cell r="AH48">
            <v>10</v>
          </cell>
          <cell r="AI48">
            <v>2</v>
          </cell>
          <cell r="AJ48">
            <v>7</v>
          </cell>
          <cell r="AK48">
            <v>80</v>
          </cell>
          <cell r="AL48">
            <v>1.1000000000000001</v>
          </cell>
          <cell r="AM48">
            <v>0</v>
          </cell>
          <cell r="AN48">
            <v>0</v>
          </cell>
          <cell r="AO48">
            <v>10</v>
          </cell>
          <cell r="AP48">
            <v>110.1</v>
          </cell>
          <cell r="AR48" t="str">
            <v>09020102010101</v>
          </cell>
          <cell r="AS48">
            <v>400</v>
          </cell>
        </row>
        <row r="49">
          <cell r="P49" t="str">
            <v>09020102020101</v>
          </cell>
          <cell r="Q49">
            <v>0</v>
          </cell>
          <cell r="R49">
            <v>35</v>
          </cell>
          <cell r="S49">
            <v>0</v>
          </cell>
          <cell r="T49">
            <v>10</v>
          </cell>
          <cell r="U49">
            <v>8</v>
          </cell>
          <cell r="V49">
            <v>8</v>
          </cell>
          <cell r="W49">
            <v>0</v>
          </cell>
          <cell r="X49">
            <v>0</v>
          </cell>
          <cell r="Y49">
            <v>0</v>
          </cell>
          <cell r="Z49">
            <v>0</v>
          </cell>
          <cell r="AA49">
            <v>0</v>
          </cell>
          <cell r="AB49">
            <v>0</v>
          </cell>
          <cell r="AC49">
            <v>0</v>
          </cell>
          <cell r="AD49">
            <v>61</v>
          </cell>
          <cell r="AF49" t="str">
            <v>09020102020101</v>
          </cell>
          <cell r="AG49">
            <v>5</v>
          </cell>
          <cell r="AH49">
            <v>10</v>
          </cell>
          <cell r="AI49">
            <v>2</v>
          </cell>
          <cell r="AJ49">
            <v>7</v>
          </cell>
          <cell r="AK49">
            <v>80</v>
          </cell>
          <cell r="AL49">
            <v>1.1000000000000001</v>
          </cell>
          <cell r="AM49">
            <v>0</v>
          </cell>
          <cell r="AN49">
            <v>0</v>
          </cell>
          <cell r="AO49">
            <v>10</v>
          </cell>
          <cell r="AP49">
            <v>110.1</v>
          </cell>
          <cell r="AR49" t="str">
            <v>09020102020101</v>
          </cell>
          <cell r="AS49">
            <v>400</v>
          </cell>
        </row>
        <row r="50">
          <cell r="P50" t="str">
            <v>01020102020101</v>
          </cell>
          <cell r="Q50">
            <v>252</v>
          </cell>
          <cell r="R50">
            <v>0</v>
          </cell>
          <cell r="S50">
            <v>0</v>
          </cell>
          <cell r="T50">
            <v>10</v>
          </cell>
          <cell r="U50">
            <v>8</v>
          </cell>
          <cell r="V50">
            <v>8</v>
          </cell>
          <cell r="W50">
            <v>31</v>
          </cell>
          <cell r="X50">
            <v>255</v>
          </cell>
          <cell r="Y50">
            <v>0</v>
          </cell>
          <cell r="Z50">
            <v>0</v>
          </cell>
          <cell r="AA50">
            <v>0</v>
          </cell>
          <cell r="AB50">
            <v>0</v>
          </cell>
          <cell r="AC50">
            <v>0</v>
          </cell>
          <cell r="AD50">
            <v>564</v>
          </cell>
          <cell r="AF50" t="str">
            <v>01020102020101</v>
          </cell>
          <cell r="AG50">
            <v>12</v>
          </cell>
          <cell r="AH50">
            <v>24</v>
          </cell>
          <cell r="AI50">
            <v>2</v>
          </cell>
          <cell r="AJ50">
            <v>7</v>
          </cell>
          <cell r="AK50">
            <v>192</v>
          </cell>
          <cell r="AL50">
            <v>2.5</v>
          </cell>
          <cell r="AM50">
            <v>0</v>
          </cell>
          <cell r="AN50">
            <v>0</v>
          </cell>
          <cell r="AO50">
            <v>10</v>
          </cell>
          <cell r="AP50">
            <v>237.5</v>
          </cell>
          <cell r="AR50" t="str">
            <v>01020102020101</v>
          </cell>
          <cell r="AS50">
            <v>500</v>
          </cell>
        </row>
        <row r="51">
          <cell r="P51" t="str">
            <v>01010101010201</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F51" t="str">
            <v>01010101010201</v>
          </cell>
          <cell r="AG51">
            <v>0</v>
          </cell>
          <cell r="AH51">
            <v>0</v>
          </cell>
          <cell r="AI51">
            <v>0</v>
          </cell>
          <cell r="AJ51">
            <v>0</v>
          </cell>
          <cell r="AK51">
            <v>0</v>
          </cell>
          <cell r="AL51">
            <v>0</v>
          </cell>
          <cell r="AM51">
            <v>0</v>
          </cell>
          <cell r="AN51">
            <v>0</v>
          </cell>
          <cell r="AO51">
            <v>0</v>
          </cell>
          <cell r="AP51">
            <v>0</v>
          </cell>
          <cell r="AR51" t="str">
            <v>01010101010201</v>
          </cell>
          <cell r="AS51">
            <v>75</v>
          </cell>
        </row>
        <row r="52">
          <cell r="P52" t="str">
            <v>01010101020201</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F52" t="str">
            <v>01010101020201</v>
          </cell>
          <cell r="AG52">
            <v>0</v>
          </cell>
          <cell r="AH52">
            <v>0</v>
          </cell>
          <cell r="AI52">
            <v>0</v>
          </cell>
          <cell r="AJ52">
            <v>0</v>
          </cell>
          <cell r="AK52">
            <v>0</v>
          </cell>
          <cell r="AL52">
            <v>0</v>
          </cell>
          <cell r="AM52">
            <v>0</v>
          </cell>
          <cell r="AN52">
            <v>0</v>
          </cell>
          <cell r="AO52">
            <v>0</v>
          </cell>
          <cell r="AP52">
            <v>0</v>
          </cell>
          <cell r="AR52" t="str">
            <v>01010101020201</v>
          </cell>
          <cell r="AS52">
            <v>75</v>
          </cell>
        </row>
        <row r="53">
          <cell r="P53" t="str">
            <v>01020101010201</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F53" t="str">
            <v>01020101010201</v>
          </cell>
          <cell r="AG53">
            <v>0</v>
          </cell>
          <cell r="AH53">
            <v>0</v>
          </cell>
          <cell r="AI53">
            <v>0</v>
          </cell>
          <cell r="AJ53">
            <v>0</v>
          </cell>
          <cell r="AK53">
            <v>0</v>
          </cell>
          <cell r="AL53">
            <v>0</v>
          </cell>
          <cell r="AM53">
            <v>0</v>
          </cell>
          <cell r="AN53">
            <v>0</v>
          </cell>
          <cell r="AO53">
            <v>0</v>
          </cell>
          <cell r="AP53">
            <v>0</v>
          </cell>
          <cell r="AR53" t="str">
            <v>01020101010201</v>
          </cell>
          <cell r="AS53">
            <v>140</v>
          </cell>
        </row>
        <row r="54">
          <cell r="P54" t="str">
            <v>01020101020201</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F54" t="str">
            <v>01020101020201</v>
          </cell>
          <cell r="AG54">
            <v>0</v>
          </cell>
          <cell r="AH54">
            <v>0</v>
          </cell>
          <cell r="AI54">
            <v>0</v>
          </cell>
          <cell r="AJ54">
            <v>0</v>
          </cell>
          <cell r="AK54">
            <v>0</v>
          </cell>
          <cell r="AL54">
            <v>0</v>
          </cell>
          <cell r="AM54">
            <v>0</v>
          </cell>
          <cell r="AN54">
            <v>0</v>
          </cell>
          <cell r="AO54">
            <v>0</v>
          </cell>
          <cell r="AP54">
            <v>0</v>
          </cell>
          <cell r="AR54" t="str">
            <v>01020101020201</v>
          </cell>
          <cell r="AS54">
            <v>140</v>
          </cell>
        </row>
        <row r="55">
          <cell r="P55" t="str">
            <v>01020102010201</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F55" t="str">
            <v>01020102010201</v>
          </cell>
          <cell r="AG55">
            <v>0</v>
          </cell>
          <cell r="AH55">
            <v>0</v>
          </cell>
          <cell r="AI55">
            <v>0</v>
          </cell>
          <cell r="AJ55">
            <v>0</v>
          </cell>
          <cell r="AK55">
            <v>0</v>
          </cell>
          <cell r="AL55">
            <v>0</v>
          </cell>
          <cell r="AM55">
            <v>0</v>
          </cell>
          <cell r="AN55">
            <v>0</v>
          </cell>
          <cell r="AO55">
            <v>0</v>
          </cell>
          <cell r="AP55">
            <v>0</v>
          </cell>
          <cell r="AR55" t="str">
            <v>01020102010201</v>
          </cell>
          <cell r="AS55">
            <v>140</v>
          </cell>
        </row>
        <row r="56">
          <cell r="P56" t="str">
            <v>01020102020201</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F56" t="str">
            <v>01020102020201</v>
          </cell>
          <cell r="AG56">
            <v>0</v>
          </cell>
          <cell r="AH56">
            <v>0</v>
          </cell>
          <cell r="AI56">
            <v>0</v>
          </cell>
          <cell r="AJ56">
            <v>0</v>
          </cell>
          <cell r="AK56">
            <v>0</v>
          </cell>
          <cell r="AL56">
            <v>0</v>
          </cell>
          <cell r="AM56">
            <v>0</v>
          </cell>
          <cell r="AN56">
            <v>0</v>
          </cell>
          <cell r="AO56">
            <v>0</v>
          </cell>
          <cell r="AP56">
            <v>0</v>
          </cell>
          <cell r="AR56" t="str">
            <v>01020102020201</v>
          </cell>
          <cell r="AS56">
            <v>140</v>
          </cell>
        </row>
        <row r="57">
          <cell r="P57" t="str">
            <v>03020601010201</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F57" t="str">
            <v>03020601010201</v>
          </cell>
          <cell r="AG57">
            <v>0</v>
          </cell>
          <cell r="AH57">
            <v>0</v>
          </cell>
          <cell r="AI57">
            <v>0</v>
          </cell>
          <cell r="AJ57">
            <v>0</v>
          </cell>
          <cell r="AK57">
            <v>0</v>
          </cell>
          <cell r="AL57">
            <v>0</v>
          </cell>
          <cell r="AM57">
            <v>0</v>
          </cell>
          <cell r="AN57">
            <v>0</v>
          </cell>
          <cell r="AO57">
            <v>0</v>
          </cell>
          <cell r="AP57">
            <v>0</v>
          </cell>
          <cell r="AR57" t="str">
            <v>03020601010201</v>
          </cell>
          <cell r="AS57">
            <v>140</v>
          </cell>
        </row>
        <row r="58">
          <cell r="P58" t="str">
            <v>03020602010201</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F58" t="str">
            <v>03020602010201</v>
          </cell>
          <cell r="AG58">
            <v>0</v>
          </cell>
          <cell r="AH58">
            <v>0</v>
          </cell>
          <cell r="AI58">
            <v>0</v>
          </cell>
          <cell r="AJ58">
            <v>0</v>
          </cell>
          <cell r="AK58">
            <v>0</v>
          </cell>
          <cell r="AL58">
            <v>0</v>
          </cell>
          <cell r="AM58">
            <v>0</v>
          </cell>
          <cell r="AN58">
            <v>0</v>
          </cell>
          <cell r="AO58">
            <v>0</v>
          </cell>
          <cell r="AP58">
            <v>0</v>
          </cell>
          <cell r="AR58" t="str">
            <v>03020602010201</v>
          </cell>
          <cell r="AS58">
            <v>140</v>
          </cell>
        </row>
        <row r="59">
          <cell r="P59" t="str">
            <v>03020601020201</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F59" t="str">
            <v>03020601020201</v>
          </cell>
          <cell r="AG59">
            <v>0</v>
          </cell>
          <cell r="AH59">
            <v>0</v>
          </cell>
          <cell r="AI59">
            <v>0</v>
          </cell>
          <cell r="AJ59">
            <v>0</v>
          </cell>
          <cell r="AK59">
            <v>0</v>
          </cell>
          <cell r="AL59">
            <v>0</v>
          </cell>
          <cell r="AM59">
            <v>0</v>
          </cell>
          <cell r="AN59">
            <v>0</v>
          </cell>
          <cell r="AO59">
            <v>0</v>
          </cell>
          <cell r="AP59">
            <v>0</v>
          </cell>
          <cell r="AR59" t="str">
            <v>03020601020201</v>
          </cell>
          <cell r="AS59">
            <v>140</v>
          </cell>
        </row>
        <row r="60">
          <cell r="P60" t="str">
            <v>03020602020201</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F60" t="str">
            <v>03020602020201</v>
          </cell>
          <cell r="AG60">
            <v>0</v>
          </cell>
          <cell r="AH60">
            <v>0</v>
          </cell>
          <cell r="AI60">
            <v>0</v>
          </cell>
          <cell r="AJ60">
            <v>0</v>
          </cell>
          <cell r="AK60">
            <v>0</v>
          </cell>
          <cell r="AL60">
            <v>0</v>
          </cell>
          <cell r="AM60">
            <v>0</v>
          </cell>
          <cell r="AN60">
            <v>0</v>
          </cell>
          <cell r="AO60">
            <v>0</v>
          </cell>
          <cell r="AP60">
            <v>0</v>
          </cell>
          <cell r="AR60" t="str">
            <v>03020602020201</v>
          </cell>
          <cell r="AS60">
            <v>140</v>
          </cell>
        </row>
        <row r="61">
          <cell r="P61" t="str">
            <v>03020102020201</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F61" t="str">
            <v>03020102020201</v>
          </cell>
          <cell r="AG61">
            <v>0</v>
          </cell>
          <cell r="AH61">
            <v>0</v>
          </cell>
          <cell r="AI61">
            <v>0</v>
          </cell>
          <cell r="AJ61">
            <v>0</v>
          </cell>
          <cell r="AK61">
            <v>0</v>
          </cell>
          <cell r="AL61">
            <v>0</v>
          </cell>
          <cell r="AM61">
            <v>0</v>
          </cell>
          <cell r="AN61">
            <v>0</v>
          </cell>
          <cell r="AO61">
            <v>0</v>
          </cell>
          <cell r="AP61">
            <v>0</v>
          </cell>
          <cell r="AR61" t="str">
            <v>03020102020201</v>
          </cell>
          <cell r="AS61">
            <v>140</v>
          </cell>
        </row>
        <row r="62">
          <cell r="P62" t="str">
            <v>01020101010202</v>
          </cell>
          <cell r="Q62">
            <v>25</v>
          </cell>
          <cell r="R62">
            <v>6</v>
          </cell>
          <cell r="S62">
            <v>25</v>
          </cell>
          <cell r="T62">
            <v>10</v>
          </cell>
          <cell r="U62">
            <v>0</v>
          </cell>
          <cell r="V62">
            <v>0</v>
          </cell>
          <cell r="W62">
            <v>21</v>
          </cell>
          <cell r="X62">
            <v>0</v>
          </cell>
          <cell r="Y62">
            <v>0</v>
          </cell>
          <cell r="Z62">
            <v>215</v>
          </cell>
          <cell r="AA62">
            <v>0</v>
          </cell>
          <cell r="AB62">
            <v>0</v>
          </cell>
          <cell r="AC62">
            <v>0</v>
          </cell>
          <cell r="AD62">
            <v>302</v>
          </cell>
          <cell r="AF62" t="str">
            <v>01020101010202</v>
          </cell>
          <cell r="AG62">
            <v>38</v>
          </cell>
          <cell r="AH62">
            <v>20</v>
          </cell>
          <cell r="AI62">
            <v>163</v>
          </cell>
          <cell r="AJ62">
            <v>2</v>
          </cell>
          <cell r="AK62">
            <v>304</v>
          </cell>
          <cell r="AL62">
            <v>0</v>
          </cell>
          <cell r="AM62">
            <v>10</v>
          </cell>
          <cell r="AN62">
            <v>0</v>
          </cell>
          <cell r="AO62">
            <v>0</v>
          </cell>
          <cell r="AP62">
            <v>479</v>
          </cell>
          <cell r="AR62" t="str">
            <v>01020101010202</v>
          </cell>
          <cell r="AS62">
            <v>500</v>
          </cell>
          <cell r="AV62" t="str">
            <v>01020101010202</v>
          </cell>
          <cell r="AW62">
            <v>200</v>
          </cell>
        </row>
        <row r="63">
          <cell r="P63" t="str">
            <v>01020101020202</v>
          </cell>
          <cell r="Q63">
            <v>25</v>
          </cell>
          <cell r="R63">
            <v>6</v>
          </cell>
          <cell r="S63">
            <v>25</v>
          </cell>
          <cell r="T63">
            <v>10</v>
          </cell>
          <cell r="U63">
            <v>0</v>
          </cell>
          <cell r="V63">
            <v>0</v>
          </cell>
          <cell r="W63">
            <v>21</v>
          </cell>
          <cell r="X63">
            <v>0</v>
          </cell>
          <cell r="Y63">
            <v>0</v>
          </cell>
          <cell r="Z63">
            <v>215</v>
          </cell>
          <cell r="AA63">
            <v>0</v>
          </cell>
          <cell r="AB63">
            <v>0</v>
          </cell>
          <cell r="AC63">
            <v>0</v>
          </cell>
          <cell r="AD63">
            <v>302</v>
          </cell>
          <cell r="AF63" t="str">
            <v>01020101020202</v>
          </cell>
          <cell r="AG63">
            <v>38</v>
          </cell>
          <cell r="AH63">
            <v>20</v>
          </cell>
          <cell r="AI63">
            <v>163</v>
          </cell>
          <cell r="AJ63">
            <v>2</v>
          </cell>
          <cell r="AK63">
            <v>304</v>
          </cell>
          <cell r="AL63">
            <v>0</v>
          </cell>
          <cell r="AM63">
            <v>10</v>
          </cell>
          <cell r="AN63">
            <v>0</v>
          </cell>
          <cell r="AO63">
            <v>0</v>
          </cell>
          <cell r="AP63">
            <v>479</v>
          </cell>
          <cell r="AR63" t="str">
            <v>01020101020202</v>
          </cell>
          <cell r="AS63">
            <v>500</v>
          </cell>
          <cell r="AV63" t="str">
            <v>01020101020202</v>
          </cell>
          <cell r="AW63">
            <v>200</v>
          </cell>
        </row>
        <row r="64">
          <cell r="P64" t="str">
            <v>01020102010202</v>
          </cell>
          <cell r="Q64">
            <v>25</v>
          </cell>
          <cell r="R64">
            <v>6</v>
          </cell>
          <cell r="S64">
            <v>25</v>
          </cell>
          <cell r="T64">
            <v>10</v>
          </cell>
          <cell r="U64">
            <v>0</v>
          </cell>
          <cell r="V64">
            <v>0</v>
          </cell>
          <cell r="W64">
            <v>21</v>
          </cell>
          <cell r="X64">
            <v>0</v>
          </cell>
          <cell r="Y64">
            <v>0</v>
          </cell>
          <cell r="Z64">
            <v>215</v>
          </cell>
          <cell r="AA64">
            <v>0</v>
          </cell>
          <cell r="AB64">
            <v>0</v>
          </cell>
          <cell r="AC64">
            <v>0</v>
          </cell>
          <cell r="AD64">
            <v>302</v>
          </cell>
          <cell r="AF64" t="str">
            <v>01020102010202</v>
          </cell>
          <cell r="AG64">
            <v>38</v>
          </cell>
          <cell r="AH64">
            <v>20</v>
          </cell>
          <cell r="AI64">
            <v>163</v>
          </cell>
          <cell r="AJ64">
            <v>2</v>
          </cell>
          <cell r="AK64">
            <v>304</v>
          </cell>
          <cell r="AL64">
            <v>0</v>
          </cell>
          <cell r="AM64">
            <v>10</v>
          </cell>
          <cell r="AN64">
            <v>0</v>
          </cell>
          <cell r="AO64">
            <v>0</v>
          </cell>
          <cell r="AP64">
            <v>479</v>
          </cell>
          <cell r="AR64" t="str">
            <v>01020102010202</v>
          </cell>
          <cell r="AS64">
            <v>500</v>
          </cell>
          <cell r="AV64" t="str">
            <v>01020102010202</v>
          </cell>
          <cell r="AW64">
            <v>200</v>
          </cell>
        </row>
        <row r="65">
          <cell r="P65" t="str">
            <v>01020202010202</v>
          </cell>
          <cell r="Q65">
            <v>25</v>
          </cell>
          <cell r="R65">
            <v>6</v>
          </cell>
          <cell r="S65">
            <v>25</v>
          </cell>
          <cell r="T65">
            <v>10</v>
          </cell>
          <cell r="U65">
            <v>0</v>
          </cell>
          <cell r="V65">
            <v>0</v>
          </cell>
          <cell r="W65">
            <v>21</v>
          </cell>
          <cell r="X65">
            <v>0</v>
          </cell>
          <cell r="Y65">
            <v>0</v>
          </cell>
          <cell r="Z65">
            <v>215</v>
          </cell>
          <cell r="AA65">
            <v>0</v>
          </cell>
          <cell r="AB65">
            <v>0</v>
          </cell>
          <cell r="AC65">
            <v>0</v>
          </cell>
          <cell r="AD65">
            <v>302</v>
          </cell>
          <cell r="AF65" t="str">
            <v>01020202010202</v>
          </cell>
          <cell r="AG65">
            <v>38</v>
          </cell>
          <cell r="AH65">
            <v>20</v>
          </cell>
          <cell r="AI65">
            <v>163</v>
          </cell>
          <cell r="AJ65">
            <v>2</v>
          </cell>
          <cell r="AK65">
            <v>304</v>
          </cell>
          <cell r="AL65">
            <v>0</v>
          </cell>
          <cell r="AM65">
            <v>10</v>
          </cell>
          <cell r="AN65">
            <v>0</v>
          </cell>
          <cell r="AO65">
            <v>0</v>
          </cell>
          <cell r="AP65">
            <v>479</v>
          </cell>
          <cell r="AR65" t="str">
            <v>01020202010202</v>
          </cell>
          <cell r="AS65">
            <v>250</v>
          </cell>
          <cell r="AV65" t="str">
            <v>01020202010202</v>
          </cell>
          <cell r="AW65">
            <v>200</v>
          </cell>
        </row>
        <row r="66">
          <cell r="P66" t="str">
            <v>01020202020202</v>
          </cell>
          <cell r="Q66">
            <v>25</v>
          </cell>
          <cell r="R66">
            <v>6</v>
          </cell>
          <cell r="S66">
            <v>25</v>
          </cell>
          <cell r="T66">
            <v>10</v>
          </cell>
          <cell r="U66">
            <v>0</v>
          </cell>
          <cell r="V66">
            <v>0</v>
          </cell>
          <cell r="W66">
            <v>21</v>
          </cell>
          <cell r="X66">
            <v>0</v>
          </cell>
          <cell r="Y66">
            <v>0</v>
          </cell>
          <cell r="Z66">
            <v>215</v>
          </cell>
          <cell r="AA66">
            <v>0</v>
          </cell>
          <cell r="AB66">
            <v>0</v>
          </cell>
          <cell r="AC66">
            <v>0</v>
          </cell>
          <cell r="AD66">
            <v>302</v>
          </cell>
          <cell r="AF66" t="str">
            <v>01020202020202</v>
          </cell>
          <cell r="AG66">
            <v>38</v>
          </cell>
          <cell r="AH66">
            <v>20</v>
          </cell>
          <cell r="AI66">
            <v>163</v>
          </cell>
          <cell r="AJ66">
            <v>2</v>
          </cell>
          <cell r="AK66">
            <v>304</v>
          </cell>
          <cell r="AL66">
            <v>0</v>
          </cell>
          <cell r="AM66">
            <v>10</v>
          </cell>
          <cell r="AN66">
            <v>0</v>
          </cell>
          <cell r="AO66">
            <v>0</v>
          </cell>
          <cell r="AP66">
            <v>479</v>
          </cell>
          <cell r="AR66" t="str">
            <v>01020202020202</v>
          </cell>
          <cell r="AS66">
            <v>250</v>
          </cell>
          <cell r="AV66" t="str">
            <v>01020202020202</v>
          </cell>
          <cell r="AW66">
            <v>200</v>
          </cell>
        </row>
        <row r="67">
          <cell r="P67" t="str">
            <v>01020102020202</v>
          </cell>
          <cell r="Q67">
            <v>25</v>
          </cell>
          <cell r="R67">
            <v>6</v>
          </cell>
          <cell r="S67">
            <v>25</v>
          </cell>
          <cell r="T67">
            <v>10</v>
          </cell>
          <cell r="U67">
            <v>0</v>
          </cell>
          <cell r="V67">
            <v>0</v>
          </cell>
          <cell r="W67">
            <v>21</v>
          </cell>
          <cell r="X67">
            <v>0</v>
          </cell>
          <cell r="Y67">
            <v>0</v>
          </cell>
          <cell r="Z67">
            <v>215</v>
          </cell>
          <cell r="AA67">
            <v>0</v>
          </cell>
          <cell r="AB67">
            <v>0</v>
          </cell>
          <cell r="AC67">
            <v>0</v>
          </cell>
          <cell r="AD67">
            <v>302</v>
          </cell>
          <cell r="AF67" t="str">
            <v>01020102020202</v>
          </cell>
          <cell r="AG67">
            <v>38</v>
          </cell>
          <cell r="AH67">
            <v>20</v>
          </cell>
          <cell r="AI67">
            <v>163</v>
          </cell>
          <cell r="AJ67">
            <v>2</v>
          </cell>
          <cell r="AK67">
            <v>304</v>
          </cell>
          <cell r="AL67">
            <v>0</v>
          </cell>
          <cell r="AM67">
            <v>10</v>
          </cell>
          <cell r="AN67">
            <v>0</v>
          </cell>
          <cell r="AO67">
            <v>0</v>
          </cell>
          <cell r="AP67">
            <v>479</v>
          </cell>
          <cell r="AR67" t="str">
            <v>01020102020202</v>
          </cell>
          <cell r="AS67">
            <v>500</v>
          </cell>
          <cell r="AV67" t="str">
            <v>01020102020202</v>
          </cell>
          <cell r="AW67">
            <v>200</v>
          </cell>
        </row>
        <row r="68">
          <cell r="P68" t="str">
            <v>03020601010202</v>
          </cell>
          <cell r="Q68">
            <v>25</v>
          </cell>
          <cell r="R68">
            <v>6</v>
          </cell>
          <cell r="S68">
            <v>25</v>
          </cell>
          <cell r="T68">
            <v>10</v>
          </cell>
          <cell r="U68">
            <v>0</v>
          </cell>
          <cell r="V68">
            <v>0</v>
          </cell>
          <cell r="W68">
            <v>21</v>
          </cell>
          <cell r="X68">
            <v>0</v>
          </cell>
          <cell r="Y68">
            <v>0</v>
          </cell>
          <cell r="Z68">
            <v>215</v>
          </cell>
          <cell r="AA68">
            <v>0</v>
          </cell>
          <cell r="AB68">
            <v>0</v>
          </cell>
          <cell r="AC68">
            <v>0</v>
          </cell>
          <cell r="AD68">
            <v>302</v>
          </cell>
          <cell r="AF68" t="str">
            <v>03020601010202</v>
          </cell>
          <cell r="AG68">
            <v>38</v>
          </cell>
          <cell r="AH68">
            <v>20</v>
          </cell>
          <cell r="AI68">
            <v>163</v>
          </cell>
          <cell r="AJ68">
            <v>2</v>
          </cell>
          <cell r="AK68">
            <v>304</v>
          </cell>
          <cell r="AL68">
            <v>0</v>
          </cell>
          <cell r="AM68">
            <v>10</v>
          </cell>
          <cell r="AN68">
            <v>0</v>
          </cell>
          <cell r="AO68">
            <v>0</v>
          </cell>
          <cell r="AP68">
            <v>479</v>
          </cell>
          <cell r="AR68" t="str">
            <v>03020601010202</v>
          </cell>
          <cell r="AS68">
            <v>500</v>
          </cell>
          <cell r="AV68" t="str">
            <v>03020601010202</v>
          </cell>
          <cell r="AW68">
            <v>200</v>
          </cell>
        </row>
        <row r="69">
          <cell r="P69" t="str">
            <v>03020602010202</v>
          </cell>
          <cell r="Q69">
            <v>25</v>
          </cell>
          <cell r="R69">
            <v>6</v>
          </cell>
          <cell r="S69">
            <v>25</v>
          </cell>
          <cell r="T69">
            <v>10</v>
          </cell>
          <cell r="U69">
            <v>0</v>
          </cell>
          <cell r="V69">
            <v>0</v>
          </cell>
          <cell r="W69">
            <v>21</v>
          </cell>
          <cell r="X69">
            <v>0</v>
          </cell>
          <cell r="Y69">
            <v>0</v>
          </cell>
          <cell r="Z69">
            <v>215</v>
          </cell>
          <cell r="AA69">
            <v>0</v>
          </cell>
          <cell r="AB69">
            <v>0</v>
          </cell>
          <cell r="AC69">
            <v>0</v>
          </cell>
          <cell r="AD69">
            <v>302</v>
          </cell>
          <cell r="AF69" t="str">
            <v>03020602010202</v>
          </cell>
          <cell r="AG69">
            <v>38</v>
          </cell>
          <cell r="AH69">
            <v>20</v>
          </cell>
          <cell r="AI69">
            <v>163</v>
          </cell>
          <cell r="AJ69">
            <v>2</v>
          </cell>
          <cell r="AK69">
            <v>304</v>
          </cell>
          <cell r="AL69">
            <v>0</v>
          </cell>
          <cell r="AM69">
            <v>10</v>
          </cell>
          <cell r="AN69">
            <v>0</v>
          </cell>
          <cell r="AO69">
            <v>0</v>
          </cell>
          <cell r="AP69">
            <v>479</v>
          </cell>
          <cell r="AR69" t="str">
            <v>03020602010202</v>
          </cell>
          <cell r="AS69">
            <v>500</v>
          </cell>
          <cell r="AV69" t="str">
            <v>03020602010202</v>
          </cell>
          <cell r="AW69">
            <v>200</v>
          </cell>
        </row>
        <row r="70">
          <cell r="P70" t="str">
            <v>03020601020202</v>
          </cell>
          <cell r="Q70">
            <v>25</v>
          </cell>
          <cell r="R70">
            <v>6</v>
          </cell>
          <cell r="S70">
            <v>25</v>
          </cell>
          <cell r="T70">
            <v>10</v>
          </cell>
          <cell r="U70">
            <v>0</v>
          </cell>
          <cell r="V70">
            <v>0</v>
          </cell>
          <cell r="W70">
            <v>21</v>
          </cell>
          <cell r="X70">
            <v>0</v>
          </cell>
          <cell r="Y70">
            <v>0</v>
          </cell>
          <cell r="Z70">
            <v>215</v>
          </cell>
          <cell r="AA70">
            <v>0</v>
          </cell>
          <cell r="AB70">
            <v>0</v>
          </cell>
          <cell r="AC70">
            <v>0</v>
          </cell>
          <cell r="AD70">
            <v>302</v>
          </cell>
          <cell r="AF70" t="str">
            <v>03020601020202</v>
          </cell>
          <cell r="AG70">
            <v>38</v>
          </cell>
          <cell r="AH70">
            <v>20</v>
          </cell>
          <cell r="AI70">
            <v>163</v>
          </cell>
          <cell r="AJ70">
            <v>2</v>
          </cell>
          <cell r="AK70">
            <v>304</v>
          </cell>
          <cell r="AL70">
            <v>0</v>
          </cell>
          <cell r="AM70">
            <v>10</v>
          </cell>
          <cell r="AN70">
            <v>0</v>
          </cell>
          <cell r="AO70">
            <v>0</v>
          </cell>
          <cell r="AP70">
            <v>479</v>
          </cell>
          <cell r="AR70" t="str">
            <v>03020601020202</v>
          </cell>
          <cell r="AS70">
            <v>500</v>
          </cell>
          <cell r="AV70" t="str">
            <v>03020601020202</v>
          </cell>
          <cell r="AW70">
            <v>200</v>
          </cell>
        </row>
        <row r="71">
          <cell r="P71" t="str">
            <v>03020602020202</v>
          </cell>
          <cell r="Q71">
            <v>25</v>
          </cell>
          <cell r="R71">
            <v>6</v>
          </cell>
          <cell r="S71">
            <v>25</v>
          </cell>
          <cell r="T71">
            <v>10</v>
          </cell>
          <cell r="U71">
            <v>0</v>
          </cell>
          <cell r="V71">
            <v>0</v>
          </cell>
          <cell r="W71">
            <v>21</v>
          </cell>
          <cell r="X71">
            <v>0</v>
          </cell>
          <cell r="Y71">
            <v>0</v>
          </cell>
          <cell r="Z71">
            <v>215</v>
          </cell>
          <cell r="AA71">
            <v>0</v>
          </cell>
          <cell r="AB71">
            <v>0</v>
          </cell>
          <cell r="AC71">
            <v>0</v>
          </cell>
          <cell r="AD71">
            <v>302</v>
          </cell>
          <cell r="AF71" t="str">
            <v>03020602020202</v>
          </cell>
          <cell r="AG71">
            <v>38</v>
          </cell>
          <cell r="AH71">
            <v>20</v>
          </cell>
          <cell r="AI71">
            <v>163</v>
          </cell>
          <cell r="AJ71">
            <v>2</v>
          </cell>
          <cell r="AK71">
            <v>304</v>
          </cell>
          <cell r="AL71">
            <v>0</v>
          </cell>
          <cell r="AM71">
            <v>10</v>
          </cell>
          <cell r="AN71">
            <v>0</v>
          </cell>
          <cell r="AO71">
            <v>0</v>
          </cell>
          <cell r="AP71">
            <v>479</v>
          </cell>
          <cell r="AR71" t="str">
            <v>03020602020202</v>
          </cell>
          <cell r="AS71">
            <v>500</v>
          </cell>
          <cell r="AV71" t="str">
            <v>03020602020202</v>
          </cell>
          <cell r="AW71">
            <v>200</v>
          </cell>
        </row>
        <row r="72">
          <cell r="P72" t="str">
            <v>03020102020202</v>
          </cell>
          <cell r="Q72">
            <v>25</v>
          </cell>
          <cell r="R72">
            <v>6</v>
          </cell>
          <cell r="S72">
            <v>25</v>
          </cell>
          <cell r="T72">
            <v>10</v>
          </cell>
          <cell r="U72">
            <v>0</v>
          </cell>
          <cell r="V72">
            <v>0</v>
          </cell>
          <cell r="W72">
            <v>21</v>
          </cell>
          <cell r="X72">
            <v>0</v>
          </cell>
          <cell r="Y72">
            <v>0</v>
          </cell>
          <cell r="Z72">
            <v>215</v>
          </cell>
          <cell r="AA72">
            <v>0</v>
          </cell>
          <cell r="AB72">
            <v>0</v>
          </cell>
          <cell r="AC72">
            <v>0</v>
          </cell>
          <cell r="AD72">
            <v>302</v>
          </cell>
          <cell r="AF72" t="str">
            <v>03020102020202</v>
          </cell>
          <cell r="AG72">
            <v>38</v>
          </cell>
          <cell r="AH72">
            <v>20</v>
          </cell>
          <cell r="AI72">
            <v>163</v>
          </cell>
          <cell r="AJ72">
            <v>2</v>
          </cell>
          <cell r="AK72">
            <v>304</v>
          </cell>
          <cell r="AL72">
            <v>0</v>
          </cell>
          <cell r="AM72">
            <v>10</v>
          </cell>
          <cell r="AN72">
            <v>0</v>
          </cell>
          <cell r="AO72">
            <v>0</v>
          </cell>
          <cell r="AP72">
            <v>479</v>
          </cell>
          <cell r="AR72" t="str">
            <v>03020102020202</v>
          </cell>
          <cell r="AS72">
            <v>500</v>
          </cell>
          <cell r="AV72" t="str">
            <v>03020102020202</v>
          </cell>
          <cell r="AW72">
            <v>200</v>
          </cell>
        </row>
        <row r="73">
          <cell r="P73" t="str">
            <v>02020402010202</v>
          </cell>
          <cell r="Q73">
            <v>25</v>
          </cell>
          <cell r="R73">
            <v>0</v>
          </cell>
          <cell r="S73">
            <v>0</v>
          </cell>
          <cell r="T73">
            <v>0</v>
          </cell>
          <cell r="U73">
            <v>0</v>
          </cell>
          <cell r="V73">
            <v>0</v>
          </cell>
          <cell r="W73">
            <v>21</v>
          </cell>
          <cell r="X73">
            <v>50</v>
          </cell>
          <cell r="Y73">
            <v>6</v>
          </cell>
          <cell r="Z73">
            <v>0</v>
          </cell>
          <cell r="AA73">
            <v>0</v>
          </cell>
          <cell r="AB73">
            <v>0</v>
          </cell>
          <cell r="AC73">
            <v>0</v>
          </cell>
          <cell r="AD73">
            <v>102</v>
          </cell>
          <cell r="AF73" t="str">
            <v>02020402010202</v>
          </cell>
          <cell r="AG73">
            <v>13</v>
          </cell>
          <cell r="AH73">
            <v>7</v>
          </cell>
          <cell r="AI73">
            <v>59</v>
          </cell>
          <cell r="AJ73">
            <v>2</v>
          </cell>
          <cell r="AK73">
            <v>104</v>
          </cell>
          <cell r="AL73">
            <v>0</v>
          </cell>
          <cell r="AM73">
            <v>10</v>
          </cell>
          <cell r="AN73">
            <v>0</v>
          </cell>
          <cell r="AO73">
            <v>0</v>
          </cell>
          <cell r="AP73">
            <v>175</v>
          </cell>
          <cell r="AR73" t="str">
            <v>02020402010202</v>
          </cell>
          <cell r="AS73">
            <v>230</v>
          </cell>
          <cell r="AV73" t="str">
            <v>02020402010202</v>
          </cell>
          <cell r="AW73">
            <v>75</v>
          </cell>
        </row>
        <row r="74">
          <cell r="P74" t="str">
            <v>02020402020202</v>
          </cell>
          <cell r="Q74">
            <v>25</v>
          </cell>
          <cell r="R74">
            <v>0</v>
          </cell>
          <cell r="S74">
            <v>0</v>
          </cell>
          <cell r="T74">
            <v>0</v>
          </cell>
          <cell r="U74">
            <v>0</v>
          </cell>
          <cell r="V74">
            <v>0</v>
          </cell>
          <cell r="W74">
            <v>21</v>
          </cell>
          <cell r="X74">
            <v>50</v>
          </cell>
          <cell r="Y74">
            <v>6</v>
          </cell>
          <cell r="Z74">
            <v>0</v>
          </cell>
          <cell r="AA74">
            <v>0</v>
          </cell>
          <cell r="AB74">
            <v>0</v>
          </cell>
          <cell r="AC74">
            <v>0</v>
          </cell>
          <cell r="AD74">
            <v>102</v>
          </cell>
          <cell r="AF74" t="str">
            <v>02020402020202</v>
          </cell>
          <cell r="AG74">
            <v>13</v>
          </cell>
          <cell r="AH74">
            <v>7</v>
          </cell>
          <cell r="AI74">
            <v>59</v>
          </cell>
          <cell r="AJ74">
            <v>2</v>
          </cell>
          <cell r="AK74">
            <v>104</v>
          </cell>
          <cell r="AL74">
            <v>0</v>
          </cell>
          <cell r="AM74">
            <v>10</v>
          </cell>
          <cell r="AN74">
            <v>0</v>
          </cell>
          <cell r="AO74">
            <v>0</v>
          </cell>
          <cell r="AP74">
            <v>175</v>
          </cell>
          <cell r="AR74" t="str">
            <v>02020402020202</v>
          </cell>
          <cell r="AS74">
            <v>230</v>
          </cell>
          <cell r="AV74" t="str">
            <v>02020402020202</v>
          </cell>
          <cell r="AW74">
            <v>75</v>
          </cell>
        </row>
        <row r="75">
          <cell r="P75" t="str">
            <v>02020502010202</v>
          </cell>
          <cell r="Q75">
            <v>25</v>
          </cell>
          <cell r="R75">
            <v>0</v>
          </cell>
          <cell r="S75">
            <v>0</v>
          </cell>
          <cell r="T75">
            <v>10</v>
          </cell>
          <cell r="U75">
            <v>0</v>
          </cell>
          <cell r="V75">
            <v>0</v>
          </cell>
          <cell r="W75">
            <v>0</v>
          </cell>
          <cell r="X75">
            <v>50</v>
          </cell>
          <cell r="Y75">
            <v>6</v>
          </cell>
          <cell r="Z75">
            <v>0</v>
          </cell>
          <cell r="AA75">
            <v>0</v>
          </cell>
          <cell r="AB75">
            <v>0</v>
          </cell>
          <cell r="AC75">
            <v>0</v>
          </cell>
          <cell r="AD75">
            <v>91</v>
          </cell>
          <cell r="AF75" t="str">
            <v>02020502010202</v>
          </cell>
          <cell r="AG75">
            <v>13</v>
          </cell>
          <cell r="AH75">
            <v>7</v>
          </cell>
          <cell r="AI75">
            <v>59</v>
          </cell>
          <cell r="AJ75">
            <v>2</v>
          </cell>
          <cell r="AK75">
            <v>104</v>
          </cell>
          <cell r="AL75">
            <v>0</v>
          </cell>
          <cell r="AM75">
            <v>10</v>
          </cell>
          <cell r="AN75">
            <v>0</v>
          </cell>
          <cell r="AO75">
            <v>0</v>
          </cell>
          <cell r="AP75">
            <v>175</v>
          </cell>
          <cell r="AR75" t="str">
            <v>02020502010202</v>
          </cell>
          <cell r="AS75">
            <v>230</v>
          </cell>
          <cell r="AV75" t="str">
            <v>02020502010202</v>
          </cell>
          <cell r="AW75">
            <v>75</v>
          </cell>
        </row>
        <row r="76">
          <cell r="P76" t="str">
            <v>02020502020202</v>
          </cell>
          <cell r="Q76">
            <v>25</v>
          </cell>
          <cell r="R76">
            <v>0</v>
          </cell>
          <cell r="S76">
            <v>0</v>
          </cell>
          <cell r="T76">
            <v>10</v>
          </cell>
          <cell r="U76">
            <v>0</v>
          </cell>
          <cell r="V76">
            <v>0</v>
          </cell>
          <cell r="W76">
            <v>0</v>
          </cell>
          <cell r="X76">
            <v>50</v>
          </cell>
          <cell r="Y76">
            <v>6</v>
          </cell>
          <cell r="Z76">
            <v>0</v>
          </cell>
          <cell r="AA76">
            <v>0</v>
          </cell>
          <cell r="AB76">
            <v>0</v>
          </cell>
          <cell r="AC76">
            <v>0</v>
          </cell>
          <cell r="AD76">
            <v>91</v>
          </cell>
          <cell r="AF76" t="str">
            <v>02020502020202</v>
          </cell>
          <cell r="AG76">
            <v>13</v>
          </cell>
          <cell r="AH76">
            <v>7</v>
          </cell>
          <cell r="AI76">
            <v>59</v>
          </cell>
          <cell r="AJ76">
            <v>2</v>
          </cell>
          <cell r="AK76">
            <v>104</v>
          </cell>
          <cell r="AL76">
            <v>0</v>
          </cell>
          <cell r="AM76">
            <v>10</v>
          </cell>
          <cell r="AN76">
            <v>0</v>
          </cell>
          <cell r="AO76">
            <v>0</v>
          </cell>
          <cell r="AP76">
            <v>175</v>
          </cell>
          <cell r="AR76" t="str">
            <v>02020502020202</v>
          </cell>
          <cell r="AS76">
            <v>230</v>
          </cell>
          <cell r="AV76" t="str">
            <v>02020502020202</v>
          </cell>
          <cell r="AW76">
            <v>75</v>
          </cell>
        </row>
        <row r="77">
          <cell r="P77" t="str">
            <v>02020102010202</v>
          </cell>
          <cell r="Q77">
            <v>25</v>
          </cell>
          <cell r="R77">
            <v>0</v>
          </cell>
          <cell r="S77">
            <v>0</v>
          </cell>
          <cell r="T77">
            <v>10</v>
          </cell>
          <cell r="U77">
            <v>0</v>
          </cell>
          <cell r="V77">
            <v>0</v>
          </cell>
          <cell r="W77">
            <v>0</v>
          </cell>
          <cell r="X77">
            <v>50</v>
          </cell>
          <cell r="Y77">
            <v>6</v>
          </cell>
          <cell r="Z77">
            <v>0</v>
          </cell>
          <cell r="AA77">
            <v>0</v>
          </cell>
          <cell r="AB77">
            <v>0</v>
          </cell>
          <cell r="AC77">
            <v>0</v>
          </cell>
          <cell r="AD77">
            <v>91</v>
          </cell>
          <cell r="AF77" t="str">
            <v>02020102010202</v>
          </cell>
          <cell r="AG77">
            <v>13</v>
          </cell>
          <cell r="AH77">
            <v>7</v>
          </cell>
          <cell r="AI77">
            <v>59</v>
          </cell>
          <cell r="AJ77">
            <v>2</v>
          </cell>
          <cell r="AK77">
            <v>104</v>
          </cell>
          <cell r="AL77">
            <v>0</v>
          </cell>
          <cell r="AM77">
            <v>10</v>
          </cell>
          <cell r="AN77">
            <v>0</v>
          </cell>
          <cell r="AO77">
            <v>0</v>
          </cell>
          <cell r="AP77">
            <v>175</v>
          </cell>
          <cell r="AR77" t="str">
            <v>02020102010202</v>
          </cell>
          <cell r="AS77">
            <v>230</v>
          </cell>
          <cell r="AV77" t="str">
            <v>02020102010202</v>
          </cell>
          <cell r="AW77">
            <v>75</v>
          </cell>
        </row>
        <row r="78">
          <cell r="P78" t="str">
            <v>02020102020202</v>
          </cell>
          <cell r="Q78">
            <v>25</v>
          </cell>
          <cell r="R78">
            <v>0</v>
          </cell>
          <cell r="S78">
            <v>0</v>
          </cell>
          <cell r="T78">
            <v>10</v>
          </cell>
          <cell r="U78">
            <v>0</v>
          </cell>
          <cell r="V78">
            <v>0</v>
          </cell>
          <cell r="W78">
            <v>0</v>
          </cell>
          <cell r="X78">
            <v>50</v>
          </cell>
          <cell r="Y78">
            <v>6</v>
          </cell>
          <cell r="Z78">
            <v>0</v>
          </cell>
          <cell r="AA78">
            <v>0</v>
          </cell>
          <cell r="AB78">
            <v>0</v>
          </cell>
          <cell r="AC78">
            <v>0</v>
          </cell>
          <cell r="AD78">
            <v>91</v>
          </cell>
          <cell r="AF78" t="str">
            <v>02020102020202</v>
          </cell>
          <cell r="AG78">
            <v>13</v>
          </cell>
          <cell r="AH78">
            <v>7</v>
          </cell>
          <cell r="AI78">
            <v>59</v>
          </cell>
          <cell r="AJ78">
            <v>2</v>
          </cell>
          <cell r="AK78">
            <v>104</v>
          </cell>
          <cell r="AL78">
            <v>0</v>
          </cell>
          <cell r="AM78">
            <v>10</v>
          </cell>
          <cell r="AN78">
            <v>0</v>
          </cell>
          <cell r="AO78">
            <v>0</v>
          </cell>
          <cell r="AP78">
            <v>175</v>
          </cell>
          <cell r="AR78" t="str">
            <v>02020102020202</v>
          </cell>
          <cell r="AS78">
            <v>230</v>
          </cell>
          <cell r="AV78" t="str">
            <v>02020102020202</v>
          </cell>
          <cell r="AW78">
            <v>75</v>
          </cell>
        </row>
        <row r="79">
          <cell r="P79" t="str">
            <v>04020102010202</v>
          </cell>
          <cell r="Q79">
            <v>25</v>
          </cell>
          <cell r="R79">
            <v>6</v>
          </cell>
          <cell r="S79">
            <v>25</v>
          </cell>
          <cell r="T79">
            <v>10</v>
          </cell>
          <cell r="U79">
            <v>0</v>
          </cell>
          <cell r="V79">
            <v>0</v>
          </cell>
          <cell r="W79">
            <v>21</v>
          </cell>
          <cell r="X79">
            <v>0</v>
          </cell>
          <cell r="Y79">
            <v>0</v>
          </cell>
          <cell r="Z79">
            <v>0</v>
          </cell>
          <cell r="AA79">
            <v>0</v>
          </cell>
          <cell r="AB79">
            <v>0</v>
          </cell>
          <cell r="AC79">
            <v>0</v>
          </cell>
          <cell r="AD79">
            <v>87</v>
          </cell>
          <cell r="AF79" t="str">
            <v>04020102010202</v>
          </cell>
          <cell r="AG79">
            <v>38</v>
          </cell>
          <cell r="AH79">
            <v>20</v>
          </cell>
          <cell r="AI79">
            <v>163</v>
          </cell>
          <cell r="AJ79">
            <v>2</v>
          </cell>
          <cell r="AK79">
            <v>304</v>
          </cell>
          <cell r="AL79">
            <v>0</v>
          </cell>
          <cell r="AM79">
            <v>10</v>
          </cell>
          <cell r="AN79">
            <v>0</v>
          </cell>
          <cell r="AO79">
            <v>0</v>
          </cell>
          <cell r="AP79">
            <v>479</v>
          </cell>
          <cell r="AR79" t="str">
            <v>04020102010202</v>
          </cell>
          <cell r="AS79">
            <v>230</v>
          </cell>
          <cell r="AV79" t="str">
            <v>04020102010202</v>
          </cell>
          <cell r="AW79">
            <v>200</v>
          </cell>
        </row>
        <row r="80">
          <cell r="P80" t="str">
            <v>04020102020202</v>
          </cell>
          <cell r="Q80">
            <v>25</v>
          </cell>
          <cell r="R80">
            <v>6</v>
          </cell>
          <cell r="S80">
            <v>25</v>
          </cell>
          <cell r="T80">
            <v>10</v>
          </cell>
          <cell r="U80">
            <v>0</v>
          </cell>
          <cell r="V80">
            <v>0</v>
          </cell>
          <cell r="W80">
            <v>21</v>
          </cell>
          <cell r="X80">
            <v>0</v>
          </cell>
          <cell r="Y80">
            <v>0</v>
          </cell>
          <cell r="Z80">
            <v>0</v>
          </cell>
          <cell r="AA80">
            <v>0</v>
          </cell>
          <cell r="AB80">
            <v>0</v>
          </cell>
          <cell r="AC80">
            <v>0</v>
          </cell>
          <cell r="AD80">
            <v>87</v>
          </cell>
          <cell r="AF80" t="str">
            <v>04020102020202</v>
          </cell>
          <cell r="AG80">
            <v>38</v>
          </cell>
          <cell r="AH80">
            <v>20</v>
          </cell>
          <cell r="AI80">
            <v>163</v>
          </cell>
          <cell r="AJ80">
            <v>2</v>
          </cell>
          <cell r="AK80">
            <v>304</v>
          </cell>
          <cell r="AL80">
            <v>0</v>
          </cell>
          <cell r="AM80">
            <v>10</v>
          </cell>
          <cell r="AN80">
            <v>0</v>
          </cell>
          <cell r="AO80">
            <v>0</v>
          </cell>
          <cell r="AP80">
            <v>479</v>
          </cell>
          <cell r="AR80" t="str">
            <v>04020102020202</v>
          </cell>
          <cell r="AS80">
            <v>230</v>
          </cell>
          <cell r="AV80" t="str">
            <v>04020102020202</v>
          </cell>
          <cell r="AW80">
            <v>200</v>
          </cell>
        </row>
        <row r="81">
          <cell r="P81" t="str">
            <v>07010102010202</v>
          </cell>
          <cell r="Q81">
            <v>25</v>
          </cell>
          <cell r="R81">
            <v>0</v>
          </cell>
          <cell r="S81">
            <v>0</v>
          </cell>
          <cell r="T81">
            <v>10</v>
          </cell>
          <cell r="U81">
            <v>0</v>
          </cell>
          <cell r="V81">
            <v>0</v>
          </cell>
          <cell r="W81">
            <v>0</v>
          </cell>
          <cell r="X81">
            <v>50</v>
          </cell>
          <cell r="Y81">
            <v>6</v>
          </cell>
          <cell r="Z81">
            <v>0</v>
          </cell>
          <cell r="AA81">
            <v>0</v>
          </cell>
          <cell r="AB81">
            <v>0</v>
          </cell>
          <cell r="AC81">
            <v>0</v>
          </cell>
          <cell r="AD81">
            <v>91</v>
          </cell>
          <cell r="AF81" t="str">
            <v>07010102010202</v>
          </cell>
          <cell r="AG81">
            <v>13</v>
          </cell>
          <cell r="AH81">
            <v>7</v>
          </cell>
          <cell r="AI81">
            <v>59</v>
          </cell>
          <cell r="AJ81">
            <v>2</v>
          </cell>
          <cell r="AK81">
            <v>104</v>
          </cell>
          <cell r="AL81">
            <v>0</v>
          </cell>
          <cell r="AM81">
            <v>10</v>
          </cell>
          <cell r="AN81">
            <v>0</v>
          </cell>
          <cell r="AO81">
            <v>0</v>
          </cell>
          <cell r="AP81">
            <v>175</v>
          </cell>
          <cell r="AR81" t="str">
            <v>07010102010202</v>
          </cell>
          <cell r="AS81">
            <v>150</v>
          </cell>
          <cell r="AV81" t="str">
            <v>07010102010202</v>
          </cell>
          <cell r="AW81">
            <v>75</v>
          </cell>
        </row>
        <row r="82">
          <cell r="P82" t="str">
            <v>07010102020202</v>
          </cell>
          <cell r="Q82">
            <v>25</v>
          </cell>
          <cell r="R82">
            <v>0</v>
          </cell>
          <cell r="S82">
            <v>0</v>
          </cell>
          <cell r="T82">
            <v>10</v>
          </cell>
          <cell r="U82">
            <v>0</v>
          </cell>
          <cell r="V82">
            <v>0</v>
          </cell>
          <cell r="W82">
            <v>0</v>
          </cell>
          <cell r="X82">
            <v>50</v>
          </cell>
          <cell r="Y82">
            <v>6</v>
          </cell>
          <cell r="Z82">
            <v>0</v>
          </cell>
          <cell r="AA82">
            <v>0</v>
          </cell>
          <cell r="AB82">
            <v>0</v>
          </cell>
          <cell r="AC82">
            <v>0</v>
          </cell>
          <cell r="AD82">
            <v>91</v>
          </cell>
          <cell r="AF82" t="str">
            <v>07010102020202</v>
          </cell>
          <cell r="AG82">
            <v>13</v>
          </cell>
          <cell r="AH82">
            <v>7</v>
          </cell>
          <cell r="AI82">
            <v>59</v>
          </cell>
          <cell r="AJ82">
            <v>2</v>
          </cell>
          <cell r="AK82">
            <v>104</v>
          </cell>
          <cell r="AL82">
            <v>0</v>
          </cell>
          <cell r="AM82">
            <v>10</v>
          </cell>
          <cell r="AN82">
            <v>0</v>
          </cell>
          <cell r="AO82">
            <v>0</v>
          </cell>
          <cell r="AP82">
            <v>175</v>
          </cell>
          <cell r="AR82" t="str">
            <v>07010102020202</v>
          </cell>
          <cell r="AS82">
            <v>150</v>
          </cell>
          <cell r="AV82" t="str">
            <v>07010102020202</v>
          </cell>
          <cell r="AW82">
            <v>75</v>
          </cell>
        </row>
        <row r="83">
          <cell r="P83" t="str">
            <v>07020102010202</v>
          </cell>
          <cell r="Q83">
            <v>25</v>
          </cell>
          <cell r="R83">
            <v>0</v>
          </cell>
          <cell r="S83">
            <v>0</v>
          </cell>
          <cell r="T83">
            <v>10</v>
          </cell>
          <cell r="U83">
            <v>0</v>
          </cell>
          <cell r="V83">
            <v>0</v>
          </cell>
          <cell r="W83">
            <v>0</v>
          </cell>
          <cell r="X83">
            <v>50</v>
          </cell>
          <cell r="Y83">
            <v>6</v>
          </cell>
          <cell r="Z83">
            <v>0</v>
          </cell>
          <cell r="AA83">
            <v>0</v>
          </cell>
          <cell r="AB83">
            <v>0</v>
          </cell>
          <cell r="AC83">
            <v>0</v>
          </cell>
          <cell r="AD83">
            <v>91</v>
          </cell>
          <cell r="AF83" t="str">
            <v>07020102010202</v>
          </cell>
          <cell r="AG83">
            <v>13</v>
          </cell>
          <cell r="AH83">
            <v>7</v>
          </cell>
          <cell r="AI83">
            <v>59</v>
          </cell>
          <cell r="AJ83">
            <v>2</v>
          </cell>
          <cell r="AK83">
            <v>104</v>
          </cell>
          <cell r="AL83">
            <v>0</v>
          </cell>
          <cell r="AM83">
            <v>10</v>
          </cell>
          <cell r="AN83">
            <v>0</v>
          </cell>
          <cell r="AO83">
            <v>0</v>
          </cell>
          <cell r="AP83">
            <v>175</v>
          </cell>
          <cell r="AR83" t="str">
            <v>07020102010202</v>
          </cell>
          <cell r="AS83">
            <v>150</v>
          </cell>
          <cell r="AV83" t="str">
            <v>07020102010202</v>
          </cell>
          <cell r="AW83">
            <v>75</v>
          </cell>
        </row>
        <row r="84">
          <cell r="P84" t="str">
            <v>07020102020202</v>
          </cell>
          <cell r="Q84">
            <v>25</v>
          </cell>
          <cell r="R84">
            <v>0</v>
          </cell>
          <cell r="S84">
            <v>0</v>
          </cell>
          <cell r="T84">
            <v>10</v>
          </cell>
          <cell r="U84">
            <v>0</v>
          </cell>
          <cell r="V84">
            <v>0</v>
          </cell>
          <cell r="W84">
            <v>0</v>
          </cell>
          <cell r="X84">
            <v>50</v>
          </cell>
          <cell r="Y84">
            <v>6</v>
          </cell>
          <cell r="Z84">
            <v>0</v>
          </cell>
          <cell r="AA84">
            <v>0</v>
          </cell>
          <cell r="AB84">
            <v>0</v>
          </cell>
          <cell r="AC84">
            <v>0</v>
          </cell>
          <cell r="AD84">
            <v>91</v>
          </cell>
          <cell r="AF84" t="str">
            <v>07020102020202</v>
          </cell>
          <cell r="AG84">
            <v>13</v>
          </cell>
          <cell r="AH84">
            <v>7</v>
          </cell>
          <cell r="AI84">
            <v>59</v>
          </cell>
          <cell r="AJ84">
            <v>2</v>
          </cell>
          <cell r="AK84">
            <v>104</v>
          </cell>
          <cell r="AL84">
            <v>0</v>
          </cell>
          <cell r="AM84">
            <v>10</v>
          </cell>
          <cell r="AN84">
            <v>0</v>
          </cell>
          <cell r="AO84">
            <v>0</v>
          </cell>
          <cell r="AP84">
            <v>175</v>
          </cell>
          <cell r="AR84" t="str">
            <v>07020102020202</v>
          </cell>
          <cell r="AS84">
            <v>150</v>
          </cell>
          <cell r="AV84" t="str">
            <v>07020102020202</v>
          </cell>
          <cell r="AW84">
            <v>75</v>
          </cell>
        </row>
      </sheetData>
      <sheetData sheetId="4">
        <row r="2">
          <cell r="B2">
            <v>0</v>
          </cell>
          <cell r="C2">
            <v>250</v>
          </cell>
          <cell r="G2">
            <v>0</v>
          </cell>
          <cell r="H2">
            <v>250</v>
          </cell>
          <cell r="L2">
            <v>0</v>
          </cell>
          <cell r="M2">
            <v>250</v>
          </cell>
        </row>
        <row r="3">
          <cell r="B3">
            <v>5001</v>
          </cell>
          <cell r="C3">
            <v>250</v>
          </cell>
          <cell r="G3">
            <v>5001</v>
          </cell>
          <cell r="H3">
            <v>250</v>
          </cell>
          <cell r="L3">
            <v>5001</v>
          </cell>
          <cell r="M3">
            <v>250</v>
          </cell>
        </row>
        <row r="4">
          <cell r="B4">
            <v>18001</v>
          </cell>
          <cell r="C4">
            <v>250</v>
          </cell>
          <cell r="G4">
            <v>18001</v>
          </cell>
          <cell r="H4">
            <v>250</v>
          </cell>
          <cell r="L4">
            <v>18001</v>
          </cell>
          <cell r="M4">
            <v>250</v>
          </cell>
        </row>
        <row r="5">
          <cell r="B5">
            <v>25001</v>
          </cell>
          <cell r="C5">
            <v>250</v>
          </cell>
          <cell r="G5">
            <v>25001</v>
          </cell>
          <cell r="H5">
            <v>250</v>
          </cell>
          <cell r="L5">
            <v>25001</v>
          </cell>
          <cell r="M5">
            <v>250</v>
          </cell>
        </row>
        <row r="6">
          <cell r="B6">
            <v>30001</v>
          </cell>
          <cell r="C6">
            <v>250</v>
          </cell>
          <cell r="G6">
            <v>30001</v>
          </cell>
          <cell r="H6">
            <v>250</v>
          </cell>
          <cell r="L6">
            <v>30001</v>
          </cell>
          <cell r="M6">
            <v>250</v>
          </cell>
        </row>
        <row r="7">
          <cell r="B7">
            <v>40001</v>
          </cell>
          <cell r="C7">
            <v>300</v>
          </cell>
          <cell r="G7">
            <v>40001</v>
          </cell>
          <cell r="H7">
            <v>300</v>
          </cell>
          <cell r="L7">
            <v>40001</v>
          </cell>
          <cell r="M7">
            <v>300</v>
          </cell>
        </row>
        <row r="8">
          <cell r="B8">
            <v>50001</v>
          </cell>
          <cell r="C8">
            <v>300</v>
          </cell>
          <cell r="G8">
            <v>50001</v>
          </cell>
          <cell r="H8">
            <v>300</v>
          </cell>
          <cell r="L8">
            <v>50001</v>
          </cell>
          <cell r="M8">
            <v>300</v>
          </cell>
        </row>
        <row r="9">
          <cell r="B9">
            <v>62501</v>
          </cell>
          <cell r="C9">
            <v>350</v>
          </cell>
          <cell r="G9">
            <v>62501</v>
          </cell>
          <cell r="H9">
            <v>350</v>
          </cell>
          <cell r="L9">
            <v>62501</v>
          </cell>
          <cell r="M9">
            <v>350</v>
          </cell>
        </row>
        <row r="10">
          <cell r="B10">
            <v>70001</v>
          </cell>
          <cell r="C10">
            <v>350</v>
          </cell>
          <cell r="G10">
            <v>70001</v>
          </cell>
          <cell r="H10">
            <v>350</v>
          </cell>
          <cell r="L10">
            <v>70001</v>
          </cell>
          <cell r="M10">
            <v>350</v>
          </cell>
        </row>
        <row r="11">
          <cell r="B11">
            <v>80001</v>
          </cell>
          <cell r="C11">
            <v>500</v>
          </cell>
          <cell r="G11">
            <v>80001</v>
          </cell>
          <cell r="H11">
            <v>500</v>
          </cell>
          <cell r="L11">
            <v>80001</v>
          </cell>
          <cell r="M11">
            <v>500</v>
          </cell>
        </row>
        <row r="12">
          <cell r="B12">
            <v>90001</v>
          </cell>
          <cell r="C12">
            <v>500</v>
          </cell>
          <cell r="G12">
            <v>90001</v>
          </cell>
          <cell r="H12">
            <v>500</v>
          </cell>
          <cell r="L12">
            <v>90001</v>
          </cell>
          <cell r="M12">
            <v>500</v>
          </cell>
        </row>
        <row r="13">
          <cell r="B13">
            <v>125001</v>
          </cell>
          <cell r="C13">
            <v>500</v>
          </cell>
          <cell r="G13">
            <v>125001</v>
          </cell>
          <cell r="H13">
            <v>500</v>
          </cell>
          <cell r="L13">
            <v>125001</v>
          </cell>
          <cell r="M13">
            <v>500</v>
          </cell>
        </row>
        <row r="14">
          <cell r="B14">
            <v>150001</v>
          </cell>
          <cell r="C14">
            <v>500</v>
          </cell>
          <cell r="G14">
            <v>150001</v>
          </cell>
          <cell r="H14">
            <v>500</v>
          </cell>
          <cell r="L14">
            <v>150001</v>
          </cell>
          <cell r="M14">
            <v>500</v>
          </cell>
        </row>
        <row r="15">
          <cell r="B15">
            <v>175001</v>
          </cell>
          <cell r="C15">
            <v>500</v>
          </cell>
          <cell r="G15">
            <v>175001</v>
          </cell>
          <cell r="H15">
            <v>500</v>
          </cell>
          <cell r="L15">
            <v>175001</v>
          </cell>
          <cell r="M15">
            <v>500</v>
          </cell>
        </row>
        <row r="16">
          <cell r="B16">
            <v>200001</v>
          </cell>
          <cell r="C16">
            <v>500</v>
          </cell>
          <cell r="G16">
            <v>200001</v>
          </cell>
          <cell r="H16">
            <v>500</v>
          </cell>
          <cell r="L16">
            <v>200001</v>
          </cell>
          <cell r="M16">
            <v>500</v>
          </cell>
        </row>
        <row r="17">
          <cell r="B17">
            <v>250001</v>
          </cell>
          <cell r="C17">
            <v>500</v>
          </cell>
          <cell r="G17">
            <v>250001</v>
          </cell>
          <cell r="H17">
            <v>500</v>
          </cell>
          <cell r="L17">
            <v>250001</v>
          </cell>
          <cell r="M17">
            <v>500</v>
          </cell>
        </row>
        <row r="18">
          <cell r="B18">
            <v>300001</v>
          </cell>
          <cell r="C18">
            <v>500</v>
          </cell>
          <cell r="G18">
            <v>300001</v>
          </cell>
          <cell r="H18">
            <v>500</v>
          </cell>
          <cell r="L18">
            <v>300001</v>
          </cell>
          <cell r="M18">
            <v>500</v>
          </cell>
        </row>
        <row r="19">
          <cell r="B19">
            <v>350001</v>
          </cell>
          <cell r="C19">
            <v>500</v>
          </cell>
          <cell r="G19">
            <v>350001</v>
          </cell>
          <cell r="H19">
            <v>500</v>
          </cell>
          <cell r="L19">
            <v>350001</v>
          </cell>
          <cell r="M19">
            <v>500</v>
          </cell>
        </row>
        <row r="20">
          <cell r="B20">
            <v>451001</v>
          </cell>
          <cell r="C20">
            <v>500</v>
          </cell>
          <cell r="G20">
            <v>451001</v>
          </cell>
          <cell r="H20">
            <v>500</v>
          </cell>
          <cell r="L20">
            <v>451001</v>
          </cell>
          <cell r="M20">
            <v>500</v>
          </cell>
        </row>
        <row r="25">
          <cell r="B25">
            <v>0</v>
          </cell>
          <cell r="C25">
            <v>140</v>
          </cell>
          <cell r="G25">
            <v>0</v>
          </cell>
          <cell r="H25">
            <v>250</v>
          </cell>
          <cell r="L25">
            <v>0</v>
          </cell>
          <cell r="M25">
            <v>140</v>
          </cell>
        </row>
        <row r="26">
          <cell r="B26">
            <v>5001</v>
          </cell>
          <cell r="C26">
            <v>140</v>
          </cell>
          <cell r="G26">
            <v>5001</v>
          </cell>
          <cell r="H26">
            <v>250</v>
          </cell>
          <cell r="L26">
            <v>5001</v>
          </cell>
          <cell r="M26">
            <v>140</v>
          </cell>
        </row>
        <row r="27">
          <cell r="B27">
            <v>18001</v>
          </cell>
          <cell r="C27">
            <v>150</v>
          </cell>
          <cell r="L27">
            <v>18001</v>
          </cell>
          <cell r="M27">
            <v>150</v>
          </cell>
        </row>
        <row r="28">
          <cell r="B28">
            <v>25001</v>
          </cell>
          <cell r="C28">
            <v>160</v>
          </cell>
          <cell r="L28">
            <v>25001</v>
          </cell>
          <cell r="M28">
            <v>160</v>
          </cell>
        </row>
        <row r="29">
          <cell r="B29">
            <v>30001</v>
          </cell>
          <cell r="C29">
            <v>160</v>
          </cell>
          <cell r="L29">
            <v>30001</v>
          </cell>
          <cell r="M29">
            <v>160</v>
          </cell>
        </row>
        <row r="30">
          <cell r="B30">
            <v>40001</v>
          </cell>
          <cell r="C30">
            <v>210</v>
          </cell>
          <cell r="L30">
            <v>40001</v>
          </cell>
          <cell r="M30">
            <v>210</v>
          </cell>
        </row>
        <row r="31">
          <cell r="B31">
            <v>50001</v>
          </cell>
          <cell r="C31">
            <v>230</v>
          </cell>
          <cell r="G31">
            <v>0</v>
          </cell>
          <cell r="H31">
            <v>400</v>
          </cell>
          <cell r="L31">
            <v>50001</v>
          </cell>
          <cell r="M31">
            <v>230</v>
          </cell>
        </row>
        <row r="32">
          <cell r="B32">
            <v>62501</v>
          </cell>
          <cell r="C32">
            <v>230</v>
          </cell>
          <cell r="G32">
            <v>5001</v>
          </cell>
          <cell r="H32">
            <v>400</v>
          </cell>
          <cell r="L32">
            <v>62501</v>
          </cell>
          <cell r="M32">
            <v>230</v>
          </cell>
        </row>
        <row r="33">
          <cell r="B33">
            <v>70001</v>
          </cell>
          <cell r="C33">
            <v>230</v>
          </cell>
          <cell r="G33">
            <v>25001</v>
          </cell>
          <cell r="H33">
            <v>400</v>
          </cell>
          <cell r="L33">
            <v>70001</v>
          </cell>
          <cell r="M33">
            <v>230</v>
          </cell>
        </row>
        <row r="34">
          <cell r="B34">
            <v>80001</v>
          </cell>
          <cell r="C34">
            <v>230</v>
          </cell>
          <cell r="G34">
            <v>40001</v>
          </cell>
          <cell r="H34">
            <v>400</v>
          </cell>
          <cell r="L34">
            <v>80001</v>
          </cell>
          <cell r="M34">
            <v>230</v>
          </cell>
        </row>
        <row r="35">
          <cell r="B35">
            <v>90001</v>
          </cell>
          <cell r="C35">
            <v>240</v>
          </cell>
          <cell r="G35">
            <v>62501</v>
          </cell>
          <cell r="H35">
            <v>400</v>
          </cell>
          <cell r="L35">
            <v>90001</v>
          </cell>
          <cell r="M35">
            <v>240</v>
          </cell>
        </row>
        <row r="36">
          <cell r="B36">
            <v>125001</v>
          </cell>
          <cell r="C36">
            <v>330</v>
          </cell>
          <cell r="G36">
            <v>80001</v>
          </cell>
          <cell r="H36">
            <v>400</v>
          </cell>
          <cell r="L36">
            <v>125001</v>
          </cell>
          <cell r="M36">
            <v>330</v>
          </cell>
        </row>
        <row r="37">
          <cell r="B37">
            <v>150001</v>
          </cell>
          <cell r="C37">
            <v>330</v>
          </cell>
          <cell r="G37">
            <v>100001</v>
          </cell>
          <cell r="H37">
            <v>400</v>
          </cell>
          <cell r="L37">
            <v>150001</v>
          </cell>
          <cell r="M37">
            <v>330</v>
          </cell>
        </row>
        <row r="38">
          <cell r="B38">
            <v>175001</v>
          </cell>
          <cell r="C38">
            <v>330</v>
          </cell>
          <cell r="G38">
            <v>150001</v>
          </cell>
          <cell r="H38">
            <v>400</v>
          </cell>
          <cell r="L38">
            <v>175001</v>
          </cell>
          <cell r="M38">
            <v>330</v>
          </cell>
        </row>
        <row r="39">
          <cell r="B39">
            <v>200001</v>
          </cell>
          <cell r="C39">
            <v>330</v>
          </cell>
          <cell r="G39">
            <v>200001</v>
          </cell>
          <cell r="H39">
            <v>400</v>
          </cell>
          <cell r="L39">
            <v>200001</v>
          </cell>
          <cell r="M39">
            <v>330</v>
          </cell>
        </row>
        <row r="40">
          <cell r="B40">
            <v>250001</v>
          </cell>
          <cell r="C40">
            <v>330</v>
          </cell>
          <cell r="G40">
            <v>250001</v>
          </cell>
          <cell r="H40">
            <v>400</v>
          </cell>
          <cell r="L40">
            <v>250001</v>
          </cell>
          <cell r="M40">
            <v>330</v>
          </cell>
        </row>
        <row r="41">
          <cell r="B41">
            <v>300001</v>
          </cell>
          <cell r="C41">
            <v>330</v>
          </cell>
          <cell r="G41">
            <v>350001</v>
          </cell>
          <cell r="H41">
            <v>400</v>
          </cell>
          <cell r="L41">
            <v>300001</v>
          </cell>
          <cell r="M41">
            <v>330</v>
          </cell>
        </row>
        <row r="42">
          <cell r="B42">
            <v>350001</v>
          </cell>
          <cell r="C42">
            <v>370</v>
          </cell>
          <cell r="L42">
            <v>350001</v>
          </cell>
          <cell r="M42">
            <v>370</v>
          </cell>
        </row>
        <row r="43">
          <cell r="B43">
            <v>451001</v>
          </cell>
          <cell r="C43">
            <v>370</v>
          </cell>
          <cell r="L43">
            <v>451000</v>
          </cell>
          <cell r="M43">
            <v>370</v>
          </cell>
        </row>
        <row r="47">
          <cell r="B47">
            <v>0</v>
          </cell>
          <cell r="C47">
            <v>250</v>
          </cell>
        </row>
        <row r="48">
          <cell r="B48">
            <v>21001</v>
          </cell>
          <cell r="C48">
            <v>250</v>
          </cell>
        </row>
        <row r="49">
          <cell r="B49">
            <v>70001</v>
          </cell>
          <cell r="C49">
            <v>250</v>
          </cell>
        </row>
        <row r="50">
          <cell r="B50">
            <v>90001</v>
          </cell>
          <cell r="C50">
            <v>250</v>
          </cell>
        </row>
        <row r="51">
          <cell r="B51">
            <v>125001</v>
          </cell>
          <cell r="C51">
            <v>250</v>
          </cell>
        </row>
        <row r="52">
          <cell r="B52">
            <v>175001</v>
          </cell>
          <cell r="C52">
            <v>250</v>
          </cell>
        </row>
        <row r="53">
          <cell r="B53">
            <v>200001</v>
          </cell>
          <cell r="C53">
            <v>250</v>
          </cell>
        </row>
        <row r="54">
          <cell r="B54">
            <v>250001</v>
          </cell>
          <cell r="C54">
            <v>250</v>
          </cell>
        </row>
        <row r="55">
          <cell r="B55">
            <v>300001</v>
          </cell>
          <cell r="C55">
            <v>250</v>
          </cell>
          <cell r="G55">
            <v>0</v>
          </cell>
          <cell r="H55">
            <v>250</v>
          </cell>
        </row>
        <row r="56">
          <cell r="B56">
            <v>350001</v>
          </cell>
          <cell r="C56">
            <v>250</v>
          </cell>
          <cell r="G56">
            <v>5001</v>
          </cell>
          <cell r="H56">
            <v>250</v>
          </cell>
        </row>
        <row r="57">
          <cell r="B57">
            <v>450001</v>
          </cell>
          <cell r="C57">
            <v>250</v>
          </cell>
          <cell r="G57">
            <v>18001</v>
          </cell>
          <cell r="H57">
            <v>250</v>
          </cell>
        </row>
        <row r="58">
          <cell r="G58">
            <v>25001</v>
          </cell>
          <cell r="H58">
            <v>250</v>
          </cell>
        </row>
        <row r="59">
          <cell r="G59">
            <v>30001</v>
          </cell>
          <cell r="H59">
            <v>250</v>
          </cell>
        </row>
        <row r="60">
          <cell r="G60">
            <v>40001</v>
          </cell>
          <cell r="H60">
            <v>300</v>
          </cell>
        </row>
        <row r="61">
          <cell r="G61">
            <v>50001</v>
          </cell>
          <cell r="H61">
            <v>300</v>
          </cell>
        </row>
        <row r="62">
          <cell r="G62">
            <v>62501</v>
          </cell>
          <cell r="H62">
            <v>350</v>
          </cell>
        </row>
        <row r="63">
          <cell r="B63">
            <v>0</v>
          </cell>
          <cell r="C63">
            <v>250</v>
          </cell>
          <cell r="G63">
            <v>70001</v>
          </cell>
          <cell r="H63">
            <v>350</v>
          </cell>
        </row>
        <row r="64">
          <cell r="B64">
            <v>5001</v>
          </cell>
          <cell r="C64">
            <v>250</v>
          </cell>
        </row>
        <row r="65">
          <cell r="B65">
            <v>18001</v>
          </cell>
          <cell r="C65">
            <v>250</v>
          </cell>
        </row>
        <row r="66">
          <cell r="B66">
            <v>25001</v>
          </cell>
          <cell r="C66">
            <v>250</v>
          </cell>
        </row>
        <row r="67">
          <cell r="B67">
            <v>30001</v>
          </cell>
          <cell r="C67">
            <v>250</v>
          </cell>
        </row>
        <row r="68">
          <cell r="B68">
            <v>40001</v>
          </cell>
          <cell r="C68">
            <v>300</v>
          </cell>
        </row>
        <row r="69">
          <cell r="B69">
            <v>50001</v>
          </cell>
          <cell r="C69">
            <v>300</v>
          </cell>
        </row>
        <row r="70">
          <cell r="B70">
            <v>62501</v>
          </cell>
          <cell r="C70">
            <v>350</v>
          </cell>
          <cell r="G70">
            <v>0</v>
          </cell>
          <cell r="H70">
            <v>70</v>
          </cell>
        </row>
        <row r="71">
          <cell r="B71">
            <v>70001</v>
          </cell>
          <cell r="C71">
            <v>350</v>
          </cell>
          <cell r="G71">
            <v>5001</v>
          </cell>
          <cell r="H71">
            <v>70</v>
          </cell>
        </row>
        <row r="72">
          <cell r="G72">
            <v>25001</v>
          </cell>
          <cell r="H72">
            <v>100</v>
          </cell>
        </row>
        <row r="73">
          <cell r="G73">
            <v>40001</v>
          </cell>
          <cell r="H73">
            <v>140</v>
          </cell>
        </row>
        <row r="74">
          <cell r="G74">
            <v>62501</v>
          </cell>
          <cell r="H74">
            <v>140</v>
          </cell>
        </row>
        <row r="75">
          <cell r="G75">
            <v>80001</v>
          </cell>
          <cell r="H75">
            <v>140</v>
          </cell>
        </row>
        <row r="76">
          <cell r="G76">
            <v>100001</v>
          </cell>
          <cell r="H76">
            <v>140</v>
          </cell>
        </row>
        <row r="77">
          <cell r="B77">
            <v>0</v>
          </cell>
          <cell r="C77">
            <v>150</v>
          </cell>
          <cell r="G77">
            <v>150001</v>
          </cell>
          <cell r="H77">
            <v>150</v>
          </cell>
        </row>
        <row r="78">
          <cell r="B78">
            <v>5001</v>
          </cell>
          <cell r="C78">
            <v>150</v>
          </cell>
          <cell r="G78">
            <v>200001</v>
          </cell>
          <cell r="H78">
            <v>150</v>
          </cell>
        </row>
        <row r="79">
          <cell r="B79">
            <v>25001</v>
          </cell>
          <cell r="C79">
            <v>150</v>
          </cell>
          <cell r="G79">
            <v>250001</v>
          </cell>
          <cell r="H79">
            <v>170</v>
          </cell>
        </row>
        <row r="80">
          <cell r="B80">
            <v>40001</v>
          </cell>
          <cell r="C80">
            <v>150</v>
          </cell>
          <cell r="G80">
            <v>350001</v>
          </cell>
          <cell r="H80">
            <v>170</v>
          </cell>
        </row>
        <row r="81">
          <cell r="B81">
            <v>62501</v>
          </cell>
          <cell r="C81">
            <v>150</v>
          </cell>
        </row>
        <row r="82">
          <cell r="B82">
            <v>80001</v>
          </cell>
          <cell r="C82">
            <v>150</v>
          </cell>
        </row>
        <row r="83">
          <cell r="B83">
            <v>100001</v>
          </cell>
          <cell r="C83">
            <v>150</v>
          </cell>
          <cell r="G83">
            <v>0</v>
          </cell>
          <cell r="H83">
            <v>75</v>
          </cell>
        </row>
        <row r="84">
          <cell r="B84">
            <v>150001</v>
          </cell>
          <cell r="C84">
            <v>150</v>
          </cell>
          <cell r="G84">
            <v>5000</v>
          </cell>
          <cell r="H84">
            <v>75</v>
          </cell>
        </row>
        <row r="85">
          <cell r="B85">
            <v>200001</v>
          </cell>
          <cell r="C85">
            <v>150</v>
          </cell>
          <cell r="G85">
            <v>25001</v>
          </cell>
          <cell r="H85">
            <v>75</v>
          </cell>
        </row>
        <row r="86">
          <cell r="B86">
            <v>250001</v>
          </cell>
          <cell r="C86">
            <v>150</v>
          </cell>
          <cell r="G86">
            <v>40001</v>
          </cell>
          <cell r="H86">
            <v>75</v>
          </cell>
        </row>
        <row r="87">
          <cell r="B87">
            <v>350001</v>
          </cell>
          <cell r="C87">
            <v>150</v>
          </cell>
          <cell r="G87">
            <v>62501</v>
          </cell>
          <cell r="H87">
            <v>75</v>
          </cell>
        </row>
        <row r="92">
          <cell r="G92">
            <v>5000</v>
          </cell>
          <cell r="H92">
            <v>500</v>
          </cell>
        </row>
        <row r="93">
          <cell r="G93">
            <v>25001</v>
          </cell>
          <cell r="H93">
            <v>500</v>
          </cell>
        </row>
        <row r="94">
          <cell r="B94">
            <v>0</v>
          </cell>
          <cell r="C94">
            <v>0</v>
          </cell>
          <cell r="G94">
            <v>40001</v>
          </cell>
          <cell r="H94">
            <v>500</v>
          </cell>
        </row>
        <row r="95">
          <cell r="B95">
            <v>350001</v>
          </cell>
          <cell r="C95">
            <v>0</v>
          </cell>
          <cell r="G95">
            <v>62501</v>
          </cell>
          <cell r="H95">
            <v>500</v>
          </cell>
        </row>
        <row r="96">
          <cell r="G96">
            <v>80001</v>
          </cell>
          <cell r="H96">
            <v>500</v>
          </cell>
        </row>
        <row r="97">
          <cell r="G97">
            <v>100001</v>
          </cell>
          <cell r="H97">
            <v>500</v>
          </cell>
        </row>
        <row r="98">
          <cell r="G98">
            <v>150001</v>
          </cell>
          <cell r="H98">
            <v>500</v>
          </cell>
        </row>
        <row r="99">
          <cell r="G99">
            <v>200001</v>
          </cell>
          <cell r="H99">
            <v>500</v>
          </cell>
        </row>
        <row r="100">
          <cell r="G100">
            <v>250001</v>
          </cell>
          <cell r="H100">
            <v>500</v>
          </cell>
        </row>
        <row r="101">
          <cell r="G101">
            <v>350001</v>
          </cell>
          <cell r="H101">
            <v>500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tización"/>
      <sheetName val="Cotización-Análisis_personal"/>
      <sheetName val="PORTADA DE CARPETA"/>
      <sheetName val="Guía de uso "/>
      <sheetName val="Información_listas"/>
      <sheetName val="Hoja1"/>
    </sheetNames>
    <sheetDataSet>
      <sheetData sheetId="0"/>
      <sheetData sheetId="1">
        <row r="12">
          <cell r="C12" t="e">
            <v>#REF!</v>
          </cell>
          <cell r="F12" t="e">
            <v>#REF!</v>
          </cell>
        </row>
        <row r="14">
          <cell r="K14" t="e">
            <v>#REF!</v>
          </cell>
        </row>
        <row r="23">
          <cell r="C23">
            <v>7.0000000000000007E-2</v>
          </cell>
        </row>
        <row r="25">
          <cell r="C25" t="e">
            <v>#REF!</v>
          </cell>
        </row>
        <row r="58">
          <cell r="B58" t="str">
            <v>Otros Fines de Consumo</v>
          </cell>
        </row>
      </sheetData>
      <sheetData sheetId="2" refreshError="1"/>
      <sheetData sheetId="3" refreshError="1"/>
      <sheetData sheetId="4">
        <row r="5">
          <cell r="C5" t="str">
            <v>Elegir una opción</v>
          </cell>
          <cell r="E5" t="str">
            <v>Elegir una opción</v>
          </cell>
          <cell r="H5" t="str">
            <v>Elegir una opción</v>
          </cell>
          <cell r="I5" t="str">
            <v>Elegir una opción</v>
          </cell>
        </row>
        <row r="6">
          <cell r="C6" t="str">
            <v>Banco General</v>
          </cell>
          <cell r="E6" t="str">
            <v>Nuevo</v>
          </cell>
          <cell r="H6" t="str">
            <v>Descuento directo</v>
          </cell>
          <cell r="I6" t="str">
            <v>Compra de Muebles y Enseres</v>
          </cell>
        </row>
        <row r="7">
          <cell r="C7" t="str">
            <v>BG Valores</v>
          </cell>
          <cell r="E7" t="str">
            <v>Refinanciamiento</v>
          </cell>
          <cell r="H7" t="str">
            <v>Cargo a cuenta</v>
          </cell>
          <cell r="I7" t="str">
            <v>Reparaciones</v>
          </cell>
        </row>
        <row r="8">
          <cell r="C8" t="str">
            <v>General de Seguros</v>
          </cell>
          <cell r="E8" t="str">
            <v>Traspaso</v>
          </cell>
          <cell r="I8" t="str">
            <v>Otros Fines de Consumo</v>
          </cell>
        </row>
        <row r="9">
          <cell r="C9" t="str">
            <v>Profuturo</v>
          </cell>
          <cell r="I9" t="str">
            <v>Vacaciones y Entretenimiento</v>
          </cell>
        </row>
        <row r="10">
          <cell r="C10" t="str">
            <v>Vale General, S.A.</v>
          </cell>
          <cell r="I10" t="str">
            <v>Consolidación de Deudas</v>
          </cell>
        </row>
        <row r="11">
          <cell r="I11" t="str">
            <v>Gastos Médicos</v>
          </cell>
        </row>
        <row r="12">
          <cell r="I12" t="str">
            <v>Compra de Vehículo</v>
          </cell>
        </row>
        <row r="13">
          <cell r="I13" t="str">
            <v>Remodelación y/o Mejoras a la Vivienda</v>
          </cell>
        </row>
        <row r="14">
          <cell r="I14" t="str">
            <v>Estudios</v>
          </cell>
        </row>
        <row r="15">
          <cell r="C15" t="str">
            <v>Elegir una opción</v>
          </cell>
          <cell r="D15" t="str">
            <v>Elegir una opción</v>
          </cell>
          <cell r="H15" t="str">
            <v>Elegir una opción</v>
          </cell>
        </row>
        <row r="16">
          <cell r="C16" t="str">
            <v>General de Seguros</v>
          </cell>
          <cell r="D16">
            <v>7.0000000000000007E-2</v>
          </cell>
          <cell r="H16" t="str">
            <v>C1</v>
          </cell>
        </row>
        <row r="17">
          <cell r="C17" t="str">
            <v>Otras Aseguradoras</v>
          </cell>
          <cell r="D17">
            <v>7.4999999999999997E-2</v>
          </cell>
          <cell r="H17" t="str">
            <v>C2</v>
          </cell>
        </row>
        <row r="18">
          <cell r="D18">
            <v>7.7499999999999999E-2</v>
          </cell>
          <cell r="H18" t="str">
            <v>C3</v>
          </cell>
        </row>
        <row r="19">
          <cell r="H19" t="str">
            <v>C4</v>
          </cell>
        </row>
        <row r="20">
          <cell r="G20" t="str">
            <v>Elegir</v>
          </cell>
          <cell r="H20" t="str">
            <v>C5</v>
          </cell>
        </row>
        <row r="21">
          <cell r="G21" t="str">
            <v>Abona</v>
          </cell>
        </row>
        <row r="22">
          <cell r="G22" t="str">
            <v>Cancela</v>
          </cell>
        </row>
        <row r="23">
          <cell r="C23" t="str">
            <v xml:space="preserve">No tiene referencias </v>
          </cell>
          <cell r="D23" t="str">
            <v>Elegir una opción</v>
          </cell>
          <cell r="G23" t="str">
            <v>No Cancela</v>
          </cell>
        </row>
        <row r="24">
          <cell r="C24" t="str">
            <v>Buenas</v>
          </cell>
          <cell r="D24" t="str">
            <v>Teléfono</v>
          </cell>
        </row>
        <row r="25">
          <cell r="C25" t="str">
            <v>Regulares</v>
          </cell>
          <cell r="D25" t="str">
            <v>Correo</v>
          </cell>
        </row>
        <row r="26">
          <cell r="C26" t="str">
            <v>Mayores</v>
          </cell>
          <cell r="D26" t="str">
            <v>Atención directa</v>
          </cell>
        </row>
        <row r="31">
          <cell r="D31" t="str">
            <v>Elegir una opción</v>
          </cell>
        </row>
        <row r="32">
          <cell r="D32" t="str">
            <v>Karen Reece</v>
          </cell>
        </row>
        <row r="33">
          <cell r="D33" t="str">
            <v>Leonides Gutiérrez</v>
          </cell>
        </row>
        <row r="34">
          <cell r="D34" t="str">
            <v>Cristian García</v>
          </cell>
        </row>
        <row r="35">
          <cell r="D35" t="str">
            <v>Xochil Ortega</v>
          </cell>
        </row>
        <row r="36">
          <cell r="D36" t="str">
            <v>Yahaira De La Cruz</v>
          </cell>
        </row>
      </sheetData>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dora"/>
      <sheetName val="Cotización"/>
      <sheetName val="Cotización-Análisis_personal"/>
      <sheetName val="PORTADA DE CARPETA"/>
      <sheetName val="Guía de uso "/>
      <sheetName val="Información_listas"/>
    </sheetNames>
    <sheetDataSet>
      <sheetData sheetId="0"/>
      <sheetData sheetId="1"/>
      <sheetData sheetId="2">
        <row r="12">
          <cell r="C12" t="e">
            <v>#REF!</v>
          </cell>
          <cell r="F12" t="e">
            <v>#REF!</v>
          </cell>
        </row>
        <row r="14">
          <cell r="K14" t="e">
            <v>#REF!</v>
          </cell>
        </row>
        <row r="23">
          <cell r="C23" t="e">
            <v>#REF!</v>
          </cell>
        </row>
        <row r="25">
          <cell r="C25" t="e">
            <v>#REF!</v>
          </cell>
        </row>
        <row r="58">
          <cell r="B58" t="str">
            <v>Remodelación y/o Mejoras a la Vivienda</v>
          </cell>
        </row>
      </sheetData>
      <sheetData sheetId="3"/>
      <sheetData sheetId="4"/>
      <sheetData sheetId="5">
        <row r="5">
          <cell r="E5" t="str">
            <v>Elegir una opción</v>
          </cell>
          <cell r="I5" t="str">
            <v>Elegir una opción</v>
          </cell>
        </row>
        <row r="6">
          <cell r="E6" t="str">
            <v>Nuevo</v>
          </cell>
          <cell r="I6" t="str">
            <v>Compra de Muebles y Enseres</v>
          </cell>
        </row>
        <row r="7">
          <cell r="E7" t="str">
            <v>Refinanciamiento</v>
          </cell>
          <cell r="I7" t="str">
            <v>Reparaciones</v>
          </cell>
        </row>
        <row r="8">
          <cell r="E8" t="str">
            <v>Traspaso</v>
          </cell>
          <cell r="I8" t="str">
            <v>Otros Fines de Consumo</v>
          </cell>
        </row>
        <row r="9">
          <cell r="I9" t="str">
            <v>Vacaciones y Entretenimiento</v>
          </cell>
        </row>
        <row r="10">
          <cell r="I10" t="str">
            <v>Consolidación de Deudas</v>
          </cell>
        </row>
        <row r="11">
          <cell r="I11" t="str">
            <v>Gastos Médicos</v>
          </cell>
        </row>
        <row r="12">
          <cell r="I12" t="str">
            <v>Compra de Vehículo</v>
          </cell>
        </row>
        <row r="13">
          <cell r="I13" t="str">
            <v>Remodelación y/o Mejoras a la Vivienda</v>
          </cell>
        </row>
        <row r="14">
          <cell r="I14" t="str">
            <v>Estudios</v>
          </cell>
        </row>
        <row r="17">
          <cell r="P17" t="str">
            <v>Nuevo</v>
          </cell>
        </row>
        <row r="18">
          <cell r="P18" t="str">
            <v>Refinanciamiento</v>
          </cell>
        </row>
        <row r="31">
          <cell r="D31" t="str">
            <v>Elegir una opción</v>
          </cell>
        </row>
        <row r="32">
          <cell r="D32" t="str">
            <v>Karen Reece</v>
          </cell>
        </row>
        <row r="33">
          <cell r="D33" t="str">
            <v>Leonides Gutiérrez</v>
          </cell>
        </row>
        <row r="34">
          <cell r="D34" t="str">
            <v>Cristian García</v>
          </cell>
        </row>
        <row r="35">
          <cell r="D35" t="str">
            <v>Xochil Ortega</v>
          </cell>
        </row>
        <row r="36">
          <cell r="D36" t="str">
            <v>Yahaira De La Cruz</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es"/>
      <sheetName val="Cotización"/>
      <sheetName val="GtosFwla"/>
      <sheetName val="base"/>
      <sheetName val="Parametros"/>
      <sheetName val="TabGtos"/>
      <sheetName val="Datos"/>
      <sheetName val="Aprobación"/>
      <sheetName val="Examenes Medicos"/>
      <sheetName val="Casa Cash-Cliente"/>
      <sheetName val="Casa Cash-Suc"/>
      <sheetName val="Casa Cash Flash"/>
      <sheetName val=" Vivienda Usada-Cliente"/>
      <sheetName val="Vivienda Usada-Suc"/>
      <sheetName val="Vivienda Nueva-Cliente"/>
      <sheetName val="Vivienda Nueva-Suc"/>
      <sheetName val="Traspaso otro banco-Cliente"/>
      <sheetName val="Traspaso de Otro Banco-Suc"/>
      <sheetName val=" Cambio de dueño deudor-Cliente"/>
      <sheetName val="Cambio de dueño-deudor-Suc"/>
      <sheetName val="Extensión de plazo-Cliente"/>
      <sheetName val="Extensión de Plazo-Suc"/>
    </sheetNames>
    <sheetDataSet>
      <sheetData sheetId="0">
        <row r="9">
          <cell r="M9" t="str">
            <v>Nueva</v>
          </cell>
        </row>
      </sheetData>
      <sheetData sheetId="1"/>
      <sheetData sheetId="2"/>
      <sheetData sheetId="3">
        <row r="1">
          <cell r="AH1" t="str">
            <v>Llave</v>
          </cell>
          <cell r="AI1" t="str">
            <v>Der de Reg
x Const</v>
          </cell>
          <cell r="AJ1" t="str">
            <v>Asumida</v>
          </cell>
          <cell r="AK1" t="str">
            <v>Modificación</v>
          </cell>
          <cell r="AL1" t="str">
            <v># Fincas</v>
          </cell>
          <cell r="AM1" t="str">
            <v>Anticresis</v>
          </cell>
          <cell r="AN1" t="str">
            <v>Marginales</v>
          </cell>
          <cell r="AO1" t="str">
            <v>Cancelaciones</v>
          </cell>
          <cell r="AP1" t="str">
            <v>Der.Reg
PrecioVenta</v>
          </cell>
          <cell r="AQ1" t="str">
            <v>Segregación /Resto
Libre</v>
          </cell>
          <cell r="AR1" t="str">
            <v>Restricciones</v>
          </cell>
          <cell r="AS1" t="str">
            <v>Desafectación</v>
          </cell>
          <cell r="AT1" t="str">
            <v>Actas</v>
          </cell>
          <cell r="AU1" t="str">
            <v>Declaración Mejoras</v>
          </cell>
          <cell r="AV1" t="str">
            <v>Total Registro</v>
          </cell>
        </row>
        <row r="2">
          <cell r="D2" t="str">
            <v>Descuento Directo</v>
          </cell>
          <cell r="N2" t="str">
            <v>Casa</v>
          </cell>
          <cell r="Q2" t="str">
            <v>ESCOGER OPCION</v>
          </cell>
          <cell r="AH2" t="str">
            <v>08020101010101</v>
          </cell>
          <cell r="AI2">
            <v>252</v>
          </cell>
          <cell r="AJ2">
            <v>0</v>
          </cell>
          <cell r="AK2">
            <v>0</v>
          </cell>
          <cell r="AL2">
            <v>10</v>
          </cell>
          <cell r="AM2">
            <v>8</v>
          </cell>
          <cell r="AN2">
            <v>8</v>
          </cell>
          <cell r="AO2">
            <v>31</v>
          </cell>
          <cell r="AP2">
            <v>255</v>
          </cell>
          <cell r="AQ2">
            <v>26</v>
          </cell>
          <cell r="AR2">
            <v>8</v>
          </cell>
          <cell r="AS2">
            <v>0</v>
          </cell>
          <cell r="AT2">
            <v>25</v>
          </cell>
          <cell r="AU2">
            <v>141</v>
          </cell>
          <cell r="AV2">
            <v>764</v>
          </cell>
          <cell r="AY2" t="str">
            <v>08020101010101</v>
          </cell>
          <cell r="AZ2">
            <v>12</v>
          </cell>
          <cell r="BA2">
            <v>24</v>
          </cell>
          <cell r="BB2">
            <v>2</v>
          </cell>
          <cell r="BC2">
            <v>7</v>
          </cell>
          <cell r="BD2">
            <v>192</v>
          </cell>
          <cell r="BE2">
            <v>2.5</v>
          </cell>
          <cell r="BF2">
            <v>0</v>
          </cell>
          <cell r="BG2">
            <v>8</v>
          </cell>
          <cell r="BH2">
            <v>10</v>
          </cell>
          <cell r="BI2">
            <v>245.5</v>
          </cell>
          <cell r="BL2" t="str">
            <v>0802010101</v>
          </cell>
          <cell r="BM2">
            <v>500</v>
          </cell>
        </row>
        <row r="3">
          <cell r="D3" t="str">
            <v>Cargo a Cuenta Ahorro</v>
          </cell>
          <cell r="N3" t="str">
            <v>Apartamento</v>
          </cell>
          <cell r="Q3" t="str">
            <v>1 CASA MATRIZ</v>
          </cell>
          <cell r="AH3" t="str">
            <v>08020101020101</v>
          </cell>
          <cell r="AI3">
            <v>252</v>
          </cell>
          <cell r="AJ3">
            <v>0</v>
          </cell>
          <cell r="AK3">
            <v>0</v>
          </cell>
          <cell r="AL3">
            <v>10</v>
          </cell>
          <cell r="AM3">
            <v>8</v>
          </cell>
          <cell r="AN3">
            <v>8</v>
          </cell>
          <cell r="AO3">
            <v>31</v>
          </cell>
          <cell r="AP3">
            <v>255</v>
          </cell>
          <cell r="AQ3">
            <v>0</v>
          </cell>
          <cell r="AR3">
            <v>0</v>
          </cell>
          <cell r="AS3">
            <v>0</v>
          </cell>
          <cell r="AT3">
            <v>0</v>
          </cell>
          <cell r="AU3">
            <v>0</v>
          </cell>
          <cell r="AV3">
            <v>564</v>
          </cell>
          <cell r="AY3" t="str">
            <v>08020101020101</v>
          </cell>
          <cell r="AZ3">
            <v>12</v>
          </cell>
          <cell r="BA3">
            <v>24</v>
          </cell>
          <cell r="BB3">
            <v>2</v>
          </cell>
          <cell r="BC3">
            <v>7</v>
          </cell>
          <cell r="BD3">
            <v>192</v>
          </cell>
          <cell r="BE3">
            <v>2.5</v>
          </cell>
          <cell r="BF3">
            <v>0</v>
          </cell>
          <cell r="BG3">
            <v>8</v>
          </cell>
          <cell r="BH3">
            <v>10</v>
          </cell>
          <cell r="BI3">
            <v>245.5</v>
          </cell>
          <cell r="BL3" t="str">
            <v>0802010101</v>
          </cell>
          <cell r="BM3">
            <v>500</v>
          </cell>
        </row>
        <row r="4">
          <cell r="D4" t="str">
            <v>Cargo a Cuenta Corriente</v>
          </cell>
          <cell r="Q4" t="str">
            <v>2 PAITILLA</v>
          </cell>
          <cell r="AH4" t="str">
            <v>08020102010101</v>
          </cell>
          <cell r="AI4">
            <v>252</v>
          </cell>
          <cell r="AJ4">
            <v>0</v>
          </cell>
          <cell r="AK4">
            <v>0</v>
          </cell>
          <cell r="AL4">
            <v>10</v>
          </cell>
          <cell r="AM4">
            <v>8</v>
          </cell>
          <cell r="AN4">
            <v>8</v>
          </cell>
          <cell r="AO4">
            <v>31</v>
          </cell>
          <cell r="AP4">
            <v>255</v>
          </cell>
          <cell r="AQ4">
            <v>26</v>
          </cell>
          <cell r="AR4">
            <v>8</v>
          </cell>
          <cell r="AS4">
            <v>0</v>
          </cell>
          <cell r="AT4">
            <v>25</v>
          </cell>
          <cell r="AU4">
            <v>0</v>
          </cell>
          <cell r="AV4">
            <v>623</v>
          </cell>
          <cell r="AY4" t="str">
            <v>08020102010101</v>
          </cell>
          <cell r="AZ4">
            <v>12</v>
          </cell>
          <cell r="BA4">
            <v>24</v>
          </cell>
          <cell r="BB4">
            <v>2</v>
          </cell>
          <cell r="BC4">
            <v>7</v>
          </cell>
          <cell r="BD4">
            <v>192</v>
          </cell>
          <cell r="BE4">
            <v>2.5</v>
          </cell>
          <cell r="BF4">
            <v>0</v>
          </cell>
          <cell r="BG4">
            <v>8</v>
          </cell>
          <cell r="BH4">
            <v>10</v>
          </cell>
          <cell r="BI4">
            <v>245.5</v>
          </cell>
          <cell r="BL4" t="str">
            <v>0802010101</v>
          </cell>
          <cell r="BM4">
            <v>500</v>
          </cell>
        </row>
        <row r="5">
          <cell r="D5" t="str">
            <v>Cargo a Interes Plazo Fijo</v>
          </cell>
          <cell r="Q5" t="str">
            <v>3 DORADO</v>
          </cell>
          <cell r="AH5" t="str">
            <v>08020102020101</v>
          </cell>
          <cell r="AI5">
            <v>252</v>
          </cell>
          <cell r="AJ5">
            <v>0</v>
          </cell>
          <cell r="AK5">
            <v>0</v>
          </cell>
          <cell r="AL5">
            <v>10</v>
          </cell>
          <cell r="AM5">
            <v>8</v>
          </cell>
          <cell r="AN5">
            <v>8</v>
          </cell>
          <cell r="AO5">
            <v>31</v>
          </cell>
          <cell r="AP5">
            <v>255</v>
          </cell>
          <cell r="AQ5">
            <v>0</v>
          </cell>
          <cell r="AR5">
            <v>0</v>
          </cell>
          <cell r="AS5">
            <v>0</v>
          </cell>
          <cell r="AT5">
            <v>0</v>
          </cell>
          <cell r="AU5">
            <v>0</v>
          </cell>
          <cell r="AV5">
            <v>564</v>
          </cell>
          <cell r="AY5" t="str">
            <v>08020102020101</v>
          </cell>
          <cell r="AZ5">
            <v>12</v>
          </cell>
          <cell r="BA5">
            <v>24</v>
          </cell>
          <cell r="BB5">
            <v>2</v>
          </cell>
          <cell r="BC5">
            <v>7</v>
          </cell>
          <cell r="BD5">
            <v>192</v>
          </cell>
          <cell r="BE5">
            <v>2.5</v>
          </cell>
          <cell r="BF5">
            <v>0</v>
          </cell>
          <cell r="BG5">
            <v>8</v>
          </cell>
          <cell r="BH5">
            <v>10</v>
          </cell>
          <cell r="BI5">
            <v>245.5</v>
          </cell>
          <cell r="BL5" t="str">
            <v>0802010101</v>
          </cell>
          <cell r="BM5">
            <v>500</v>
          </cell>
        </row>
        <row r="6">
          <cell r="D6" t="str">
            <v>Pago Voluntario</v>
          </cell>
          <cell r="Q6" t="str">
            <v>4 VIA ARGENTINA</v>
          </cell>
          <cell r="AH6" t="str">
            <v>08010101010101</v>
          </cell>
          <cell r="AI6">
            <v>252</v>
          </cell>
          <cell r="AJ6">
            <v>0</v>
          </cell>
          <cell r="AK6">
            <v>0</v>
          </cell>
          <cell r="AL6">
            <v>10</v>
          </cell>
          <cell r="AM6">
            <v>8</v>
          </cell>
          <cell r="AN6">
            <v>8</v>
          </cell>
          <cell r="AO6">
            <v>31</v>
          </cell>
          <cell r="AP6">
            <v>255</v>
          </cell>
          <cell r="AQ6">
            <v>26</v>
          </cell>
          <cell r="AR6">
            <v>8</v>
          </cell>
          <cell r="AS6">
            <v>0</v>
          </cell>
          <cell r="AT6">
            <v>25</v>
          </cell>
          <cell r="AU6">
            <v>141</v>
          </cell>
          <cell r="AV6">
            <v>764</v>
          </cell>
          <cell r="AY6" t="str">
            <v>08010101010101</v>
          </cell>
          <cell r="AZ6">
            <v>13</v>
          </cell>
          <cell r="BA6">
            <v>26</v>
          </cell>
          <cell r="BB6">
            <v>2</v>
          </cell>
          <cell r="BC6">
            <v>7</v>
          </cell>
          <cell r="BD6">
            <v>208</v>
          </cell>
          <cell r="BE6">
            <v>2.7</v>
          </cell>
          <cell r="BF6">
            <v>0</v>
          </cell>
          <cell r="BG6">
            <v>8</v>
          </cell>
          <cell r="BH6">
            <v>10</v>
          </cell>
          <cell r="BI6">
            <v>263.7</v>
          </cell>
          <cell r="BL6" t="str">
            <v>0801010101</v>
          </cell>
          <cell r="BM6">
            <v>350</v>
          </cell>
        </row>
        <row r="7">
          <cell r="Q7" t="str">
            <v>5 VIA PORRAS</v>
          </cell>
          <cell r="AH7" t="str">
            <v>08010101020101</v>
          </cell>
          <cell r="AI7">
            <v>252</v>
          </cell>
          <cell r="AJ7">
            <v>0</v>
          </cell>
          <cell r="AK7">
            <v>0</v>
          </cell>
          <cell r="AL7">
            <v>10</v>
          </cell>
          <cell r="AM7">
            <v>8</v>
          </cell>
          <cell r="AN7">
            <v>8</v>
          </cell>
          <cell r="AO7">
            <v>31</v>
          </cell>
          <cell r="AP7">
            <v>255</v>
          </cell>
          <cell r="AQ7">
            <v>0</v>
          </cell>
          <cell r="AR7">
            <v>0</v>
          </cell>
          <cell r="AS7">
            <v>0</v>
          </cell>
          <cell r="AT7">
            <v>0</v>
          </cell>
          <cell r="AU7">
            <v>0</v>
          </cell>
          <cell r="AV7">
            <v>564</v>
          </cell>
          <cell r="AY7" t="str">
            <v>08010101020101</v>
          </cell>
          <cell r="AZ7">
            <v>13</v>
          </cell>
          <cell r="BA7">
            <v>26</v>
          </cell>
          <cell r="BB7">
            <v>2</v>
          </cell>
          <cell r="BC7">
            <v>7</v>
          </cell>
          <cell r="BD7">
            <v>208</v>
          </cell>
          <cell r="BE7">
            <v>2.7</v>
          </cell>
          <cell r="BF7">
            <v>0</v>
          </cell>
          <cell r="BG7">
            <v>8</v>
          </cell>
          <cell r="BH7">
            <v>10</v>
          </cell>
          <cell r="BI7">
            <v>263.7</v>
          </cell>
          <cell r="BL7" t="str">
            <v>0801010101</v>
          </cell>
          <cell r="BM7">
            <v>350</v>
          </cell>
        </row>
        <row r="8">
          <cell r="Q8" t="str">
            <v>6 INGENIO</v>
          </cell>
          <cell r="AH8" t="str">
            <v>08010102010101</v>
          </cell>
          <cell r="AI8">
            <v>252</v>
          </cell>
          <cell r="AJ8">
            <v>0</v>
          </cell>
          <cell r="AK8">
            <v>0</v>
          </cell>
          <cell r="AL8">
            <v>10</v>
          </cell>
          <cell r="AM8">
            <v>8</v>
          </cell>
          <cell r="AN8">
            <v>8</v>
          </cell>
          <cell r="AO8">
            <v>31</v>
          </cell>
          <cell r="AP8">
            <v>255</v>
          </cell>
          <cell r="AQ8">
            <v>26</v>
          </cell>
          <cell r="AR8">
            <v>8</v>
          </cell>
          <cell r="AS8">
            <v>0</v>
          </cell>
          <cell r="AT8">
            <v>25</v>
          </cell>
          <cell r="AU8">
            <v>0</v>
          </cell>
          <cell r="AV8">
            <v>623</v>
          </cell>
          <cell r="AY8" t="str">
            <v>08010102010101</v>
          </cell>
          <cell r="AZ8">
            <v>13</v>
          </cell>
          <cell r="BA8">
            <v>26</v>
          </cell>
          <cell r="BB8">
            <v>2</v>
          </cell>
          <cell r="BC8">
            <v>7</v>
          </cell>
          <cell r="BD8">
            <v>208</v>
          </cell>
          <cell r="BE8">
            <v>2.7</v>
          </cell>
          <cell r="BF8">
            <v>0</v>
          </cell>
          <cell r="BG8">
            <v>8</v>
          </cell>
          <cell r="BH8">
            <v>10</v>
          </cell>
          <cell r="BI8">
            <v>263.7</v>
          </cell>
          <cell r="BL8" t="str">
            <v>0801010101</v>
          </cell>
          <cell r="BM8">
            <v>350</v>
          </cell>
        </row>
        <row r="9">
          <cell r="Q9" t="str">
            <v>7 CHANIS</v>
          </cell>
          <cell r="AH9" t="str">
            <v>08010102020101</v>
          </cell>
          <cell r="AI9">
            <v>252</v>
          </cell>
          <cell r="AJ9">
            <v>0</v>
          </cell>
          <cell r="AK9">
            <v>0</v>
          </cell>
          <cell r="AL9">
            <v>10</v>
          </cell>
          <cell r="AM9">
            <v>8</v>
          </cell>
          <cell r="AN9">
            <v>8</v>
          </cell>
          <cell r="AO9">
            <v>31</v>
          </cell>
          <cell r="AP9">
            <v>255</v>
          </cell>
          <cell r="AQ9">
            <v>0</v>
          </cell>
          <cell r="AR9">
            <v>0</v>
          </cell>
          <cell r="AS9">
            <v>0</v>
          </cell>
          <cell r="AT9">
            <v>0</v>
          </cell>
          <cell r="AU9">
            <v>0</v>
          </cell>
          <cell r="AV9">
            <v>564</v>
          </cell>
          <cell r="AY9" t="str">
            <v>08010102020101</v>
          </cell>
          <cell r="AZ9">
            <v>13</v>
          </cell>
          <cell r="BA9">
            <v>26</v>
          </cell>
          <cell r="BB9">
            <v>2</v>
          </cell>
          <cell r="BC9">
            <v>7</v>
          </cell>
          <cell r="BD9">
            <v>208</v>
          </cell>
          <cell r="BE9">
            <v>2.7</v>
          </cell>
          <cell r="BF9">
            <v>0</v>
          </cell>
          <cell r="BG9">
            <v>8</v>
          </cell>
          <cell r="BH9">
            <v>0</v>
          </cell>
          <cell r="BI9">
            <v>253.7</v>
          </cell>
          <cell r="BL9" t="str">
            <v>0801010101</v>
          </cell>
          <cell r="BM9">
            <v>350</v>
          </cell>
        </row>
        <row r="10">
          <cell r="M10" t="str">
            <v>Nueva</v>
          </cell>
          <cell r="N10">
            <v>1</v>
          </cell>
          <cell r="Q10" t="str">
            <v>8 PLAZA TOCUMEN</v>
          </cell>
          <cell r="AH10" t="str">
            <v>08020201020101</v>
          </cell>
          <cell r="AI10">
            <v>252</v>
          </cell>
          <cell r="AJ10">
            <v>0</v>
          </cell>
          <cell r="AK10">
            <v>0</v>
          </cell>
          <cell r="AL10">
            <v>10</v>
          </cell>
          <cell r="AM10">
            <v>8</v>
          </cell>
          <cell r="AN10">
            <v>8</v>
          </cell>
          <cell r="AO10">
            <v>0</v>
          </cell>
          <cell r="AP10">
            <v>255</v>
          </cell>
          <cell r="AQ10">
            <v>0</v>
          </cell>
          <cell r="AR10">
            <v>0</v>
          </cell>
          <cell r="AS10">
            <v>0</v>
          </cell>
          <cell r="AT10">
            <v>0</v>
          </cell>
          <cell r="AU10">
            <v>0</v>
          </cell>
          <cell r="AV10">
            <v>533</v>
          </cell>
          <cell r="AY10" t="str">
            <v>08020201020101</v>
          </cell>
          <cell r="AZ10">
            <v>10</v>
          </cell>
          <cell r="BA10">
            <v>20</v>
          </cell>
          <cell r="BB10">
            <v>2</v>
          </cell>
          <cell r="BC10">
            <v>7</v>
          </cell>
          <cell r="BD10">
            <v>160</v>
          </cell>
          <cell r="BE10">
            <v>2.1</v>
          </cell>
          <cell r="BF10">
            <v>0</v>
          </cell>
          <cell r="BG10">
            <v>8</v>
          </cell>
          <cell r="BH10">
            <v>10</v>
          </cell>
          <cell r="BI10">
            <v>209.1</v>
          </cell>
          <cell r="BL10" t="str">
            <v>0802020101</v>
          </cell>
          <cell r="BM10">
            <v>250</v>
          </cell>
        </row>
        <row r="11">
          <cell r="M11" t="str">
            <v>Usada</v>
          </cell>
          <cell r="N11">
            <v>2</v>
          </cell>
          <cell r="Q11" t="str">
            <v>9 SANTIAGO</v>
          </cell>
          <cell r="AH11" t="str">
            <v>08020202020101</v>
          </cell>
          <cell r="AI11">
            <v>252</v>
          </cell>
          <cell r="AJ11">
            <v>0</v>
          </cell>
          <cell r="AK11">
            <v>0</v>
          </cell>
          <cell r="AL11">
            <v>10</v>
          </cell>
          <cell r="AM11">
            <v>8</v>
          </cell>
          <cell r="AN11">
            <v>8</v>
          </cell>
          <cell r="AO11">
            <v>0</v>
          </cell>
          <cell r="AP11">
            <v>255</v>
          </cell>
          <cell r="AQ11">
            <v>0</v>
          </cell>
          <cell r="AR11">
            <v>0</v>
          </cell>
          <cell r="AS11">
            <v>0</v>
          </cell>
          <cell r="AT11">
            <v>0</v>
          </cell>
          <cell r="AU11">
            <v>0</v>
          </cell>
          <cell r="AV11">
            <v>533</v>
          </cell>
          <cell r="AY11" t="str">
            <v>08020202020101</v>
          </cell>
          <cell r="AZ11">
            <v>10</v>
          </cell>
          <cell r="BA11">
            <v>20</v>
          </cell>
          <cell r="BB11">
            <v>2</v>
          </cell>
          <cell r="BC11">
            <v>7</v>
          </cell>
          <cell r="BD11">
            <v>160</v>
          </cell>
          <cell r="BE11">
            <v>2.1</v>
          </cell>
          <cell r="BF11">
            <v>0</v>
          </cell>
          <cell r="BG11">
            <v>8</v>
          </cell>
          <cell r="BH11">
            <v>10</v>
          </cell>
          <cell r="BI11">
            <v>209.1</v>
          </cell>
          <cell r="BL11" t="str">
            <v>0802020101</v>
          </cell>
          <cell r="BM11">
            <v>250</v>
          </cell>
        </row>
        <row r="12">
          <cell r="Q12" t="str">
            <v>10 OBARRIO</v>
          </cell>
          <cell r="AH12" t="str">
            <v>08010201020101</v>
          </cell>
          <cell r="AI12">
            <v>252</v>
          </cell>
          <cell r="AJ12">
            <v>0</v>
          </cell>
          <cell r="AK12">
            <v>0</v>
          </cell>
          <cell r="AL12">
            <v>10</v>
          </cell>
          <cell r="AM12">
            <v>8</v>
          </cell>
          <cell r="AN12">
            <v>8</v>
          </cell>
          <cell r="AO12">
            <v>0</v>
          </cell>
          <cell r="AP12">
            <v>255</v>
          </cell>
          <cell r="AQ12">
            <v>0</v>
          </cell>
          <cell r="AR12">
            <v>0</v>
          </cell>
          <cell r="AS12">
            <v>0</v>
          </cell>
          <cell r="AT12">
            <v>0</v>
          </cell>
          <cell r="AU12">
            <v>0</v>
          </cell>
          <cell r="AV12">
            <v>533</v>
          </cell>
          <cell r="AY12" t="str">
            <v>08010201020101</v>
          </cell>
          <cell r="AZ12">
            <v>13</v>
          </cell>
          <cell r="BA12">
            <v>26</v>
          </cell>
          <cell r="BB12">
            <v>2</v>
          </cell>
          <cell r="BC12">
            <v>7</v>
          </cell>
          <cell r="BD12">
            <v>208</v>
          </cell>
          <cell r="BE12">
            <v>2.7</v>
          </cell>
          <cell r="BF12">
            <v>0</v>
          </cell>
          <cell r="BG12">
            <v>8</v>
          </cell>
          <cell r="BH12">
            <v>10</v>
          </cell>
          <cell r="BI12">
            <v>263.7</v>
          </cell>
          <cell r="BL12" t="str">
            <v>0801020101</v>
          </cell>
          <cell r="BM12">
            <v>250</v>
          </cell>
        </row>
        <row r="13">
          <cell r="Q13" t="str">
            <v>11 COLON</v>
          </cell>
          <cell r="AH13" t="str">
            <v>08010202020101</v>
          </cell>
          <cell r="AI13">
            <v>252</v>
          </cell>
          <cell r="AJ13">
            <v>0</v>
          </cell>
          <cell r="AK13">
            <v>0</v>
          </cell>
          <cell r="AL13">
            <v>10</v>
          </cell>
          <cell r="AM13">
            <v>8</v>
          </cell>
          <cell r="AN13">
            <v>8</v>
          </cell>
          <cell r="AO13">
            <v>0</v>
          </cell>
          <cell r="AP13">
            <v>255</v>
          </cell>
          <cell r="AQ13">
            <v>0</v>
          </cell>
          <cell r="AR13">
            <v>0</v>
          </cell>
          <cell r="AS13">
            <v>0</v>
          </cell>
          <cell r="AT13">
            <v>0</v>
          </cell>
          <cell r="AU13">
            <v>0</v>
          </cell>
          <cell r="AV13">
            <v>533</v>
          </cell>
          <cell r="AY13" t="str">
            <v>08010202020101</v>
          </cell>
          <cell r="AZ13">
            <v>13</v>
          </cell>
          <cell r="BA13">
            <v>26</v>
          </cell>
          <cell r="BB13">
            <v>2</v>
          </cell>
          <cell r="BC13">
            <v>7</v>
          </cell>
          <cell r="BD13">
            <v>208</v>
          </cell>
          <cell r="BE13">
            <v>2.7</v>
          </cell>
          <cell r="BF13">
            <v>0</v>
          </cell>
          <cell r="BG13">
            <v>8</v>
          </cell>
          <cell r="BH13">
            <v>10</v>
          </cell>
          <cell r="BI13">
            <v>263.7</v>
          </cell>
          <cell r="BL13" t="str">
            <v>0801020101</v>
          </cell>
          <cell r="BM13">
            <v>250</v>
          </cell>
        </row>
        <row r="14">
          <cell r="H14" t="str">
            <v>Finalidad</v>
          </cell>
          <cell r="I14">
            <v>0</v>
          </cell>
          <cell r="Q14" t="str">
            <v>13 HATO PINTADO</v>
          </cell>
          <cell r="AH14" t="str">
            <v>03020601010101</v>
          </cell>
          <cell r="AI14">
            <v>252</v>
          </cell>
          <cell r="AJ14">
            <v>0</v>
          </cell>
          <cell r="AK14">
            <v>0</v>
          </cell>
          <cell r="AL14">
            <v>10</v>
          </cell>
          <cell r="AM14">
            <v>8</v>
          </cell>
          <cell r="AN14">
            <v>8</v>
          </cell>
          <cell r="AO14">
            <v>31</v>
          </cell>
          <cell r="AP14">
            <v>255</v>
          </cell>
          <cell r="AQ14">
            <v>26</v>
          </cell>
          <cell r="AR14">
            <v>8</v>
          </cell>
          <cell r="AS14">
            <v>0</v>
          </cell>
          <cell r="AT14">
            <v>25</v>
          </cell>
          <cell r="AU14">
            <v>141</v>
          </cell>
          <cell r="AV14">
            <v>764</v>
          </cell>
          <cell r="AY14" t="str">
            <v>03020601010101</v>
          </cell>
          <cell r="AZ14">
            <v>12</v>
          </cell>
          <cell r="BA14">
            <v>24</v>
          </cell>
          <cell r="BB14">
            <v>2</v>
          </cell>
          <cell r="BC14">
            <v>7</v>
          </cell>
          <cell r="BD14">
            <v>192</v>
          </cell>
          <cell r="BE14">
            <v>2.5</v>
          </cell>
          <cell r="BF14">
            <v>0</v>
          </cell>
          <cell r="BG14">
            <v>8</v>
          </cell>
          <cell r="BH14">
            <v>10</v>
          </cell>
          <cell r="BI14">
            <v>245.5</v>
          </cell>
          <cell r="BL14" t="str">
            <v>0302060101</v>
          </cell>
          <cell r="BM14">
            <v>500</v>
          </cell>
        </row>
        <row r="15">
          <cell r="H15" t="str">
            <v>Traspaso por compra de vivienda</v>
          </cell>
          <cell r="I15">
            <v>1</v>
          </cell>
          <cell r="L15" t="str">
            <v>Residencial</v>
          </cell>
          <cell r="M15">
            <v>1</v>
          </cell>
          <cell r="Q15" t="str">
            <v>14 RIO ABAJO</v>
          </cell>
          <cell r="AH15" t="str">
            <v>03020601020101</v>
          </cell>
          <cell r="AI15">
            <v>252</v>
          </cell>
          <cell r="AJ15">
            <v>0</v>
          </cell>
          <cell r="AK15">
            <v>0</v>
          </cell>
          <cell r="AL15">
            <v>10</v>
          </cell>
          <cell r="AM15">
            <v>8</v>
          </cell>
          <cell r="AN15">
            <v>8</v>
          </cell>
          <cell r="AO15">
            <v>31</v>
          </cell>
          <cell r="AP15">
            <v>255</v>
          </cell>
          <cell r="AQ15">
            <v>0</v>
          </cell>
          <cell r="AR15">
            <v>0</v>
          </cell>
          <cell r="AS15">
            <v>0</v>
          </cell>
          <cell r="AT15">
            <v>0</v>
          </cell>
          <cell r="AU15">
            <v>0</v>
          </cell>
          <cell r="AV15">
            <v>564</v>
          </cell>
          <cell r="AY15" t="str">
            <v>03020601020101</v>
          </cell>
          <cell r="AZ15">
            <v>12</v>
          </cell>
          <cell r="BA15">
            <v>24</v>
          </cell>
          <cell r="BB15">
            <v>2</v>
          </cell>
          <cell r="BC15">
            <v>7</v>
          </cell>
          <cell r="BD15">
            <v>192</v>
          </cell>
          <cell r="BE15">
            <v>2.5</v>
          </cell>
          <cell r="BF15">
            <v>0</v>
          </cell>
          <cell r="BG15">
            <v>8</v>
          </cell>
          <cell r="BH15">
            <v>10</v>
          </cell>
          <cell r="BI15">
            <v>245.5</v>
          </cell>
          <cell r="BL15" t="str">
            <v>0302060101</v>
          </cell>
          <cell r="BM15">
            <v>500</v>
          </cell>
        </row>
        <row r="16">
          <cell r="H16" t="str">
            <v>Traspaso de Otro Banco</v>
          </cell>
          <cell r="I16">
            <v>2</v>
          </cell>
          <cell r="L16" t="str">
            <v>Reposeído</v>
          </cell>
          <cell r="M16">
            <v>2</v>
          </cell>
          <cell r="Q16" t="str">
            <v>15 LA CHORRERA</v>
          </cell>
          <cell r="AH16" t="str">
            <v>03020602010101</v>
          </cell>
          <cell r="AI16">
            <v>252</v>
          </cell>
          <cell r="AJ16">
            <v>0</v>
          </cell>
          <cell r="AK16">
            <v>0</v>
          </cell>
          <cell r="AL16">
            <v>10</v>
          </cell>
          <cell r="AM16">
            <v>8</v>
          </cell>
          <cell r="AN16">
            <v>8</v>
          </cell>
          <cell r="AO16">
            <v>31</v>
          </cell>
          <cell r="AP16">
            <v>255</v>
          </cell>
          <cell r="AQ16">
            <v>26</v>
          </cell>
          <cell r="AR16">
            <v>8</v>
          </cell>
          <cell r="AS16">
            <v>0</v>
          </cell>
          <cell r="AT16">
            <v>25</v>
          </cell>
          <cell r="AU16">
            <v>0</v>
          </cell>
          <cell r="AV16">
            <v>623</v>
          </cell>
          <cell r="AY16" t="str">
            <v>03020602010101</v>
          </cell>
          <cell r="AZ16">
            <v>12</v>
          </cell>
          <cell r="BA16">
            <v>24</v>
          </cell>
          <cell r="BB16">
            <v>2</v>
          </cell>
          <cell r="BC16">
            <v>7</v>
          </cell>
          <cell r="BD16">
            <v>192</v>
          </cell>
          <cell r="BE16">
            <v>2.5</v>
          </cell>
          <cell r="BF16">
            <v>0</v>
          </cell>
          <cell r="BG16">
            <v>8</v>
          </cell>
          <cell r="BH16">
            <v>10</v>
          </cell>
          <cell r="BI16">
            <v>245.5</v>
          </cell>
          <cell r="BL16" t="str">
            <v>0302060101</v>
          </cell>
          <cell r="BM16">
            <v>500</v>
          </cell>
        </row>
        <row r="17">
          <cell r="H17" t="str">
            <v>Compra Vivienda Vacacional</v>
          </cell>
          <cell r="I17">
            <v>3</v>
          </cell>
          <cell r="L17" t="str">
            <v>Interino</v>
          </cell>
          <cell r="M17">
            <v>3</v>
          </cell>
          <cell r="Q17" t="str">
            <v>16 AVE. CENTRAL</v>
          </cell>
          <cell r="AH17" t="str">
            <v>03020602020101</v>
          </cell>
          <cell r="AI17">
            <v>252</v>
          </cell>
          <cell r="AJ17">
            <v>0</v>
          </cell>
          <cell r="AK17">
            <v>0</v>
          </cell>
          <cell r="AL17">
            <v>10</v>
          </cell>
          <cell r="AM17">
            <v>8</v>
          </cell>
          <cell r="AN17">
            <v>8</v>
          </cell>
          <cell r="AO17">
            <v>31</v>
          </cell>
          <cell r="AP17">
            <v>255</v>
          </cell>
          <cell r="AQ17">
            <v>0</v>
          </cell>
          <cell r="AR17">
            <v>0</v>
          </cell>
          <cell r="AS17">
            <v>0</v>
          </cell>
          <cell r="AT17">
            <v>0</v>
          </cell>
          <cell r="AU17">
            <v>0</v>
          </cell>
          <cell r="AV17">
            <v>564</v>
          </cell>
          <cell r="AY17" t="str">
            <v>03020602020101</v>
          </cell>
          <cell r="AZ17">
            <v>12</v>
          </cell>
          <cell r="BA17">
            <v>24</v>
          </cell>
          <cell r="BB17">
            <v>2</v>
          </cell>
          <cell r="BC17">
            <v>7</v>
          </cell>
          <cell r="BD17">
            <v>192</v>
          </cell>
          <cell r="BE17">
            <v>2.5</v>
          </cell>
          <cell r="BF17">
            <v>0</v>
          </cell>
          <cell r="BG17">
            <v>8</v>
          </cell>
          <cell r="BH17">
            <v>10</v>
          </cell>
          <cell r="BI17">
            <v>245.5</v>
          </cell>
          <cell r="BL17" t="str">
            <v>0302060101</v>
          </cell>
          <cell r="BM17">
            <v>500</v>
          </cell>
        </row>
        <row r="18">
          <cell r="H18" t="str">
            <v>Construcción</v>
          </cell>
          <cell r="I18">
            <v>4</v>
          </cell>
          <cell r="L18">
            <v>0</v>
          </cell>
          <cell r="M18">
            <v>0</v>
          </cell>
          <cell r="Q18" t="str">
            <v>17 LOS ANGELES</v>
          </cell>
          <cell r="AH18" t="str">
            <v>01010101020101</v>
          </cell>
          <cell r="AI18">
            <v>252</v>
          </cell>
          <cell r="AJ18">
            <v>0</v>
          </cell>
          <cell r="AK18">
            <v>0</v>
          </cell>
          <cell r="AL18">
            <v>10</v>
          </cell>
          <cell r="AM18">
            <v>8</v>
          </cell>
          <cell r="AN18">
            <v>8</v>
          </cell>
          <cell r="AO18">
            <v>0</v>
          </cell>
          <cell r="AP18">
            <v>255</v>
          </cell>
          <cell r="AQ18">
            <v>0</v>
          </cell>
          <cell r="AR18">
            <v>0</v>
          </cell>
          <cell r="AS18">
            <v>0</v>
          </cell>
          <cell r="AT18">
            <v>0</v>
          </cell>
          <cell r="AU18">
            <v>0</v>
          </cell>
          <cell r="AV18">
            <v>533</v>
          </cell>
          <cell r="AY18" t="str">
            <v>01010101020101</v>
          </cell>
          <cell r="AZ18">
            <v>13</v>
          </cell>
          <cell r="BA18">
            <v>26</v>
          </cell>
          <cell r="BB18">
            <v>2</v>
          </cell>
          <cell r="BC18">
            <v>7</v>
          </cell>
          <cell r="BD18">
            <v>208</v>
          </cell>
          <cell r="BE18">
            <v>2.7</v>
          </cell>
          <cell r="BF18">
            <v>10</v>
          </cell>
          <cell r="BG18">
            <v>8</v>
          </cell>
          <cell r="BH18">
            <v>10</v>
          </cell>
          <cell r="BI18">
            <v>273.7</v>
          </cell>
          <cell r="BL18" t="str">
            <v>0101010101</v>
          </cell>
          <cell r="BM18">
            <v>500</v>
          </cell>
        </row>
        <row r="19">
          <cell r="H19" t="str">
            <v>Cambio de Fiador Solidario</v>
          </cell>
          <cell r="I19">
            <v>5</v>
          </cell>
          <cell r="L19" t="str">
            <v>Refinanciamiento</v>
          </cell>
          <cell r="M19">
            <v>4</v>
          </cell>
          <cell r="Q19" t="str">
            <v>18 VILLA LUCRE</v>
          </cell>
          <cell r="AH19" t="str">
            <v>01010102020101</v>
          </cell>
          <cell r="AI19">
            <v>252</v>
          </cell>
          <cell r="AJ19">
            <v>0</v>
          </cell>
          <cell r="AK19">
            <v>0</v>
          </cell>
          <cell r="AL19">
            <v>10</v>
          </cell>
          <cell r="AM19">
            <v>8</v>
          </cell>
          <cell r="AN19">
            <v>8</v>
          </cell>
          <cell r="AO19">
            <v>0</v>
          </cell>
          <cell r="AP19">
            <v>255</v>
          </cell>
          <cell r="AQ19">
            <v>0</v>
          </cell>
          <cell r="AR19">
            <v>0</v>
          </cell>
          <cell r="AS19">
            <v>0</v>
          </cell>
          <cell r="AT19">
            <v>0</v>
          </cell>
          <cell r="AU19">
            <v>0</v>
          </cell>
          <cell r="AV19">
            <v>533</v>
          </cell>
          <cell r="AY19" t="str">
            <v>01010102020101</v>
          </cell>
          <cell r="AZ19">
            <v>13</v>
          </cell>
          <cell r="BA19">
            <v>26</v>
          </cell>
          <cell r="BB19">
            <v>2</v>
          </cell>
          <cell r="BC19">
            <v>7</v>
          </cell>
          <cell r="BD19">
            <v>208</v>
          </cell>
          <cell r="BE19">
            <v>2.7</v>
          </cell>
          <cell r="BF19">
            <v>10</v>
          </cell>
          <cell r="BG19">
            <v>8</v>
          </cell>
          <cell r="BH19">
            <v>10</v>
          </cell>
          <cell r="BI19">
            <v>273.7</v>
          </cell>
          <cell r="BL19" t="str">
            <v>0101010101</v>
          </cell>
          <cell r="BM19">
            <v>500</v>
          </cell>
        </row>
        <row r="20">
          <cell r="H20" t="str">
            <v>Extensión Plazo</v>
          </cell>
          <cell r="I20">
            <v>6</v>
          </cell>
          <cell r="L20" t="str">
            <v>Segunda Hipoteca</v>
          </cell>
          <cell r="M20">
            <v>5</v>
          </cell>
          <cell r="Q20" t="str">
            <v>19 LOS ANDES</v>
          </cell>
          <cell r="AH20" t="str">
            <v>09020401020101</v>
          </cell>
          <cell r="AI20">
            <v>252</v>
          </cell>
          <cell r="AJ20">
            <v>0</v>
          </cell>
          <cell r="AK20">
            <v>0</v>
          </cell>
          <cell r="AL20">
            <v>10</v>
          </cell>
          <cell r="AM20">
            <v>8</v>
          </cell>
          <cell r="AN20">
            <v>8</v>
          </cell>
          <cell r="AO20">
            <v>31</v>
          </cell>
          <cell r="AP20">
            <v>0</v>
          </cell>
          <cell r="AQ20">
            <v>0</v>
          </cell>
          <cell r="AR20">
            <v>0</v>
          </cell>
          <cell r="AS20">
            <v>0</v>
          </cell>
          <cell r="AT20">
            <v>0</v>
          </cell>
          <cell r="AU20">
            <v>0</v>
          </cell>
          <cell r="AV20">
            <v>309</v>
          </cell>
          <cell r="AY20" t="str">
            <v>09020401020101</v>
          </cell>
          <cell r="AZ20">
            <v>8</v>
          </cell>
          <cell r="BA20">
            <v>16</v>
          </cell>
          <cell r="BB20">
            <v>2</v>
          </cell>
          <cell r="BC20">
            <v>7</v>
          </cell>
          <cell r="BD20">
            <v>128</v>
          </cell>
          <cell r="BE20">
            <v>1.7</v>
          </cell>
          <cell r="BF20">
            <v>0</v>
          </cell>
          <cell r="BG20">
            <v>8</v>
          </cell>
          <cell r="BH20">
            <v>0</v>
          </cell>
          <cell r="BI20">
            <v>162.69999999999999</v>
          </cell>
          <cell r="BL20" t="str">
            <v>0902040101</v>
          </cell>
          <cell r="BM20">
            <v>230</v>
          </cell>
        </row>
        <row r="21">
          <cell r="H21" t="str">
            <v>Cambio de Dueño y Deudor</v>
          </cell>
          <cell r="I21">
            <v>7</v>
          </cell>
          <cell r="L21" t="str">
            <v>Vacacional</v>
          </cell>
          <cell r="M21">
            <v>6</v>
          </cell>
          <cell r="Q21" t="str">
            <v>20 VIA ESPAÑA</v>
          </cell>
          <cell r="AH21" t="str">
            <v>09020402020101</v>
          </cell>
          <cell r="AI21">
            <v>252</v>
          </cell>
          <cell r="AJ21">
            <v>0</v>
          </cell>
          <cell r="AK21">
            <v>0</v>
          </cell>
          <cell r="AL21">
            <v>10</v>
          </cell>
          <cell r="AM21">
            <v>8</v>
          </cell>
          <cell r="AN21">
            <v>8</v>
          </cell>
          <cell r="AO21">
            <v>31</v>
          </cell>
          <cell r="AP21">
            <v>0</v>
          </cell>
          <cell r="AQ21">
            <v>0</v>
          </cell>
          <cell r="AR21">
            <v>0</v>
          </cell>
          <cell r="AS21">
            <v>0</v>
          </cell>
          <cell r="AT21">
            <v>0</v>
          </cell>
          <cell r="AU21">
            <v>0</v>
          </cell>
          <cell r="AV21">
            <v>309</v>
          </cell>
          <cell r="AY21" t="str">
            <v>09020402020101</v>
          </cell>
          <cell r="AZ21">
            <v>8</v>
          </cell>
          <cell r="BA21">
            <v>16</v>
          </cell>
          <cell r="BB21">
            <v>2</v>
          </cell>
          <cell r="BC21">
            <v>7</v>
          </cell>
          <cell r="BD21">
            <v>128</v>
          </cell>
          <cell r="BE21">
            <v>1.7</v>
          </cell>
          <cell r="BF21">
            <v>0</v>
          </cell>
          <cell r="BG21">
            <v>8</v>
          </cell>
          <cell r="BH21">
            <v>0</v>
          </cell>
          <cell r="BI21">
            <v>162.69999999999999</v>
          </cell>
          <cell r="BL21" t="str">
            <v>0902040101</v>
          </cell>
          <cell r="BM21">
            <v>230</v>
          </cell>
        </row>
        <row r="22">
          <cell r="H22" t="str">
            <v>Compra de Vivienda</v>
          </cell>
          <cell r="I22">
            <v>8</v>
          </cell>
          <cell r="Q22" t="str">
            <v>21 AVE. CUBA</v>
          </cell>
          <cell r="AH22" t="str">
            <v>09020501020101</v>
          </cell>
          <cell r="AI22">
            <v>252</v>
          </cell>
          <cell r="AJ22">
            <v>0</v>
          </cell>
          <cell r="AK22">
            <v>0</v>
          </cell>
          <cell r="AL22">
            <v>10</v>
          </cell>
          <cell r="AM22">
            <v>8</v>
          </cell>
          <cell r="AN22">
            <v>8</v>
          </cell>
          <cell r="AO22">
            <v>0</v>
          </cell>
          <cell r="AP22">
            <v>0</v>
          </cell>
          <cell r="AQ22">
            <v>0</v>
          </cell>
          <cell r="AR22">
            <v>0</v>
          </cell>
          <cell r="AS22">
            <v>0</v>
          </cell>
          <cell r="AT22">
            <v>0</v>
          </cell>
          <cell r="AU22">
            <v>0</v>
          </cell>
          <cell r="AV22">
            <v>278</v>
          </cell>
          <cell r="AY22" t="str">
            <v>09020501020101</v>
          </cell>
          <cell r="AZ22">
            <v>8</v>
          </cell>
          <cell r="BA22">
            <v>16</v>
          </cell>
          <cell r="BB22">
            <v>2</v>
          </cell>
          <cell r="BC22">
            <v>7</v>
          </cell>
          <cell r="BD22">
            <v>128</v>
          </cell>
          <cell r="BE22">
            <v>1.7</v>
          </cell>
          <cell r="BF22">
            <v>0</v>
          </cell>
          <cell r="BG22">
            <v>8</v>
          </cell>
          <cell r="BH22">
            <v>0</v>
          </cell>
          <cell r="BI22">
            <v>162.69999999999999</v>
          </cell>
          <cell r="BL22" t="str">
            <v>0902050101</v>
          </cell>
          <cell r="BM22">
            <v>230</v>
          </cell>
        </row>
        <row r="23">
          <cell r="H23" t="str">
            <v>Casa Cash</v>
          </cell>
          <cell r="I23">
            <v>9</v>
          </cell>
          <cell r="Q23" t="str">
            <v>22 CHITRE</v>
          </cell>
          <cell r="AH23" t="str">
            <v>09020502020101</v>
          </cell>
          <cell r="AI23">
            <v>252</v>
          </cell>
          <cell r="AJ23">
            <v>0</v>
          </cell>
          <cell r="AK23">
            <v>0</v>
          </cell>
          <cell r="AL23">
            <v>10</v>
          </cell>
          <cell r="AM23">
            <v>8</v>
          </cell>
          <cell r="AN23">
            <v>8</v>
          </cell>
          <cell r="AO23">
            <v>0</v>
          </cell>
          <cell r="AP23">
            <v>0</v>
          </cell>
          <cell r="AQ23">
            <v>0</v>
          </cell>
          <cell r="AR23">
            <v>0</v>
          </cell>
          <cell r="AS23">
            <v>0</v>
          </cell>
          <cell r="AT23">
            <v>0</v>
          </cell>
          <cell r="AU23">
            <v>0</v>
          </cell>
          <cell r="AV23">
            <v>278</v>
          </cell>
          <cell r="AY23" t="str">
            <v>09020502020101</v>
          </cell>
          <cell r="AZ23">
            <v>8</v>
          </cell>
          <cell r="BA23">
            <v>16</v>
          </cell>
          <cell r="BB23">
            <v>2</v>
          </cell>
          <cell r="BC23">
            <v>7</v>
          </cell>
          <cell r="BD23">
            <v>128</v>
          </cell>
          <cell r="BE23">
            <v>1.7</v>
          </cell>
          <cell r="BF23">
            <v>0</v>
          </cell>
          <cell r="BG23">
            <v>8</v>
          </cell>
          <cell r="BH23">
            <v>0</v>
          </cell>
          <cell r="BI23">
            <v>162.69999999999999</v>
          </cell>
          <cell r="BL23" t="str">
            <v>0902050101</v>
          </cell>
          <cell r="BM23">
            <v>230</v>
          </cell>
        </row>
        <row r="24">
          <cell r="H24" t="str">
            <v>Cambio de Dueño</v>
          </cell>
          <cell r="I24">
            <v>10</v>
          </cell>
          <cell r="Q24" t="str">
            <v>23 LOS PUEBLOS</v>
          </cell>
          <cell r="AH24" t="str">
            <v>09020101020101</v>
          </cell>
          <cell r="AI24">
            <v>252</v>
          </cell>
          <cell r="AJ24">
            <v>0</v>
          </cell>
          <cell r="AK24">
            <v>0</v>
          </cell>
          <cell r="AL24">
            <v>10</v>
          </cell>
          <cell r="AM24">
            <v>8</v>
          </cell>
          <cell r="AN24">
            <v>8</v>
          </cell>
          <cell r="AO24">
            <v>0</v>
          </cell>
          <cell r="AP24">
            <v>0</v>
          </cell>
          <cell r="AQ24">
            <v>0</v>
          </cell>
          <cell r="AR24">
            <v>0</v>
          </cell>
          <cell r="AS24">
            <v>0</v>
          </cell>
          <cell r="AT24">
            <v>0</v>
          </cell>
          <cell r="AU24">
            <v>0</v>
          </cell>
          <cell r="AV24">
            <v>278</v>
          </cell>
          <cell r="AY24" t="str">
            <v>09020101020101</v>
          </cell>
          <cell r="AZ24">
            <v>8</v>
          </cell>
          <cell r="BA24">
            <v>16</v>
          </cell>
          <cell r="BB24">
            <v>2</v>
          </cell>
          <cell r="BC24">
            <v>7</v>
          </cell>
          <cell r="BD24">
            <v>128</v>
          </cell>
          <cell r="BE24">
            <v>1.7</v>
          </cell>
          <cell r="BF24">
            <v>0</v>
          </cell>
          <cell r="BG24">
            <v>8</v>
          </cell>
          <cell r="BH24">
            <v>0</v>
          </cell>
          <cell r="BI24">
            <v>162.69999999999999</v>
          </cell>
          <cell r="BL24" t="str">
            <v>0902010101</v>
          </cell>
          <cell r="BM24">
            <v>230</v>
          </cell>
        </row>
        <row r="25">
          <cell r="H25" t="str">
            <v>Cambio de Duedor</v>
          </cell>
          <cell r="I25">
            <v>11</v>
          </cell>
          <cell r="L25" t="str">
            <v>Ley Preferencial</v>
          </cell>
          <cell r="M25">
            <v>1</v>
          </cell>
          <cell r="Q25" t="str">
            <v>24 CALLE 50</v>
          </cell>
          <cell r="AH25" t="str">
            <v>09020102020101</v>
          </cell>
          <cell r="AI25">
            <v>252</v>
          </cell>
          <cell r="AJ25">
            <v>0</v>
          </cell>
          <cell r="AK25">
            <v>0</v>
          </cell>
          <cell r="AL25">
            <v>10</v>
          </cell>
          <cell r="AM25">
            <v>8</v>
          </cell>
          <cell r="AN25">
            <v>8</v>
          </cell>
          <cell r="AO25">
            <v>0</v>
          </cell>
          <cell r="AP25">
            <v>0</v>
          </cell>
          <cell r="AQ25">
            <v>0</v>
          </cell>
          <cell r="AR25">
            <v>0</v>
          </cell>
          <cell r="AS25">
            <v>0</v>
          </cell>
          <cell r="AT25">
            <v>0</v>
          </cell>
          <cell r="AU25">
            <v>0</v>
          </cell>
          <cell r="AV25">
            <v>278</v>
          </cell>
          <cell r="AY25" t="str">
            <v>09020102020101</v>
          </cell>
          <cell r="AZ25">
            <v>8</v>
          </cell>
          <cell r="BA25">
            <v>16</v>
          </cell>
          <cell r="BB25">
            <v>2</v>
          </cell>
          <cell r="BC25">
            <v>7</v>
          </cell>
          <cell r="BD25">
            <v>128</v>
          </cell>
          <cell r="BE25">
            <v>1.7</v>
          </cell>
          <cell r="BF25">
            <v>0</v>
          </cell>
          <cell r="BG25">
            <v>8</v>
          </cell>
          <cell r="BH25">
            <v>0</v>
          </cell>
          <cell r="BI25">
            <v>162.69999999999999</v>
          </cell>
          <cell r="BL25" t="str">
            <v>0902010101</v>
          </cell>
          <cell r="BM25">
            <v>230</v>
          </cell>
        </row>
        <row r="26">
          <cell r="L26" t="str">
            <v>Individual</v>
          </cell>
          <cell r="M26">
            <v>2</v>
          </cell>
          <cell r="Q26" t="str">
            <v>26 TRANSISTMICA</v>
          </cell>
          <cell r="AH26" t="str">
            <v>02020101020101</v>
          </cell>
          <cell r="AI26">
            <v>252</v>
          </cell>
          <cell r="AJ26">
            <v>0</v>
          </cell>
          <cell r="AK26">
            <v>0</v>
          </cell>
          <cell r="AL26">
            <v>10</v>
          </cell>
          <cell r="AM26">
            <v>8</v>
          </cell>
          <cell r="AN26">
            <v>8</v>
          </cell>
          <cell r="AO26">
            <v>31</v>
          </cell>
          <cell r="AP26">
            <v>0</v>
          </cell>
          <cell r="AQ26">
            <v>0</v>
          </cell>
          <cell r="AR26">
            <v>0</v>
          </cell>
          <cell r="AS26">
            <v>0</v>
          </cell>
          <cell r="AT26">
            <v>0</v>
          </cell>
          <cell r="AU26">
            <v>0</v>
          </cell>
          <cell r="AV26">
            <v>309</v>
          </cell>
          <cell r="AY26" t="str">
            <v>02020101020101</v>
          </cell>
          <cell r="AZ26">
            <v>8</v>
          </cell>
          <cell r="BA26">
            <v>16</v>
          </cell>
          <cell r="BB26">
            <v>2</v>
          </cell>
          <cell r="BC26">
            <v>7</v>
          </cell>
          <cell r="BD26">
            <v>128</v>
          </cell>
          <cell r="BE26">
            <v>1.7</v>
          </cell>
          <cell r="BF26">
            <v>0</v>
          </cell>
          <cell r="BG26">
            <v>8</v>
          </cell>
          <cell r="BH26">
            <v>0</v>
          </cell>
          <cell r="BI26">
            <v>162.69999999999999</v>
          </cell>
          <cell r="BL26" t="str">
            <v>0202010101</v>
          </cell>
          <cell r="BM26">
            <v>230</v>
          </cell>
        </row>
        <row r="27">
          <cell r="Q27" t="str">
            <v>27 ZONA LIBRE</v>
          </cell>
          <cell r="AH27" t="str">
            <v>02020102020101</v>
          </cell>
          <cell r="AI27">
            <v>252</v>
          </cell>
          <cell r="AJ27">
            <v>0</v>
          </cell>
          <cell r="AK27">
            <v>0</v>
          </cell>
          <cell r="AL27">
            <v>10</v>
          </cell>
          <cell r="AM27">
            <v>8</v>
          </cell>
          <cell r="AN27">
            <v>8</v>
          </cell>
          <cell r="AO27">
            <v>31</v>
          </cell>
          <cell r="AP27">
            <v>0</v>
          </cell>
          <cell r="AQ27">
            <v>0</v>
          </cell>
          <cell r="AR27">
            <v>0</v>
          </cell>
          <cell r="AS27">
            <v>0</v>
          </cell>
          <cell r="AT27">
            <v>0</v>
          </cell>
          <cell r="AU27">
            <v>0</v>
          </cell>
          <cell r="AV27">
            <v>309</v>
          </cell>
          <cell r="AY27" t="str">
            <v>02020102020101</v>
          </cell>
          <cell r="AZ27">
            <v>8</v>
          </cell>
          <cell r="BA27">
            <v>16</v>
          </cell>
          <cell r="BB27">
            <v>2</v>
          </cell>
          <cell r="BC27">
            <v>7</v>
          </cell>
          <cell r="BD27">
            <v>128</v>
          </cell>
          <cell r="BE27">
            <v>1.7</v>
          </cell>
          <cell r="BF27">
            <v>0</v>
          </cell>
          <cell r="BG27">
            <v>8</v>
          </cell>
          <cell r="BH27">
            <v>0</v>
          </cell>
          <cell r="BI27">
            <v>162.69999999999999</v>
          </cell>
          <cell r="BL27" t="str">
            <v>0202010101</v>
          </cell>
          <cell r="BM27">
            <v>230</v>
          </cell>
        </row>
        <row r="28">
          <cell r="Q28" t="str">
            <v>29 PARQUE LEFEVRE</v>
          </cell>
          <cell r="AH28" t="str">
            <v>07020101020101</v>
          </cell>
          <cell r="AI28">
            <v>0</v>
          </cell>
          <cell r="AJ28">
            <v>35</v>
          </cell>
          <cell r="AK28">
            <v>0</v>
          </cell>
          <cell r="AL28">
            <v>10</v>
          </cell>
          <cell r="AM28">
            <v>8</v>
          </cell>
          <cell r="AN28">
            <v>8</v>
          </cell>
          <cell r="AO28">
            <v>0</v>
          </cell>
          <cell r="AP28">
            <v>0</v>
          </cell>
          <cell r="AQ28">
            <v>0</v>
          </cell>
          <cell r="AR28">
            <v>0</v>
          </cell>
          <cell r="AS28">
            <v>0</v>
          </cell>
          <cell r="AT28">
            <v>0</v>
          </cell>
          <cell r="AU28">
            <v>0</v>
          </cell>
          <cell r="AV28">
            <v>61</v>
          </cell>
          <cell r="AY28" t="str">
            <v>07020101020101</v>
          </cell>
          <cell r="AZ28">
            <v>5</v>
          </cell>
          <cell r="BA28">
            <v>10</v>
          </cell>
          <cell r="BB28">
            <v>2</v>
          </cell>
          <cell r="BC28">
            <v>7</v>
          </cell>
          <cell r="BD28">
            <v>80</v>
          </cell>
          <cell r="BE28">
            <v>1.1000000000000001</v>
          </cell>
          <cell r="BF28">
            <v>0</v>
          </cell>
          <cell r="BG28">
            <v>8</v>
          </cell>
          <cell r="BH28">
            <v>10</v>
          </cell>
          <cell r="BI28">
            <v>118.1</v>
          </cell>
          <cell r="BL28" t="str">
            <v>0702010101</v>
          </cell>
          <cell r="BM28">
            <v>400</v>
          </cell>
        </row>
        <row r="29">
          <cell r="H29" t="str">
            <v>SI</v>
          </cell>
          <cell r="I29">
            <v>1</v>
          </cell>
          <cell r="L29" t="str">
            <v>Casa</v>
          </cell>
          <cell r="M29">
            <v>1</v>
          </cell>
          <cell r="Q29" t="str">
            <v xml:space="preserve">30 DAVID </v>
          </cell>
          <cell r="AH29" t="str">
            <v>07020102020101</v>
          </cell>
          <cell r="AI29">
            <v>0</v>
          </cell>
          <cell r="AJ29">
            <v>35</v>
          </cell>
          <cell r="AK29">
            <v>0</v>
          </cell>
          <cell r="AL29">
            <v>10</v>
          </cell>
          <cell r="AM29">
            <v>8</v>
          </cell>
          <cell r="AN29">
            <v>8</v>
          </cell>
          <cell r="AO29">
            <v>0</v>
          </cell>
          <cell r="AP29">
            <v>0</v>
          </cell>
          <cell r="AQ29">
            <v>0</v>
          </cell>
          <cell r="AR29">
            <v>0</v>
          </cell>
          <cell r="AS29">
            <v>0</v>
          </cell>
          <cell r="AT29">
            <v>0</v>
          </cell>
          <cell r="AU29">
            <v>0</v>
          </cell>
          <cell r="AV29">
            <v>61</v>
          </cell>
          <cell r="AY29" t="str">
            <v>07020102020101</v>
          </cell>
          <cell r="AZ29">
            <v>5</v>
          </cell>
          <cell r="BA29">
            <v>10</v>
          </cell>
          <cell r="BB29">
            <v>2</v>
          </cell>
          <cell r="BC29">
            <v>7</v>
          </cell>
          <cell r="BD29">
            <v>80</v>
          </cell>
          <cell r="BE29">
            <v>1.1000000000000001</v>
          </cell>
          <cell r="BF29">
            <v>0</v>
          </cell>
          <cell r="BG29">
            <v>8</v>
          </cell>
          <cell r="BH29">
            <v>10</v>
          </cell>
          <cell r="BI29">
            <v>118.1</v>
          </cell>
          <cell r="BL29" t="str">
            <v>0702010101</v>
          </cell>
          <cell r="BM29">
            <v>400</v>
          </cell>
        </row>
        <row r="30">
          <cell r="H30" t="str">
            <v>NO</v>
          </cell>
          <cell r="I30">
            <v>2</v>
          </cell>
          <cell r="L30" t="str">
            <v>Apartamento</v>
          </cell>
          <cell r="M30">
            <v>2</v>
          </cell>
          <cell r="Q30" t="str">
            <v>31 BANCA PRIVADA - BANCO GENERAL</v>
          </cell>
          <cell r="AH30" t="str">
            <v>10020101020101</v>
          </cell>
          <cell r="AI30">
            <v>0</v>
          </cell>
          <cell r="AJ30">
            <v>35</v>
          </cell>
          <cell r="AK30">
            <v>0</v>
          </cell>
          <cell r="AL30">
            <v>10</v>
          </cell>
          <cell r="AM30">
            <v>8</v>
          </cell>
          <cell r="AN30">
            <v>8</v>
          </cell>
          <cell r="AO30">
            <v>0</v>
          </cell>
          <cell r="AP30">
            <v>0</v>
          </cell>
          <cell r="AQ30">
            <v>0</v>
          </cell>
          <cell r="AR30">
            <v>0</v>
          </cell>
          <cell r="AS30">
            <v>0</v>
          </cell>
          <cell r="AT30">
            <v>0</v>
          </cell>
          <cell r="AU30">
            <v>0</v>
          </cell>
          <cell r="AV30">
            <v>61</v>
          </cell>
          <cell r="AY30" t="str">
            <v>10020101020101</v>
          </cell>
          <cell r="AZ30">
            <v>5</v>
          </cell>
          <cell r="BA30">
            <v>10</v>
          </cell>
          <cell r="BB30">
            <v>2</v>
          </cell>
          <cell r="BC30">
            <v>7</v>
          </cell>
          <cell r="BD30">
            <v>80</v>
          </cell>
          <cell r="BE30">
            <v>1.1000000000000001</v>
          </cell>
          <cell r="BF30">
            <v>0</v>
          </cell>
          <cell r="BG30">
            <v>8</v>
          </cell>
          <cell r="BH30">
            <v>10</v>
          </cell>
          <cell r="BI30">
            <v>118.1</v>
          </cell>
          <cell r="BL30" t="str">
            <v>1002010101</v>
          </cell>
          <cell r="BM30">
            <v>400</v>
          </cell>
        </row>
        <row r="31">
          <cell r="L31" t="str">
            <v>Unidad de Vivienda</v>
          </cell>
          <cell r="M31">
            <v>3</v>
          </cell>
          <cell r="Q31" t="str">
            <v>32 PLAZA LAS AMERICAS</v>
          </cell>
          <cell r="AH31" t="str">
            <v>10020102020101</v>
          </cell>
          <cell r="AI31">
            <v>0</v>
          </cell>
          <cell r="AJ31">
            <v>35</v>
          </cell>
          <cell r="AK31">
            <v>0</v>
          </cell>
          <cell r="AL31">
            <v>10</v>
          </cell>
          <cell r="AM31">
            <v>8</v>
          </cell>
          <cell r="AN31">
            <v>8</v>
          </cell>
          <cell r="AO31">
            <v>0</v>
          </cell>
          <cell r="AP31">
            <v>0</v>
          </cell>
          <cell r="AQ31">
            <v>0</v>
          </cell>
          <cell r="AR31">
            <v>0</v>
          </cell>
          <cell r="AS31">
            <v>0</v>
          </cell>
          <cell r="AT31">
            <v>0</v>
          </cell>
          <cell r="AU31">
            <v>0</v>
          </cell>
          <cell r="AV31">
            <v>61</v>
          </cell>
          <cell r="AY31" t="str">
            <v>10020102020101</v>
          </cell>
          <cell r="AZ31">
            <v>5</v>
          </cell>
          <cell r="BA31">
            <v>10</v>
          </cell>
          <cell r="BB31">
            <v>2</v>
          </cell>
          <cell r="BC31">
            <v>7</v>
          </cell>
          <cell r="BD31">
            <v>80</v>
          </cell>
          <cell r="BE31">
            <v>1.1000000000000001</v>
          </cell>
          <cell r="BF31">
            <v>0</v>
          </cell>
          <cell r="BG31">
            <v>8</v>
          </cell>
          <cell r="BH31">
            <v>10</v>
          </cell>
          <cell r="BI31">
            <v>118.1</v>
          </cell>
          <cell r="BL31" t="str">
            <v>1002010101</v>
          </cell>
          <cell r="BM31">
            <v>400</v>
          </cell>
        </row>
        <row r="32">
          <cell r="Q32" t="str">
            <v>33 CORONADO</v>
          </cell>
          <cell r="AH32" t="str">
            <v>05020101020101</v>
          </cell>
          <cell r="AI32">
            <v>0</v>
          </cell>
          <cell r="AJ32">
            <v>0</v>
          </cell>
          <cell r="AK32">
            <v>0</v>
          </cell>
          <cell r="AL32">
            <v>10</v>
          </cell>
          <cell r="AM32">
            <v>8</v>
          </cell>
          <cell r="AN32">
            <v>8</v>
          </cell>
          <cell r="AO32">
            <v>0</v>
          </cell>
          <cell r="AP32">
            <v>0</v>
          </cell>
          <cell r="AQ32">
            <v>0</v>
          </cell>
          <cell r="AR32">
            <v>0</v>
          </cell>
          <cell r="AS32">
            <v>0</v>
          </cell>
          <cell r="AT32">
            <v>0</v>
          </cell>
          <cell r="AU32">
            <v>0</v>
          </cell>
          <cell r="AV32">
            <v>26</v>
          </cell>
          <cell r="AY32" t="str">
            <v>05020101020101</v>
          </cell>
          <cell r="AZ32">
            <v>5</v>
          </cell>
          <cell r="BA32">
            <v>10</v>
          </cell>
          <cell r="BB32">
            <v>2</v>
          </cell>
          <cell r="BC32">
            <v>7</v>
          </cell>
          <cell r="BD32">
            <v>80</v>
          </cell>
          <cell r="BE32">
            <v>1.1000000000000001</v>
          </cell>
          <cell r="BF32">
            <v>0</v>
          </cell>
          <cell r="BG32">
            <v>8</v>
          </cell>
          <cell r="BH32">
            <v>0</v>
          </cell>
          <cell r="BI32">
            <v>108.1</v>
          </cell>
          <cell r="BL32" t="str">
            <v>0502010101</v>
          </cell>
          <cell r="BM32">
            <v>400</v>
          </cell>
        </row>
        <row r="33">
          <cell r="Q33" t="str">
            <v>34 ALBROOK MALL</v>
          </cell>
          <cell r="AH33" t="str">
            <v>05020102020101</v>
          </cell>
          <cell r="AI33">
            <v>0</v>
          </cell>
          <cell r="AJ33">
            <v>0</v>
          </cell>
          <cell r="AK33">
            <v>0</v>
          </cell>
          <cell r="AL33">
            <v>10</v>
          </cell>
          <cell r="AM33">
            <v>8</v>
          </cell>
          <cell r="AN33">
            <v>8</v>
          </cell>
          <cell r="AO33">
            <v>0</v>
          </cell>
          <cell r="AP33">
            <v>0</v>
          </cell>
          <cell r="AQ33">
            <v>0</v>
          </cell>
          <cell r="AR33">
            <v>0</v>
          </cell>
          <cell r="AS33">
            <v>0</v>
          </cell>
          <cell r="AT33">
            <v>0</v>
          </cell>
          <cell r="AU33">
            <v>0</v>
          </cell>
          <cell r="AV33">
            <v>26</v>
          </cell>
          <cell r="AY33" t="str">
            <v>05020102020101</v>
          </cell>
          <cell r="AZ33">
            <v>5</v>
          </cell>
          <cell r="BA33">
            <v>10</v>
          </cell>
          <cell r="BB33">
            <v>2</v>
          </cell>
          <cell r="BC33">
            <v>7</v>
          </cell>
          <cell r="BD33">
            <v>80</v>
          </cell>
          <cell r="BE33">
            <v>1.1000000000000001</v>
          </cell>
          <cell r="BF33">
            <v>0</v>
          </cell>
          <cell r="BG33">
            <v>8</v>
          </cell>
          <cell r="BH33">
            <v>0</v>
          </cell>
          <cell r="BI33">
            <v>108.1</v>
          </cell>
          <cell r="BL33" t="str">
            <v>0502010101</v>
          </cell>
          <cell r="BM33">
            <v>400</v>
          </cell>
        </row>
        <row r="34">
          <cell r="L34" t="str">
            <v>NO</v>
          </cell>
          <cell r="M34">
            <v>1</v>
          </cell>
          <cell r="Q34" t="str">
            <v xml:space="preserve">35 CDP LOS PUEBLOS </v>
          </cell>
          <cell r="AH34" t="str">
            <v>11020101020101</v>
          </cell>
          <cell r="AI34">
            <v>0</v>
          </cell>
          <cell r="AJ34">
            <v>35</v>
          </cell>
          <cell r="AK34">
            <v>0</v>
          </cell>
          <cell r="AL34">
            <v>10</v>
          </cell>
          <cell r="AM34">
            <v>8</v>
          </cell>
          <cell r="AN34">
            <v>8</v>
          </cell>
          <cell r="AO34">
            <v>0</v>
          </cell>
          <cell r="AP34">
            <v>0</v>
          </cell>
          <cell r="AQ34">
            <v>0</v>
          </cell>
          <cell r="AR34">
            <v>0</v>
          </cell>
          <cell r="AS34">
            <v>0</v>
          </cell>
          <cell r="AT34">
            <v>0</v>
          </cell>
          <cell r="AU34">
            <v>0</v>
          </cell>
          <cell r="AV34">
            <v>61</v>
          </cell>
          <cell r="AY34" t="str">
            <v>11020101020101</v>
          </cell>
          <cell r="AZ34">
            <v>5</v>
          </cell>
          <cell r="BA34">
            <v>10</v>
          </cell>
          <cell r="BB34">
            <v>2</v>
          </cell>
          <cell r="BC34">
            <v>7</v>
          </cell>
          <cell r="BD34">
            <v>80</v>
          </cell>
          <cell r="BE34">
            <v>1.1000000000000001</v>
          </cell>
          <cell r="BF34">
            <v>0</v>
          </cell>
          <cell r="BG34">
            <v>8</v>
          </cell>
          <cell r="BH34">
            <v>0</v>
          </cell>
          <cell r="BI34">
            <v>108.1</v>
          </cell>
          <cell r="BL34" t="str">
            <v>1102010101</v>
          </cell>
          <cell r="BM34">
            <v>400</v>
          </cell>
        </row>
        <row r="35">
          <cell r="L35" t="str">
            <v>SI</v>
          </cell>
          <cell r="M35">
            <v>2</v>
          </cell>
          <cell r="Q35" t="str">
            <v>37 PENONOME</v>
          </cell>
          <cell r="AH35" t="str">
            <v>11020102020101</v>
          </cell>
          <cell r="AI35">
            <v>0</v>
          </cell>
          <cell r="AJ35">
            <v>35</v>
          </cell>
          <cell r="AK35">
            <v>0</v>
          </cell>
          <cell r="AL35">
            <v>10</v>
          </cell>
          <cell r="AM35">
            <v>8</v>
          </cell>
          <cell r="AN35">
            <v>8</v>
          </cell>
          <cell r="AO35">
            <v>0</v>
          </cell>
          <cell r="AP35">
            <v>0</v>
          </cell>
          <cell r="AQ35">
            <v>0</v>
          </cell>
          <cell r="AR35">
            <v>0</v>
          </cell>
          <cell r="AS35">
            <v>0</v>
          </cell>
          <cell r="AT35">
            <v>0</v>
          </cell>
          <cell r="AU35">
            <v>0</v>
          </cell>
          <cell r="AV35">
            <v>61</v>
          </cell>
          <cell r="AY35" t="str">
            <v>11020102020101</v>
          </cell>
          <cell r="AZ35">
            <v>5</v>
          </cell>
          <cell r="BA35">
            <v>10</v>
          </cell>
          <cell r="BB35">
            <v>2</v>
          </cell>
          <cell r="BC35">
            <v>7</v>
          </cell>
          <cell r="BD35">
            <v>80</v>
          </cell>
          <cell r="BE35">
            <v>1.1000000000000001</v>
          </cell>
          <cell r="BF35">
            <v>0</v>
          </cell>
          <cell r="BG35">
            <v>8</v>
          </cell>
          <cell r="BH35">
            <v>0</v>
          </cell>
          <cell r="BI35">
            <v>108.1</v>
          </cell>
          <cell r="BL35" t="str">
            <v>1102010101</v>
          </cell>
          <cell r="BM35">
            <v>400</v>
          </cell>
        </row>
        <row r="36">
          <cell r="Q36" t="str">
            <v>38 ALBROOK</v>
          </cell>
          <cell r="AH36" t="str">
            <v>06020101020101</v>
          </cell>
          <cell r="AI36">
            <v>0</v>
          </cell>
          <cell r="AJ36">
            <v>0</v>
          </cell>
          <cell r="AK36">
            <v>35</v>
          </cell>
          <cell r="AL36">
            <v>10</v>
          </cell>
          <cell r="AM36">
            <v>8</v>
          </cell>
          <cell r="AN36">
            <v>8</v>
          </cell>
          <cell r="AO36">
            <v>0</v>
          </cell>
          <cell r="AP36">
            <v>0</v>
          </cell>
          <cell r="AQ36">
            <v>0</v>
          </cell>
          <cell r="AR36">
            <v>0</v>
          </cell>
          <cell r="AS36">
            <v>0</v>
          </cell>
          <cell r="AT36">
            <v>0</v>
          </cell>
          <cell r="AU36">
            <v>0</v>
          </cell>
          <cell r="AV36">
            <v>61</v>
          </cell>
          <cell r="AY36" t="str">
            <v>06020101020101</v>
          </cell>
          <cell r="AZ36">
            <v>5</v>
          </cell>
          <cell r="BA36">
            <v>10</v>
          </cell>
          <cell r="BB36">
            <v>2</v>
          </cell>
          <cell r="BC36">
            <v>7</v>
          </cell>
          <cell r="BD36">
            <v>80</v>
          </cell>
          <cell r="BE36">
            <v>1.1000000000000001</v>
          </cell>
          <cell r="BF36">
            <v>0</v>
          </cell>
          <cell r="BG36">
            <v>8</v>
          </cell>
          <cell r="BH36">
            <v>0</v>
          </cell>
          <cell r="BI36">
            <v>108.1</v>
          </cell>
          <cell r="BL36" t="str">
            <v>0602010101</v>
          </cell>
          <cell r="BM36">
            <v>150</v>
          </cell>
        </row>
        <row r="37">
          <cell r="Q37" t="str">
            <v>39 VISTA ALEGRE</v>
          </cell>
          <cell r="AH37" t="str">
            <v>06020102020101</v>
          </cell>
          <cell r="AI37">
            <v>0</v>
          </cell>
          <cell r="AJ37">
            <v>0</v>
          </cell>
          <cell r="AK37">
            <v>35</v>
          </cell>
          <cell r="AL37">
            <v>10</v>
          </cell>
          <cell r="AM37">
            <v>8</v>
          </cell>
          <cell r="AN37">
            <v>8</v>
          </cell>
          <cell r="AO37">
            <v>0</v>
          </cell>
          <cell r="AP37">
            <v>0</v>
          </cell>
          <cell r="AQ37">
            <v>0</v>
          </cell>
          <cell r="AR37">
            <v>0</v>
          </cell>
          <cell r="AS37">
            <v>0</v>
          </cell>
          <cell r="AT37">
            <v>0</v>
          </cell>
          <cell r="AU37">
            <v>0</v>
          </cell>
          <cell r="AV37">
            <v>61</v>
          </cell>
          <cell r="AY37" t="str">
            <v>06020102020101</v>
          </cell>
          <cell r="AZ37">
            <v>5</v>
          </cell>
          <cell r="BA37">
            <v>10</v>
          </cell>
          <cell r="BB37">
            <v>2</v>
          </cell>
          <cell r="BC37">
            <v>7</v>
          </cell>
          <cell r="BD37">
            <v>80</v>
          </cell>
          <cell r="BE37">
            <v>1.1000000000000001</v>
          </cell>
          <cell r="BF37">
            <v>0</v>
          </cell>
          <cell r="BG37">
            <v>8</v>
          </cell>
          <cell r="BH37">
            <v>0</v>
          </cell>
          <cell r="BI37">
            <v>108.1</v>
          </cell>
          <cell r="BL37" t="str">
            <v>0602010101</v>
          </cell>
          <cell r="BM37">
            <v>150</v>
          </cell>
        </row>
        <row r="38">
          <cell r="L38" t="str">
            <v>SI</v>
          </cell>
          <cell r="M38">
            <v>1</v>
          </cell>
          <cell r="Q38" t="str">
            <v xml:space="preserve">40 LAS TABLAS </v>
          </cell>
          <cell r="AH38" t="str">
            <v>11010101020101</v>
          </cell>
          <cell r="AI38">
            <v>0</v>
          </cell>
          <cell r="AJ38">
            <v>35</v>
          </cell>
          <cell r="AK38">
            <v>0</v>
          </cell>
          <cell r="AL38">
            <v>10</v>
          </cell>
          <cell r="AM38">
            <v>8</v>
          </cell>
          <cell r="AN38">
            <v>8</v>
          </cell>
          <cell r="AO38">
            <v>0</v>
          </cell>
          <cell r="AP38">
            <v>0</v>
          </cell>
          <cell r="AQ38">
            <v>0</v>
          </cell>
          <cell r="AR38">
            <v>0</v>
          </cell>
          <cell r="AS38">
            <v>0</v>
          </cell>
          <cell r="AT38">
            <v>0</v>
          </cell>
          <cell r="AU38">
            <v>0</v>
          </cell>
          <cell r="AV38">
            <v>61</v>
          </cell>
          <cell r="AY38" t="str">
            <v>11010101020101</v>
          </cell>
          <cell r="AZ38">
            <v>5</v>
          </cell>
          <cell r="BA38">
            <v>10</v>
          </cell>
          <cell r="BB38">
            <v>2</v>
          </cell>
          <cell r="BC38">
            <v>7</v>
          </cell>
          <cell r="BD38">
            <v>80</v>
          </cell>
          <cell r="BE38">
            <v>1.1000000000000001</v>
          </cell>
          <cell r="BF38">
            <v>0</v>
          </cell>
          <cell r="BG38">
            <v>8</v>
          </cell>
          <cell r="BH38">
            <v>0</v>
          </cell>
          <cell r="BI38">
            <v>108.1</v>
          </cell>
          <cell r="BL38" t="str">
            <v>1101010101</v>
          </cell>
          <cell r="BM38">
            <v>400</v>
          </cell>
        </row>
        <row r="39">
          <cell r="L39" t="str">
            <v>NO</v>
          </cell>
          <cell r="M39">
            <v>2</v>
          </cell>
          <cell r="Q39" t="str">
            <v>41 24 DE DICIEMBRE</v>
          </cell>
          <cell r="AH39" t="str">
            <v>11010102020101</v>
          </cell>
          <cell r="AI39">
            <v>0</v>
          </cell>
          <cell r="AJ39">
            <v>35</v>
          </cell>
          <cell r="AK39">
            <v>0</v>
          </cell>
          <cell r="AL39">
            <v>10</v>
          </cell>
          <cell r="AM39">
            <v>8</v>
          </cell>
          <cell r="AN39">
            <v>8</v>
          </cell>
          <cell r="AO39">
            <v>0</v>
          </cell>
          <cell r="AP39">
            <v>0</v>
          </cell>
          <cell r="AQ39">
            <v>0</v>
          </cell>
          <cell r="AR39">
            <v>0</v>
          </cell>
          <cell r="AS39">
            <v>0</v>
          </cell>
          <cell r="AT39">
            <v>0</v>
          </cell>
          <cell r="AU39">
            <v>0</v>
          </cell>
          <cell r="AV39">
            <v>61</v>
          </cell>
          <cell r="AY39" t="str">
            <v>11010102020101</v>
          </cell>
          <cell r="AZ39">
            <v>5</v>
          </cell>
          <cell r="BA39">
            <v>10</v>
          </cell>
          <cell r="BB39">
            <v>2</v>
          </cell>
          <cell r="BC39">
            <v>7</v>
          </cell>
          <cell r="BD39">
            <v>80</v>
          </cell>
          <cell r="BE39">
            <v>1.1000000000000001</v>
          </cell>
          <cell r="BF39">
            <v>0</v>
          </cell>
          <cell r="BG39">
            <v>8</v>
          </cell>
          <cell r="BH39">
            <v>0</v>
          </cell>
          <cell r="BI39">
            <v>108.1</v>
          </cell>
          <cell r="BL39" t="str">
            <v>1101010101</v>
          </cell>
          <cell r="BM39">
            <v>400</v>
          </cell>
        </row>
        <row r="40">
          <cell r="Q40" t="str">
            <v>42 DAVID TERRONAL</v>
          </cell>
          <cell r="AH40" t="str">
            <v>05010101020101</v>
          </cell>
          <cell r="AI40">
            <v>0</v>
          </cell>
          <cell r="AJ40">
            <v>0</v>
          </cell>
          <cell r="AK40">
            <v>0</v>
          </cell>
          <cell r="AL40">
            <v>10</v>
          </cell>
          <cell r="AM40">
            <v>8</v>
          </cell>
          <cell r="AN40">
            <v>8</v>
          </cell>
          <cell r="AO40">
            <v>0</v>
          </cell>
          <cell r="AP40">
            <v>0</v>
          </cell>
          <cell r="AQ40">
            <v>0</v>
          </cell>
          <cell r="AR40">
            <v>0</v>
          </cell>
          <cell r="AS40">
            <v>0</v>
          </cell>
          <cell r="AT40">
            <v>0</v>
          </cell>
          <cell r="AU40">
            <v>0</v>
          </cell>
          <cell r="AV40">
            <v>26</v>
          </cell>
          <cell r="AY40" t="str">
            <v>05010101020101</v>
          </cell>
          <cell r="AZ40">
            <v>5</v>
          </cell>
          <cell r="BA40">
            <v>10</v>
          </cell>
          <cell r="BB40">
            <v>2</v>
          </cell>
          <cell r="BC40">
            <v>7</v>
          </cell>
          <cell r="BD40">
            <v>80</v>
          </cell>
          <cell r="BE40">
            <v>1.1000000000000001</v>
          </cell>
          <cell r="BF40">
            <v>0</v>
          </cell>
          <cell r="BG40">
            <v>8</v>
          </cell>
          <cell r="BH40">
            <v>0</v>
          </cell>
          <cell r="BI40">
            <v>108.1</v>
          </cell>
          <cell r="BL40" t="str">
            <v>0501010101</v>
          </cell>
          <cell r="BM40">
            <v>400</v>
          </cell>
        </row>
        <row r="41">
          <cell r="Q41" t="str">
            <v>43 COSTA DEL ESTE</v>
          </cell>
          <cell r="AH41" t="str">
            <v>05010102020101</v>
          </cell>
          <cell r="AI41">
            <v>0</v>
          </cell>
          <cell r="AJ41">
            <v>0</v>
          </cell>
          <cell r="AK41">
            <v>0</v>
          </cell>
          <cell r="AL41">
            <v>10</v>
          </cell>
          <cell r="AM41">
            <v>8</v>
          </cell>
          <cell r="AN41">
            <v>8</v>
          </cell>
          <cell r="AO41">
            <v>0</v>
          </cell>
          <cell r="AP41">
            <v>0</v>
          </cell>
          <cell r="AQ41">
            <v>0</v>
          </cell>
          <cell r="AR41">
            <v>0</v>
          </cell>
          <cell r="AS41">
            <v>0</v>
          </cell>
          <cell r="AT41">
            <v>0</v>
          </cell>
          <cell r="AU41">
            <v>0</v>
          </cell>
          <cell r="AV41">
            <v>26</v>
          </cell>
          <cell r="AY41" t="str">
            <v>05010102020101</v>
          </cell>
          <cell r="AZ41">
            <v>5</v>
          </cell>
          <cell r="BA41">
            <v>10</v>
          </cell>
          <cell r="BB41">
            <v>2</v>
          </cell>
          <cell r="BC41">
            <v>7</v>
          </cell>
          <cell r="BD41">
            <v>80</v>
          </cell>
          <cell r="BE41">
            <v>1.1000000000000001</v>
          </cell>
          <cell r="BF41">
            <v>0</v>
          </cell>
          <cell r="BG41">
            <v>8</v>
          </cell>
          <cell r="BH41">
            <v>0</v>
          </cell>
          <cell r="BI41">
            <v>108.1</v>
          </cell>
          <cell r="BL41" t="str">
            <v>0501010101</v>
          </cell>
          <cell r="BM41">
            <v>400</v>
          </cell>
        </row>
        <row r="42">
          <cell r="H42" t="str">
            <v>Descuento Directo</v>
          </cell>
          <cell r="I42">
            <v>1</v>
          </cell>
          <cell r="Q42" t="str">
            <v>44 MULTIPLAZA PACIFIC</v>
          </cell>
          <cell r="AH42" t="str">
            <v>07010101020101</v>
          </cell>
          <cell r="AI42">
            <v>0</v>
          </cell>
          <cell r="AJ42">
            <v>35</v>
          </cell>
          <cell r="AK42">
            <v>0</v>
          </cell>
          <cell r="AL42">
            <v>10</v>
          </cell>
          <cell r="AM42">
            <v>8</v>
          </cell>
          <cell r="AN42">
            <v>8</v>
          </cell>
          <cell r="AO42">
            <v>0</v>
          </cell>
          <cell r="AP42">
            <v>0</v>
          </cell>
          <cell r="AQ42">
            <v>0</v>
          </cell>
          <cell r="AR42">
            <v>0</v>
          </cell>
          <cell r="AS42">
            <v>0</v>
          </cell>
          <cell r="AT42">
            <v>0</v>
          </cell>
          <cell r="AU42">
            <v>0</v>
          </cell>
          <cell r="AV42">
            <v>61</v>
          </cell>
          <cell r="AY42" t="str">
            <v>07010101020101</v>
          </cell>
          <cell r="AZ42">
            <v>5</v>
          </cell>
          <cell r="BA42">
            <v>10</v>
          </cell>
          <cell r="BB42">
            <v>2</v>
          </cell>
          <cell r="BC42">
            <v>7</v>
          </cell>
          <cell r="BD42">
            <v>80</v>
          </cell>
          <cell r="BE42">
            <v>1.1000000000000001</v>
          </cell>
          <cell r="BF42">
            <v>0</v>
          </cell>
          <cell r="BG42">
            <v>8</v>
          </cell>
          <cell r="BH42">
            <v>10</v>
          </cell>
          <cell r="BI42">
            <v>118.1</v>
          </cell>
          <cell r="BL42" t="str">
            <v>0701010101</v>
          </cell>
          <cell r="BM42">
            <v>400</v>
          </cell>
        </row>
        <row r="43">
          <cell r="H43" t="str">
            <v>Cargo a Cuenta Ahorro</v>
          </cell>
          <cell r="I43">
            <v>2</v>
          </cell>
          <cell r="Q43" t="str">
            <v>44 MULTIPLAZA</v>
          </cell>
          <cell r="AH43" t="str">
            <v>07010102020101</v>
          </cell>
          <cell r="AI43">
            <v>0</v>
          </cell>
          <cell r="AJ43">
            <v>35</v>
          </cell>
          <cell r="AK43">
            <v>0</v>
          </cell>
          <cell r="AL43">
            <v>10</v>
          </cell>
          <cell r="AM43">
            <v>8</v>
          </cell>
          <cell r="AN43">
            <v>8</v>
          </cell>
          <cell r="AO43">
            <v>0</v>
          </cell>
          <cell r="AP43">
            <v>0</v>
          </cell>
          <cell r="AQ43">
            <v>0</v>
          </cell>
          <cell r="AR43">
            <v>0</v>
          </cell>
          <cell r="AS43">
            <v>0</v>
          </cell>
          <cell r="AT43">
            <v>0</v>
          </cell>
          <cell r="AU43">
            <v>0</v>
          </cell>
          <cell r="AV43">
            <v>61</v>
          </cell>
          <cell r="AY43" t="str">
            <v>07010102020101</v>
          </cell>
          <cell r="AZ43">
            <v>5</v>
          </cell>
          <cell r="BA43">
            <v>10</v>
          </cell>
          <cell r="BB43">
            <v>2</v>
          </cell>
          <cell r="BC43">
            <v>7</v>
          </cell>
          <cell r="BD43">
            <v>80</v>
          </cell>
          <cell r="BE43">
            <v>1.1000000000000001</v>
          </cell>
          <cell r="BF43">
            <v>0</v>
          </cell>
          <cell r="BG43">
            <v>8</v>
          </cell>
          <cell r="BH43">
            <v>10</v>
          </cell>
          <cell r="BI43">
            <v>118.1</v>
          </cell>
          <cell r="BL43" t="str">
            <v>0701010101</v>
          </cell>
          <cell r="BM43">
            <v>400</v>
          </cell>
        </row>
        <row r="44">
          <cell r="H44" t="str">
            <v>Cargo a Cuenta Corriente</v>
          </cell>
          <cell r="I44">
            <v>3</v>
          </cell>
          <cell r="Q44" t="str">
            <v>45 HOSPITAL PUNTA PACIFICA</v>
          </cell>
          <cell r="AH44" t="str">
            <v>10010101020101</v>
          </cell>
          <cell r="AI44">
            <v>0</v>
          </cell>
          <cell r="AJ44">
            <v>35</v>
          </cell>
          <cell r="AK44">
            <v>0</v>
          </cell>
          <cell r="AL44">
            <v>10</v>
          </cell>
          <cell r="AM44">
            <v>8</v>
          </cell>
          <cell r="AN44">
            <v>8</v>
          </cell>
          <cell r="AO44">
            <v>0</v>
          </cell>
          <cell r="AP44">
            <v>0</v>
          </cell>
          <cell r="AQ44">
            <v>0</v>
          </cell>
          <cell r="AR44">
            <v>0</v>
          </cell>
          <cell r="AS44">
            <v>0</v>
          </cell>
          <cell r="AT44">
            <v>0</v>
          </cell>
          <cell r="AU44">
            <v>0</v>
          </cell>
          <cell r="AV44">
            <v>61</v>
          </cell>
          <cell r="AY44" t="str">
            <v>10010101020101</v>
          </cell>
          <cell r="AZ44">
            <v>5</v>
          </cell>
          <cell r="BA44">
            <v>10</v>
          </cell>
          <cell r="BB44">
            <v>2</v>
          </cell>
          <cell r="BC44">
            <v>7</v>
          </cell>
          <cell r="BD44">
            <v>80</v>
          </cell>
          <cell r="BE44">
            <v>1.1000000000000001</v>
          </cell>
          <cell r="BF44">
            <v>0</v>
          </cell>
          <cell r="BG44">
            <v>8</v>
          </cell>
          <cell r="BH44">
            <v>10</v>
          </cell>
          <cell r="BI44">
            <v>118.1</v>
          </cell>
          <cell r="BL44" t="str">
            <v>1001010101</v>
          </cell>
          <cell r="BM44">
            <v>400</v>
          </cell>
        </row>
        <row r="45">
          <cell r="H45" t="str">
            <v>Cargo a Interes Plazo Fijo</v>
          </cell>
          <cell r="I45">
            <v>4</v>
          </cell>
          <cell r="Q45" t="str">
            <v xml:space="preserve">46 TERMINAL ALBROOK </v>
          </cell>
          <cell r="AH45" t="str">
            <v>10010102020101</v>
          </cell>
          <cell r="AI45">
            <v>0</v>
          </cell>
          <cell r="AJ45">
            <v>35</v>
          </cell>
          <cell r="AK45">
            <v>0</v>
          </cell>
          <cell r="AL45">
            <v>10</v>
          </cell>
          <cell r="AM45">
            <v>8</v>
          </cell>
          <cell r="AN45">
            <v>8</v>
          </cell>
          <cell r="AO45">
            <v>0</v>
          </cell>
          <cell r="AP45">
            <v>0</v>
          </cell>
          <cell r="AQ45">
            <v>0</v>
          </cell>
          <cell r="AR45">
            <v>0</v>
          </cell>
          <cell r="AS45">
            <v>0</v>
          </cell>
          <cell r="AT45">
            <v>0</v>
          </cell>
          <cell r="AU45">
            <v>0</v>
          </cell>
          <cell r="AV45">
            <v>61</v>
          </cell>
          <cell r="AY45" t="str">
            <v>10010102020101</v>
          </cell>
          <cell r="AZ45">
            <v>5</v>
          </cell>
          <cell r="BA45">
            <v>10</v>
          </cell>
          <cell r="BB45">
            <v>2</v>
          </cell>
          <cell r="BC45">
            <v>7</v>
          </cell>
          <cell r="BD45">
            <v>80</v>
          </cell>
          <cell r="BE45">
            <v>1.1000000000000001</v>
          </cell>
          <cell r="BF45">
            <v>0</v>
          </cell>
          <cell r="BG45">
            <v>8</v>
          </cell>
          <cell r="BH45">
            <v>10</v>
          </cell>
          <cell r="BI45">
            <v>118.1</v>
          </cell>
          <cell r="BL45" t="str">
            <v>1001010101</v>
          </cell>
          <cell r="BM45">
            <v>400</v>
          </cell>
        </row>
        <row r="46">
          <cell r="H46" t="str">
            <v>Pago Voluntario</v>
          </cell>
          <cell r="I46">
            <v>5</v>
          </cell>
          <cell r="Q46" t="str">
            <v>47 CONCEPCION</v>
          </cell>
          <cell r="AH46" t="str">
            <v>06010101020101</v>
          </cell>
          <cell r="AI46">
            <v>0</v>
          </cell>
          <cell r="AJ46">
            <v>0</v>
          </cell>
          <cell r="AK46">
            <v>35</v>
          </cell>
          <cell r="AL46">
            <v>10</v>
          </cell>
          <cell r="AM46">
            <v>8</v>
          </cell>
          <cell r="AN46">
            <v>8</v>
          </cell>
          <cell r="AO46">
            <v>0</v>
          </cell>
          <cell r="AP46">
            <v>0</v>
          </cell>
          <cell r="AQ46">
            <v>0</v>
          </cell>
          <cell r="AR46">
            <v>0</v>
          </cell>
          <cell r="AS46">
            <v>0</v>
          </cell>
          <cell r="AT46">
            <v>0</v>
          </cell>
          <cell r="AU46">
            <v>0</v>
          </cell>
          <cell r="AV46">
            <v>61</v>
          </cell>
          <cell r="AY46" t="str">
            <v>06010101020101</v>
          </cell>
          <cell r="AZ46">
            <v>5</v>
          </cell>
          <cell r="BA46">
            <v>10</v>
          </cell>
          <cell r="BB46">
            <v>2</v>
          </cell>
          <cell r="BC46">
            <v>7</v>
          </cell>
          <cell r="BD46">
            <v>80</v>
          </cell>
          <cell r="BE46">
            <v>1.1000000000000001</v>
          </cell>
          <cell r="BF46">
            <v>0</v>
          </cell>
          <cell r="BG46">
            <v>8</v>
          </cell>
          <cell r="BH46">
            <v>0</v>
          </cell>
          <cell r="BI46">
            <v>108.1</v>
          </cell>
          <cell r="BL46" t="str">
            <v>0601010101</v>
          </cell>
          <cell r="BM46">
            <v>150</v>
          </cell>
        </row>
        <row r="47">
          <cell r="Q47" t="str">
            <v>48 BOQUETE</v>
          </cell>
          <cell r="AH47" t="str">
            <v>06010102020101</v>
          </cell>
          <cell r="AI47">
            <v>0</v>
          </cell>
          <cell r="AJ47">
            <v>0</v>
          </cell>
          <cell r="AK47">
            <v>35</v>
          </cell>
          <cell r="AL47">
            <v>10</v>
          </cell>
          <cell r="AM47">
            <v>8</v>
          </cell>
          <cell r="AN47">
            <v>8</v>
          </cell>
          <cell r="AO47">
            <v>0</v>
          </cell>
          <cell r="AP47">
            <v>0</v>
          </cell>
          <cell r="AQ47">
            <v>0</v>
          </cell>
          <cell r="AR47">
            <v>0</v>
          </cell>
          <cell r="AS47">
            <v>0</v>
          </cell>
          <cell r="AT47">
            <v>0</v>
          </cell>
          <cell r="AU47">
            <v>0</v>
          </cell>
          <cell r="AV47">
            <v>61</v>
          </cell>
          <cell r="AY47" t="str">
            <v>06010102020101</v>
          </cell>
          <cell r="AZ47">
            <v>5</v>
          </cell>
          <cell r="BA47">
            <v>10</v>
          </cell>
          <cell r="BB47">
            <v>2</v>
          </cell>
          <cell r="BC47">
            <v>7</v>
          </cell>
          <cell r="BD47">
            <v>80</v>
          </cell>
          <cell r="BE47">
            <v>1.1000000000000001</v>
          </cell>
          <cell r="BF47">
            <v>0</v>
          </cell>
          <cell r="BG47">
            <v>8</v>
          </cell>
          <cell r="BH47">
            <v>0</v>
          </cell>
          <cell r="BI47">
            <v>108.1</v>
          </cell>
          <cell r="BL47" t="str">
            <v>0601010101</v>
          </cell>
          <cell r="BM47">
            <v>150</v>
          </cell>
        </row>
        <row r="48">
          <cell r="Q48" t="str">
            <v>49 BRISAS DEL GOLF</v>
          </cell>
          <cell r="AH48" t="str">
            <v>04010301010101</v>
          </cell>
          <cell r="AI48">
            <v>252</v>
          </cell>
          <cell r="AJ48">
            <v>0</v>
          </cell>
          <cell r="AK48">
            <v>0</v>
          </cell>
          <cell r="AL48">
            <v>10</v>
          </cell>
          <cell r="AM48">
            <v>8</v>
          </cell>
          <cell r="AN48">
            <v>8</v>
          </cell>
          <cell r="AO48">
            <v>0</v>
          </cell>
          <cell r="AP48">
            <v>0</v>
          </cell>
          <cell r="AQ48">
            <v>0</v>
          </cell>
          <cell r="AR48">
            <v>0</v>
          </cell>
          <cell r="AS48">
            <v>0</v>
          </cell>
          <cell r="AT48">
            <v>0</v>
          </cell>
          <cell r="AU48">
            <v>0</v>
          </cell>
          <cell r="AV48">
            <v>278</v>
          </cell>
          <cell r="AY48" t="str">
            <v>04010301010101</v>
          </cell>
          <cell r="AZ48">
            <v>10</v>
          </cell>
          <cell r="BA48">
            <v>20</v>
          </cell>
          <cell r="BB48">
            <v>2</v>
          </cell>
          <cell r="BC48">
            <v>7</v>
          </cell>
          <cell r="BD48">
            <v>160</v>
          </cell>
          <cell r="BE48">
            <v>2.1</v>
          </cell>
          <cell r="BF48">
            <v>0</v>
          </cell>
          <cell r="BG48">
            <v>8</v>
          </cell>
          <cell r="BH48">
            <v>0</v>
          </cell>
          <cell r="BI48">
            <v>199.1</v>
          </cell>
          <cell r="BL48" t="str">
            <v>0401030101</v>
          </cell>
          <cell r="BM48">
            <v>350</v>
          </cell>
        </row>
        <row r="49">
          <cell r="Q49" t="str">
            <v>51 PUENTE CENTENARIO</v>
          </cell>
          <cell r="AH49" t="str">
            <v>04010302010101</v>
          </cell>
          <cell r="AI49">
            <v>252</v>
          </cell>
          <cell r="AJ49">
            <v>0</v>
          </cell>
          <cell r="AK49">
            <v>0</v>
          </cell>
          <cell r="AL49">
            <v>10</v>
          </cell>
          <cell r="AM49">
            <v>8</v>
          </cell>
          <cell r="AN49">
            <v>8</v>
          </cell>
          <cell r="AO49">
            <v>0</v>
          </cell>
          <cell r="AP49">
            <v>0</v>
          </cell>
          <cell r="AQ49">
            <v>0</v>
          </cell>
          <cell r="AR49">
            <v>0</v>
          </cell>
          <cell r="AS49">
            <v>0</v>
          </cell>
          <cell r="AT49">
            <v>0</v>
          </cell>
          <cell r="AU49">
            <v>0</v>
          </cell>
          <cell r="AV49">
            <v>278</v>
          </cell>
          <cell r="AY49" t="str">
            <v>04010302010101</v>
          </cell>
          <cell r="AZ49">
            <v>10</v>
          </cell>
          <cell r="BA49">
            <v>20</v>
          </cell>
          <cell r="BB49">
            <v>2</v>
          </cell>
          <cell r="BC49">
            <v>7</v>
          </cell>
          <cell r="BD49">
            <v>160</v>
          </cell>
          <cell r="BE49">
            <v>2.1</v>
          </cell>
          <cell r="BF49">
            <v>0</v>
          </cell>
          <cell r="BG49">
            <v>8</v>
          </cell>
          <cell r="BH49">
            <v>0</v>
          </cell>
          <cell r="BI49">
            <v>199.1</v>
          </cell>
          <cell r="BL49" t="str">
            <v>0401030101</v>
          </cell>
          <cell r="BM49">
            <v>350</v>
          </cell>
        </row>
        <row r="50">
          <cell r="Q50" t="str">
            <v>52 CDP GALERIAS OBARRIO</v>
          </cell>
          <cell r="AH50" t="str">
            <v>04010301020101</v>
          </cell>
          <cell r="AI50">
            <v>252</v>
          </cell>
          <cell r="AJ50">
            <v>0</v>
          </cell>
          <cell r="AK50">
            <v>0</v>
          </cell>
          <cell r="AL50">
            <v>10</v>
          </cell>
          <cell r="AM50">
            <v>8</v>
          </cell>
          <cell r="AN50">
            <v>8</v>
          </cell>
          <cell r="AO50">
            <v>0</v>
          </cell>
          <cell r="AP50">
            <v>0</v>
          </cell>
          <cell r="AQ50">
            <v>0</v>
          </cell>
          <cell r="AR50">
            <v>0</v>
          </cell>
          <cell r="AS50">
            <v>0</v>
          </cell>
          <cell r="AT50">
            <v>0</v>
          </cell>
          <cell r="AU50">
            <v>0</v>
          </cell>
          <cell r="AV50">
            <v>278</v>
          </cell>
          <cell r="AY50" t="str">
            <v>04010301020101</v>
          </cell>
          <cell r="AZ50">
            <v>10</v>
          </cell>
          <cell r="BA50">
            <v>20</v>
          </cell>
          <cell r="BB50">
            <v>2</v>
          </cell>
          <cell r="BC50">
            <v>7</v>
          </cell>
          <cell r="BD50">
            <v>160</v>
          </cell>
          <cell r="BE50">
            <v>2.1</v>
          </cell>
          <cell r="BF50">
            <v>0</v>
          </cell>
          <cell r="BG50">
            <v>8</v>
          </cell>
          <cell r="BH50">
            <v>0</v>
          </cell>
          <cell r="BI50">
            <v>199.1</v>
          </cell>
          <cell r="BL50" t="str">
            <v>0401030101</v>
          </cell>
          <cell r="BM50">
            <v>350</v>
          </cell>
        </row>
        <row r="51">
          <cell r="Q51" t="str">
            <v xml:space="preserve">53 AGUADULCE </v>
          </cell>
          <cell r="AH51" t="str">
            <v>04010302020101</v>
          </cell>
          <cell r="AI51">
            <v>252</v>
          </cell>
          <cell r="AJ51">
            <v>0</v>
          </cell>
          <cell r="AK51">
            <v>0</v>
          </cell>
          <cell r="AL51">
            <v>10</v>
          </cell>
          <cell r="AM51">
            <v>8</v>
          </cell>
          <cell r="AN51">
            <v>8</v>
          </cell>
          <cell r="AO51">
            <v>0</v>
          </cell>
          <cell r="AP51">
            <v>0</v>
          </cell>
          <cell r="AQ51">
            <v>0</v>
          </cell>
          <cell r="AR51">
            <v>0</v>
          </cell>
          <cell r="AS51">
            <v>0</v>
          </cell>
          <cell r="AT51">
            <v>0</v>
          </cell>
          <cell r="AU51">
            <v>0</v>
          </cell>
          <cell r="AV51">
            <v>278</v>
          </cell>
          <cell r="AY51" t="str">
            <v>04010302020101</v>
          </cell>
          <cell r="AZ51">
            <v>10</v>
          </cell>
          <cell r="BA51">
            <v>20</v>
          </cell>
          <cell r="BB51">
            <v>2</v>
          </cell>
          <cell r="BC51">
            <v>7</v>
          </cell>
          <cell r="BD51">
            <v>160</v>
          </cell>
          <cell r="BE51">
            <v>2.1</v>
          </cell>
          <cell r="BF51">
            <v>0</v>
          </cell>
          <cell r="BG51">
            <v>8</v>
          </cell>
          <cell r="BH51">
            <v>0</v>
          </cell>
          <cell r="BI51">
            <v>199.1</v>
          </cell>
          <cell r="BL51" t="str">
            <v>0401030101</v>
          </cell>
          <cell r="BM51">
            <v>350</v>
          </cell>
        </row>
        <row r="52">
          <cell r="Q52" t="str">
            <v>54 SABANITAS</v>
          </cell>
          <cell r="AH52" t="str">
            <v>04020301010101</v>
          </cell>
          <cell r="AI52">
            <v>252</v>
          </cell>
          <cell r="AJ52">
            <v>0</v>
          </cell>
          <cell r="AK52">
            <v>0</v>
          </cell>
          <cell r="AL52">
            <v>10</v>
          </cell>
          <cell r="AM52">
            <v>8</v>
          </cell>
          <cell r="AN52">
            <v>8</v>
          </cell>
          <cell r="AO52">
            <v>0</v>
          </cell>
          <cell r="AP52">
            <v>0</v>
          </cell>
          <cell r="AQ52">
            <v>0</v>
          </cell>
          <cell r="AR52">
            <v>0</v>
          </cell>
          <cell r="AS52">
            <v>0</v>
          </cell>
          <cell r="AT52">
            <v>0</v>
          </cell>
          <cell r="AU52">
            <v>0</v>
          </cell>
          <cell r="AV52">
            <v>278</v>
          </cell>
          <cell r="AY52" t="str">
            <v>04020301010101</v>
          </cell>
          <cell r="AZ52">
            <v>10</v>
          </cell>
          <cell r="BA52">
            <v>20</v>
          </cell>
          <cell r="BB52">
            <v>2</v>
          </cell>
          <cell r="BC52">
            <v>7</v>
          </cell>
          <cell r="BD52">
            <v>160</v>
          </cell>
          <cell r="BE52">
            <v>2.1</v>
          </cell>
          <cell r="BF52">
            <v>0</v>
          </cell>
          <cell r="BG52">
            <v>8</v>
          </cell>
          <cell r="BH52">
            <v>0</v>
          </cell>
          <cell r="BI52">
            <v>199.1</v>
          </cell>
          <cell r="BL52" t="str">
            <v>0402030101</v>
          </cell>
          <cell r="BM52">
            <v>500</v>
          </cell>
        </row>
        <row r="53">
          <cell r="Q53" t="str">
            <v>66 ARRAIJAN</v>
          </cell>
          <cell r="AH53" t="str">
            <v>04020302010101</v>
          </cell>
          <cell r="AI53">
            <v>252</v>
          </cell>
          <cell r="AJ53">
            <v>0</v>
          </cell>
          <cell r="AK53">
            <v>0</v>
          </cell>
          <cell r="AL53">
            <v>10</v>
          </cell>
          <cell r="AM53">
            <v>8</v>
          </cell>
          <cell r="AN53">
            <v>8</v>
          </cell>
          <cell r="AO53">
            <v>0</v>
          </cell>
          <cell r="AP53">
            <v>0</v>
          </cell>
          <cell r="AQ53">
            <v>0</v>
          </cell>
          <cell r="AR53">
            <v>0</v>
          </cell>
          <cell r="AS53">
            <v>0</v>
          </cell>
          <cell r="AT53">
            <v>0</v>
          </cell>
          <cell r="AU53">
            <v>0</v>
          </cell>
          <cell r="AV53">
            <v>278</v>
          </cell>
          <cell r="AY53" t="str">
            <v>04020302010101</v>
          </cell>
          <cell r="AZ53">
            <v>10</v>
          </cell>
          <cell r="BA53">
            <v>20</v>
          </cell>
          <cell r="BB53">
            <v>2</v>
          </cell>
          <cell r="BC53">
            <v>7</v>
          </cell>
          <cell r="BD53">
            <v>160</v>
          </cell>
          <cell r="BE53">
            <v>2.1</v>
          </cell>
          <cell r="BF53">
            <v>0</v>
          </cell>
          <cell r="BG53">
            <v>8</v>
          </cell>
          <cell r="BH53">
            <v>0</v>
          </cell>
          <cell r="BI53">
            <v>199.1</v>
          </cell>
          <cell r="BL53" t="str">
            <v>0402030101</v>
          </cell>
          <cell r="BM53">
            <v>500</v>
          </cell>
        </row>
        <row r="54">
          <cell r="Q54" t="str">
            <v>68 ALTOS DE PANAMA</v>
          </cell>
          <cell r="AH54" t="str">
            <v>04020301020101</v>
          </cell>
          <cell r="AI54">
            <v>252</v>
          </cell>
          <cell r="AJ54">
            <v>0</v>
          </cell>
          <cell r="AK54">
            <v>0</v>
          </cell>
          <cell r="AL54">
            <v>10</v>
          </cell>
          <cell r="AM54">
            <v>8</v>
          </cell>
          <cell r="AN54">
            <v>8</v>
          </cell>
          <cell r="AO54">
            <v>0</v>
          </cell>
          <cell r="AP54">
            <v>0</v>
          </cell>
          <cell r="AQ54">
            <v>0</v>
          </cell>
          <cell r="AR54">
            <v>0</v>
          </cell>
          <cell r="AS54">
            <v>0</v>
          </cell>
          <cell r="AT54">
            <v>0</v>
          </cell>
          <cell r="AU54">
            <v>0</v>
          </cell>
          <cell r="AV54">
            <v>278</v>
          </cell>
          <cell r="AY54" t="str">
            <v>04020301020101</v>
          </cell>
          <cell r="AZ54">
            <v>10</v>
          </cell>
          <cell r="BA54">
            <v>20</v>
          </cell>
          <cell r="BB54">
            <v>2</v>
          </cell>
          <cell r="BC54">
            <v>7</v>
          </cell>
          <cell r="BD54">
            <v>160</v>
          </cell>
          <cell r="BE54">
            <v>2.1</v>
          </cell>
          <cell r="BF54">
            <v>0</v>
          </cell>
          <cell r="BG54">
            <v>8</v>
          </cell>
          <cell r="BH54">
            <v>0</v>
          </cell>
          <cell r="BI54">
            <v>199.1</v>
          </cell>
          <cell r="BL54" t="str">
            <v>0402030101</v>
          </cell>
          <cell r="BM54">
            <v>500</v>
          </cell>
        </row>
        <row r="55">
          <cell r="Q55" t="str">
            <v>70 BUSINESS PARK</v>
          </cell>
          <cell r="AH55" t="str">
            <v>04020302020101</v>
          </cell>
          <cell r="AI55">
            <v>252</v>
          </cell>
          <cell r="AJ55">
            <v>0</v>
          </cell>
          <cell r="AK55">
            <v>0</v>
          </cell>
          <cell r="AL55">
            <v>10</v>
          </cell>
          <cell r="AM55">
            <v>8</v>
          </cell>
          <cell r="AN55">
            <v>8</v>
          </cell>
          <cell r="AO55">
            <v>0</v>
          </cell>
          <cell r="AP55">
            <v>0</v>
          </cell>
          <cell r="AQ55">
            <v>0</v>
          </cell>
          <cell r="AR55">
            <v>0</v>
          </cell>
          <cell r="AS55">
            <v>0</v>
          </cell>
          <cell r="AT55">
            <v>0</v>
          </cell>
          <cell r="AU55">
            <v>0</v>
          </cell>
          <cell r="AV55">
            <v>278</v>
          </cell>
          <cell r="AY55" t="str">
            <v>04020302020101</v>
          </cell>
          <cell r="AZ55">
            <v>10</v>
          </cell>
          <cell r="BA55">
            <v>20</v>
          </cell>
          <cell r="BB55">
            <v>2</v>
          </cell>
          <cell r="BC55">
            <v>7</v>
          </cell>
          <cell r="BD55">
            <v>160</v>
          </cell>
          <cell r="BE55">
            <v>2.1</v>
          </cell>
          <cell r="BF55">
            <v>0</v>
          </cell>
          <cell r="BG55">
            <v>8</v>
          </cell>
          <cell r="BH55">
            <v>0</v>
          </cell>
          <cell r="BI55">
            <v>199.1</v>
          </cell>
          <cell r="BL55" t="str">
            <v>0402030101</v>
          </cell>
          <cell r="BM55">
            <v>500</v>
          </cell>
        </row>
        <row r="56">
          <cell r="Q56" t="str">
            <v>71 SAN FRANCISCO</v>
          </cell>
          <cell r="AH56" t="str">
            <v>08020101010201</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Y56" t="str">
            <v>08020101010201</v>
          </cell>
          <cell r="AZ56">
            <v>0</v>
          </cell>
          <cell r="BA56">
            <v>0</v>
          </cell>
          <cell r="BB56">
            <v>0</v>
          </cell>
          <cell r="BC56">
            <v>0</v>
          </cell>
          <cell r="BD56">
            <v>0</v>
          </cell>
          <cell r="BE56">
            <v>0</v>
          </cell>
          <cell r="BF56">
            <v>0</v>
          </cell>
          <cell r="BG56">
            <v>8</v>
          </cell>
          <cell r="BH56">
            <v>0</v>
          </cell>
          <cell r="BI56">
            <v>8</v>
          </cell>
          <cell r="BL56" t="str">
            <v>0802010201</v>
          </cell>
          <cell r="BM56">
            <v>140</v>
          </cell>
        </row>
        <row r="57">
          <cell r="Q57" t="str">
            <v>72 PLAZA BANCO GENERAL</v>
          </cell>
          <cell r="AH57" t="str">
            <v>08020101020201</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Y57" t="str">
            <v>08020101020201</v>
          </cell>
          <cell r="AZ57">
            <v>0</v>
          </cell>
          <cell r="BA57">
            <v>0</v>
          </cell>
          <cell r="BB57">
            <v>0</v>
          </cell>
          <cell r="BC57">
            <v>0</v>
          </cell>
          <cell r="BD57">
            <v>0</v>
          </cell>
          <cell r="BE57">
            <v>0</v>
          </cell>
          <cell r="BF57">
            <v>0</v>
          </cell>
          <cell r="BG57">
            <v>8</v>
          </cell>
          <cell r="BH57">
            <v>0</v>
          </cell>
          <cell r="BI57">
            <v>8</v>
          </cell>
          <cell r="BL57" t="str">
            <v>0802010201</v>
          </cell>
          <cell r="BM57">
            <v>140</v>
          </cell>
        </row>
        <row r="58">
          <cell r="Q58" t="str">
            <v>73 LA CHORRERA - PARQUE 10 DE NOV.</v>
          </cell>
          <cell r="AH58" t="str">
            <v>08020102010201</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Y58" t="str">
            <v>08020102010201</v>
          </cell>
          <cell r="AZ58">
            <v>0</v>
          </cell>
          <cell r="BA58">
            <v>0</v>
          </cell>
          <cell r="BB58">
            <v>0</v>
          </cell>
          <cell r="BC58">
            <v>0</v>
          </cell>
          <cell r="BD58">
            <v>0</v>
          </cell>
          <cell r="BE58">
            <v>0</v>
          </cell>
          <cell r="BF58">
            <v>0</v>
          </cell>
          <cell r="BG58">
            <v>8</v>
          </cell>
          <cell r="BH58">
            <v>0</v>
          </cell>
          <cell r="BI58">
            <v>8</v>
          </cell>
          <cell r="BL58" t="str">
            <v>0802010201</v>
          </cell>
          <cell r="BM58">
            <v>140</v>
          </cell>
        </row>
        <row r="59">
          <cell r="Q59" t="str">
            <v>74 COSTA DEL ESTE - CENTENARIO</v>
          </cell>
          <cell r="AH59" t="str">
            <v>08020102020201</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Y59" t="str">
            <v>08020102020201</v>
          </cell>
          <cell r="AZ59">
            <v>0</v>
          </cell>
          <cell r="BA59">
            <v>0</v>
          </cell>
          <cell r="BB59">
            <v>0</v>
          </cell>
          <cell r="BC59">
            <v>0</v>
          </cell>
          <cell r="BD59">
            <v>0</v>
          </cell>
          <cell r="BE59">
            <v>0</v>
          </cell>
          <cell r="BF59">
            <v>0</v>
          </cell>
          <cell r="BG59">
            <v>8</v>
          </cell>
          <cell r="BH59">
            <v>0</v>
          </cell>
          <cell r="BI59">
            <v>8</v>
          </cell>
          <cell r="BL59" t="str">
            <v>0802010201</v>
          </cell>
          <cell r="BM59">
            <v>140</v>
          </cell>
        </row>
        <row r="60">
          <cell r="Q60" t="str">
            <v>76 CLAYTON</v>
          </cell>
          <cell r="AH60" t="str">
            <v>08010101010201</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Y60" t="str">
            <v>08010101010201</v>
          </cell>
          <cell r="AZ60">
            <v>0</v>
          </cell>
          <cell r="BA60">
            <v>0</v>
          </cell>
          <cell r="BB60">
            <v>0</v>
          </cell>
          <cell r="BC60">
            <v>0</v>
          </cell>
          <cell r="BD60">
            <v>0</v>
          </cell>
          <cell r="BE60">
            <v>0</v>
          </cell>
          <cell r="BF60">
            <v>0</v>
          </cell>
          <cell r="BG60">
            <v>8</v>
          </cell>
          <cell r="BH60">
            <v>0</v>
          </cell>
          <cell r="BI60">
            <v>8</v>
          </cell>
          <cell r="BL60" t="str">
            <v>0801010201</v>
          </cell>
          <cell r="BM60">
            <v>75</v>
          </cell>
        </row>
        <row r="61">
          <cell r="Q61" t="str">
            <v>77 MARBELLA</v>
          </cell>
          <cell r="AH61" t="str">
            <v>08010101020201</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Y61" t="str">
            <v>08010101020201</v>
          </cell>
          <cell r="AZ61">
            <v>0</v>
          </cell>
          <cell r="BA61">
            <v>0</v>
          </cell>
          <cell r="BB61">
            <v>0</v>
          </cell>
          <cell r="BC61">
            <v>0</v>
          </cell>
          <cell r="BD61">
            <v>0</v>
          </cell>
          <cell r="BE61">
            <v>0</v>
          </cell>
          <cell r="BF61">
            <v>0</v>
          </cell>
          <cell r="BG61">
            <v>8</v>
          </cell>
          <cell r="BH61">
            <v>0</v>
          </cell>
          <cell r="BI61">
            <v>8</v>
          </cell>
          <cell r="BL61" t="str">
            <v>0801010201</v>
          </cell>
          <cell r="BM61">
            <v>75</v>
          </cell>
        </row>
        <row r="62">
          <cell r="Q62" t="str">
            <v>78 PLAZA CAROLINA</v>
          </cell>
          <cell r="AH62" t="str">
            <v>08010102010201</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Y62" t="str">
            <v>08010102010201</v>
          </cell>
          <cell r="AZ62">
            <v>0</v>
          </cell>
          <cell r="BA62">
            <v>0</v>
          </cell>
          <cell r="BB62">
            <v>0</v>
          </cell>
          <cell r="BC62">
            <v>0</v>
          </cell>
          <cell r="BD62">
            <v>0</v>
          </cell>
          <cell r="BE62">
            <v>0</v>
          </cell>
          <cell r="BF62">
            <v>0</v>
          </cell>
          <cell r="BG62">
            <v>8</v>
          </cell>
          <cell r="BH62">
            <v>0</v>
          </cell>
          <cell r="BI62">
            <v>8</v>
          </cell>
          <cell r="BL62" t="str">
            <v>0801010201</v>
          </cell>
          <cell r="BM62">
            <v>75</v>
          </cell>
        </row>
        <row r="63">
          <cell r="Q63" t="str">
            <v>79 PLAZA CORDOBA</v>
          </cell>
          <cell r="AH63" t="str">
            <v>08010102020201</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Y63" t="str">
            <v>08010102020201</v>
          </cell>
          <cell r="AZ63">
            <v>0</v>
          </cell>
          <cell r="BA63">
            <v>0</v>
          </cell>
          <cell r="BB63">
            <v>0</v>
          </cell>
          <cell r="BC63">
            <v>0</v>
          </cell>
          <cell r="BD63">
            <v>0</v>
          </cell>
          <cell r="BE63">
            <v>0</v>
          </cell>
          <cell r="BF63">
            <v>0</v>
          </cell>
          <cell r="BG63">
            <v>8</v>
          </cell>
          <cell r="BH63">
            <v>0</v>
          </cell>
          <cell r="BI63">
            <v>8</v>
          </cell>
          <cell r="BL63" t="str">
            <v>0801010201</v>
          </cell>
          <cell r="BM63">
            <v>75</v>
          </cell>
        </row>
        <row r="64">
          <cell r="Q64" t="str">
            <v>80 VIA SIMON BOLIVAR</v>
          </cell>
          <cell r="AH64" t="str">
            <v>03020601010201</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Y64" t="str">
            <v>03020601010201</v>
          </cell>
          <cell r="AZ64">
            <v>0</v>
          </cell>
          <cell r="BA64">
            <v>0</v>
          </cell>
          <cell r="BB64">
            <v>0</v>
          </cell>
          <cell r="BC64">
            <v>0</v>
          </cell>
          <cell r="BD64">
            <v>0</v>
          </cell>
          <cell r="BE64">
            <v>0</v>
          </cell>
          <cell r="BF64">
            <v>0</v>
          </cell>
          <cell r="BG64">
            <v>8</v>
          </cell>
          <cell r="BH64">
            <v>0</v>
          </cell>
          <cell r="BI64">
            <v>8</v>
          </cell>
          <cell r="BL64" t="str">
            <v>0302060201</v>
          </cell>
          <cell r="BM64">
            <v>140</v>
          </cell>
        </row>
        <row r="65">
          <cell r="Q65" t="str">
            <v>81 WALL STREET SECURITIES</v>
          </cell>
          <cell r="AH65" t="str">
            <v>03020601020201</v>
          </cell>
          <cell r="AI65">
            <v>0</v>
          </cell>
          <cell r="AJ65">
            <v>0</v>
          </cell>
          <cell r="AK65">
            <v>0</v>
          </cell>
          <cell r="AL65">
            <v>0</v>
          </cell>
          <cell r="AM65">
            <v>0</v>
          </cell>
          <cell r="AN65">
            <v>0</v>
          </cell>
          <cell r="AO65">
            <v>0</v>
          </cell>
          <cell r="AP65">
            <v>0</v>
          </cell>
          <cell r="AQ65">
            <v>0</v>
          </cell>
          <cell r="AR65">
            <v>0</v>
          </cell>
          <cell r="AS65">
            <v>0</v>
          </cell>
          <cell r="AT65">
            <v>0</v>
          </cell>
          <cell r="AU65">
            <v>0</v>
          </cell>
          <cell r="AV65">
            <v>0</v>
          </cell>
          <cell r="AY65" t="str">
            <v>03020601020201</v>
          </cell>
          <cell r="AZ65">
            <v>0</v>
          </cell>
          <cell r="BA65">
            <v>0</v>
          </cell>
          <cell r="BB65">
            <v>0</v>
          </cell>
          <cell r="BC65">
            <v>0</v>
          </cell>
          <cell r="BD65">
            <v>0</v>
          </cell>
          <cell r="BE65">
            <v>0</v>
          </cell>
          <cell r="BF65">
            <v>0</v>
          </cell>
          <cell r="BG65">
            <v>8</v>
          </cell>
          <cell r="BH65">
            <v>0</v>
          </cell>
          <cell r="BI65">
            <v>8</v>
          </cell>
          <cell r="BL65" t="str">
            <v>0302060201</v>
          </cell>
          <cell r="BM65">
            <v>140</v>
          </cell>
        </row>
        <row r="66">
          <cell r="Q66" t="str">
            <v>89 JUSTO AROSEMENA</v>
          </cell>
          <cell r="AH66" t="str">
            <v>03020602010201</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Y66" t="str">
            <v>03020602010201</v>
          </cell>
          <cell r="AZ66">
            <v>0</v>
          </cell>
          <cell r="BA66">
            <v>0</v>
          </cell>
          <cell r="BB66">
            <v>0</v>
          </cell>
          <cell r="BC66">
            <v>0</v>
          </cell>
          <cell r="BD66">
            <v>0</v>
          </cell>
          <cell r="BE66">
            <v>0</v>
          </cell>
          <cell r="BF66">
            <v>0</v>
          </cell>
          <cell r="BG66">
            <v>8</v>
          </cell>
          <cell r="BH66">
            <v>0</v>
          </cell>
          <cell r="BI66">
            <v>8</v>
          </cell>
          <cell r="BL66" t="str">
            <v>0302060201</v>
          </cell>
          <cell r="BM66">
            <v>140</v>
          </cell>
        </row>
        <row r="67">
          <cell r="Q67" t="str">
            <v>95 EL DORADO - LA GALERIA</v>
          </cell>
          <cell r="AH67" t="str">
            <v>03020602020201</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Y67" t="str">
            <v>03020602020201</v>
          </cell>
          <cell r="AZ67">
            <v>0</v>
          </cell>
          <cell r="BA67">
            <v>0</v>
          </cell>
          <cell r="BB67">
            <v>0</v>
          </cell>
          <cell r="BC67">
            <v>0</v>
          </cell>
          <cell r="BD67">
            <v>0</v>
          </cell>
          <cell r="BE67">
            <v>0</v>
          </cell>
          <cell r="BF67">
            <v>0</v>
          </cell>
          <cell r="BG67">
            <v>8</v>
          </cell>
          <cell r="BH67">
            <v>0</v>
          </cell>
          <cell r="BI67">
            <v>8</v>
          </cell>
          <cell r="BL67" t="str">
            <v>0302060201</v>
          </cell>
          <cell r="BM67">
            <v>140</v>
          </cell>
        </row>
        <row r="68">
          <cell r="Q68" t="str">
            <v>97 SAN SEBASTIAN</v>
          </cell>
          <cell r="AH68" t="str">
            <v>07010101020201</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Y68" t="str">
            <v>07010101020201</v>
          </cell>
          <cell r="AZ68">
            <v>0</v>
          </cell>
          <cell r="BA68">
            <v>0</v>
          </cell>
          <cell r="BB68">
            <v>0</v>
          </cell>
          <cell r="BC68">
            <v>0</v>
          </cell>
          <cell r="BD68">
            <v>0</v>
          </cell>
          <cell r="BE68">
            <v>0</v>
          </cell>
          <cell r="BF68">
            <v>0</v>
          </cell>
          <cell r="BG68">
            <v>8</v>
          </cell>
          <cell r="BH68">
            <v>0</v>
          </cell>
          <cell r="BI68">
            <v>8</v>
          </cell>
          <cell r="BL68" t="str">
            <v>0701010201</v>
          </cell>
          <cell r="BM68">
            <v>500</v>
          </cell>
        </row>
        <row r="69">
          <cell r="Q69" t="str">
            <v>98 SANTIAGO 2</v>
          </cell>
          <cell r="AH69" t="str">
            <v>07010102020201</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Y69" t="str">
            <v>07010102020201</v>
          </cell>
          <cell r="AZ69">
            <v>0</v>
          </cell>
          <cell r="BA69">
            <v>0</v>
          </cell>
          <cell r="BB69">
            <v>0</v>
          </cell>
          <cell r="BC69">
            <v>0</v>
          </cell>
          <cell r="BD69">
            <v>0</v>
          </cell>
          <cell r="BE69">
            <v>0</v>
          </cell>
          <cell r="BF69">
            <v>0</v>
          </cell>
          <cell r="BG69">
            <v>8</v>
          </cell>
          <cell r="BH69">
            <v>0</v>
          </cell>
          <cell r="BI69">
            <v>8</v>
          </cell>
          <cell r="BL69" t="str">
            <v>0701010201</v>
          </cell>
          <cell r="BM69">
            <v>500</v>
          </cell>
        </row>
        <row r="70">
          <cell r="Q70" t="str">
            <v>99 CIUDAD DEL SABER</v>
          </cell>
          <cell r="AH70" t="str">
            <v>07020102020201</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Y70" t="str">
            <v>07020102020201</v>
          </cell>
          <cell r="AZ70">
            <v>0</v>
          </cell>
          <cell r="BA70">
            <v>0</v>
          </cell>
          <cell r="BB70">
            <v>0</v>
          </cell>
          <cell r="BC70">
            <v>0</v>
          </cell>
          <cell r="BD70">
            <v>0</v>
          </cell>
          <cell r="BE70">
            <v>0</v>
          </cell>
          <cell r="BF70">
            <v>0</v>
          </cell>
          <cell r="BG70">
            <v>8</v>
          </cell>
          <cell r="BH70">
            <v>0</v>
          </cell>
          <cell r="BI70">
            <v>8</v>
          </cell>
          <cell r="BL70" t="str">
            <v>0702010201</v>
          </cell>
          <cell r="BM70">
            <v>500</v>
          </cell>
        </row>
        <row r="71">
          <cell r="Q71" t="str">
            <v>BIENES REPOSEÍDOS</v>
          </cell>
          <cell r="AH71" t="str">
            <v>07020101020201</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Y71" t="str">
            <v>07020101020201</v>
          </cell>
          <cell r="AZ71">
            <v>0</v>
          </cell>
          <cell r="BA71">
            <v>0</v>
          </cell>
          <cell r="BB71">
            <v>0</v>
          </cell>
          <cell r="BC71">
            <v>0</v>
          </cell>
          <cell r="BD71">
            <v>0</v>
          </cell>
          <cell r="BE71">
            <v>0</v>
          </cell>
          <cell r="BF71">
            <v>0</v>
          </cell>
          <cell r="BG71">
            <v>8</v>
          </cell>
          <cell r="BH71">
            <v>0</v>
          </cell>
          <cell r="BI71">
            <v>8</v>
          </cell>
          <cell r="BL71" t="str">
            <v>0702010201</v>
          </cell>
          <cell r="BM71">
            <v>500</v>
          </cell>
        </row>
        <row r="72">
          <cell r="Q72" t="str">
            <v>F.V. CONSUMO</v>
          </cell>
          <cell r="AH72" t="str">
            <v>11010101020201</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Y72" t="str">
            <v>11010101020201</v>
          </cell>
          <cell r="AZ72">
            <v>0</v>
          </cell>
          <cell r="BA72">
            <v>0</v>
          </cell>
          <cell r="BB72">
            <v>0</v>
          </cell>
          <cell r="BC72">
            <v>0</v>
          </cell>
          <cell r="BD72">
            <v>0</v>
          </cell>
          <cell r="BE72">
            <v>0</v>
          </cell>
          <cell r="BF72">
            <v>0</v>
          </cell>
          <cell r="BG72">
            <v>8</v>
          </cell>
          <cell r="BH72">
            <v>0</v>
          </cell>
          <cell r="BI72">
            <v>8</v>
          </cell>
          <cell r="BL72" t="str">
            <v>1101010201</v>
          </cell>
          <cell r="BM72">
            <v>0</v>
          </cell>
        </row>
        <row r="73">
          <cell r="Q73" t="str">
            <v>F.V. CONSUMO INTERIOR</v>
          </cell>
          <cell r="AH73" t="str">
            <v>09020101020201</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Y73" t="str">
            <v>09020101020201</v>
          </cell>
          <cell r="AZ73">
            <v>0</v>
          </cell>
          <cell r="BA73">
            <v>0</v>
          </cell>
          <cell r="BB73">
            <v>0</v>
          </cell>
          <cell r="BC73">
            <v>0</v>
          </cell>
          <cell r="BD73">
            <v>0</v>
          </cell>
          <cell r="BE73">
            <v>0</v>
          </cell>
          <cell r="BF73">
            <v>0</v>
          </cell>
          <cell r="BG73">
            <v>8</v>
          </cell>
          <cell r="BH73">
            <v>0</v>
          </cell>
          <cell r="BI73">
            <v>8</v>
          </cell>
          <cell r="BL73" t="str">
            <v>0902010201</v>
          </cell>
          <cell r="BM73">
            <v>0</v>
          </cell>
        </row>
        <row r="74">
          <cell r="Q74" t="str">
            <v>RETENCIÓN</v>
          </cell>
          <cell r="AH74" t="str">
            <v>10020102020201</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Y74" t="str">
            <v>10020102020201</v>
          </cell>
          <cell r="AZ74">
            <v>0</v>
          </cell>
          <cell r="BA74">
            <v>0</v>
          </cell>
          <cell r="BB74">
            <v>0</v>
          </cell>
          <cell r="BC74">
            <v>0</v>
          </cell>
          <cell r="BD74">
            <v>0</v>
          </cell>
          <cell r="BE74">
            <v>0</v>
          </cell>
          <cell r="BF74">
            <v>0</v>
          </cell>
          <cell r="BG74">
            <v>8</v>
          </cell>
          <cell r="BH74">
            <v>0</v>
          </cell>
          <cell r="BI74">
            <v>8</v>
          </cell>
          <cell r="BL74" t="str">
            <v>1002010201</v>
          </cell>
          <cell r="BM74">
            <v>0</v>
          </cell>
        </row>
        <row r="75">
          <cell r="Q75" t="str">
            <v>RECURSOS HUMANOS</v>
          </cell>
          <cell r="AH75" t="str">
            <v>08020101010202</v>
          </cell>
          <cell r="AI75">
            <v>25</v>
          </cell>
          <cell r="AJ75">
            <v>6</v>
          </cell>
          <cell r="AK75">
            <v>25</v>
          </cell>
          <cell r="AL75">
            <v>10</v>
          </cell>
          <cell r="AM75">
            <v>0</v>
          </cell>
          <cell r="AN75">
            <v>0</v>
          </cell>
          <cell r="AO75">
            <v>21</v>
          </cell>
          <cell r="AP75">
            <v>0</v>
          </cell>
          <cell r="AQ75">
            <v>0</v>
          </cell>
          <cell r="AR75">
            <v>215</v>
          </cell>
          <cell r="AS75">
            <v>0</v>
          </cell>
          <cell r="AT75">
            <v>0</v>
          </cell>
          <cell r="AU75">
            <v>0</v>
          </cell>
          <cell r="AV75">
            <v>302</v>
          </cell>
          <cell r="AY75" t="str">
            <v>08020101010202</v>
          </cell>
          <cell r="AZ75">
            <v>38</v>
          </cell>
          <cell r="BA75">
            <v>20</v>
          </cell>
          <cell r="BB75">
            <v>163</v>
          </cell>
          <cell r="BC75">
            <v>2</v>
          </cell>
          <cell r="BD75">
            <v>304</v>
          </cell>
          <cell r="BE75">
            <v>0</v>
          </cell>
          <cell r="BF75">
            <v>10</v>
          </cell>
          <cell r="BG75">
            <v>8</v>
          </cell>
          <cell r="BH75">
            <v>0</v>
          </cell>
          <cell r="BI75">
            <v>487</v>
          </cell>
          <cell r="BL75" t="str">
            <v>0802010202</v>
          </cell>
          <cell r="BM75">
            <v>500</v>
          </cell>
          <cell r="BP75" t="str">
            <v>0802010202</v>
          </cell>
          <cell r="BQ75">
            <v>200</v>
          </cell>
        </row>
        <row r="76">
          <cell r="Q76" t="str">
            <v>CENTRO DE ATENCIÓN AL CLIENTE</v>
          </cell>
          <cell r="AH76" t="str">
            <v>08020102010202</v>
          </cell>
          <cell r="AI76">
            <v>25</v>
          </cell>
          <cell r="AJ76">
            <v>6</v>
          </cell>
          <cell r="AK76">
            <v>25</v>
          </cell>
          <cell r="AL76">
            <v>10</v>
          </cell>
          <cell r="AM76">
            <v>0</v>
          </cell>
          <cell r="AN76">
            <v>0</v>
          </cell>
          <cell r="AO76">
            <v>21</v>
          </cell>
          <cell r="AP76">
            <v>0</v>
          </cell>
          <cell r="AQ76">
            <v>0</v>
          </cell>
          <cell r="AR76">
            <v>215</v>
          </cell>
          <cell r="AS76">
            <v>0</v>
          </cell>
          <cell r="AT76">
            <v>0</v>
          </cell>
          <cell r="AU76">
            <v>0</v>
          </cell>
          <cell r="AV76">
            <v>302</v>
          </cell>
          <cell r="AY76" t="str">
            <v>08020102010202</v>
          </cell>
          <cell r="AZ76">
            <v>38</v>
          </cell>
          <cell r="BA76">
            <v>20</v>
          </cell>
          <cell r="BB76">
            <v>163</v>
          </cell>
          <cell r="BC76">
            <v>2</v>
          </cell>
          <cell r="BD76">
            <v>304</v>
          </cell>
          <cell r="BE76">
            <v>0</v>
          </cell>
          <cell r="BF76">
            <v>10</v>
          </cell>
          <cell r="BG76">
            <v>8</v>
          </cell>
          <cell r="BH76">
            <v>0</v>
          </cell>
          <cell r="BI76">
            <v>487</v>
          </cell>
          <cell r="BL76" t="str">
            <v>0802010202</v>
          </cell>
          <cell r="BM76">
            <v>500</v>
          </cell>
          <cell r="BP76" t="str">
            <v>0802010202</v>
          </cell>
          <cell r="BQ76">
            <v>200</v>
          </cell>
        </row>
        <row r="77">
          <cell r="Q77" t="str">
            <v>SERVICIOS HIPOTECARIOS</v>
          </cell>
          <cell r="AH77" t="str">
            <v>08020101020202</v>
          </cell>
          <cell r="AI77">
            <v>25</v>
          </cell>
          <cell r="AJ77">
            <v>6</v>
          </cell>
          <cell r="AK77">
            <v>25</v>
          </cell>
          <cell r="AL77">
            <v>10</v>
          </cell>
          <cell r="AM77">
            <v>0</v>
          </cell>
          <cell r="AN77">
            <v>0</v>
          </cell>
          <cell r="AO77">
            <v>21</v>
          </cell>
          <cell r="AP77">
            <v>0</v>
          </cell>
          <cell r="AQ77">
            <v>0</v>
          </cell>
          <cell r="AR77">
            <v>215</v>
          </cell>
          <cell r="AS77">
            <v>0</v>
          </cell>
          <cell r="AT77">
            <v>0</v>
          </cell>
          <cell r="AU77">
            <v>0</v>
          </cell>
          <cell r="AV77">
            <v>302</v>
          </cell>
          <cell r="AY77" t="str">
            <v>08020101020202</v>
          </cell>
          <cell r="AZ77">
            <v>38</v>
          </cell>
          <cell r="BA77">
            <v>20</v>
          </cell>
          <cell r="BB77">
            <v>163</v>
          </cell>
          <cell r="BC77">
            <v>2</v>
          </cell>
          <cell r="BD77">
            <v>304</v>
          </cell>
          <cell r="BE77">
            <v>0</v>
          </cell>
          <cell r="BF77">
            <v>10</v>
          </cell>
          <cell r="BG77">
            <v>8</v>
          </cell>
          <cell r="BH77">
            <v>0</v>
          </cell>
          <cell r="BI77">
            <v>487</v>
          </cell>
          <cell r="BL77" t="str">
            <v>0802010202</v>
          </cell>
          <cell r="BM77">
            <v>500</v>
          </cell>
          <cell r="BP77" t="str">
            <v>0802010202</v>
          </cell>
          <cell r="BQ77">
            <v>200</v>
          </cell>
        </row>
        <row r="78">
          <cell r="Q78" t="str">
            <v>TELEMERCADEO</v>
          </cell>
          <cell r="AH78" t="str">
            <v>08020102020202</v>
          </cell>
          <cell r="AI78">
            <v>25</v>
          </cell>
          <cell r="AJ78">
            <v>6</v>
          </cell>
          <cell r="AK78">
            <v>25</v>
          </cell>
          <cell r="AL78">
            <v>10</v>
          </cell>
          <cell r="AM78">
            <v>0</v>
          </cell>
          <cell r="AN78">
            <v>0</v>
          </cell>
          <cell r="AO78">
            <v>21</v>
          </cell>
          <cell r="AP78">
            <v>0</v>
          </cell>
          <cell r="AQ78">
            <v>0</v>
          </cell>
          <cell r="AR78">
            <v>215</v>
          </cell>
          <cell r="AS78">
            <v>0</v>
          </cell>
          <cell r="AT78">
            <v>0</v>
          </cell>
          <cell r="AU78">
            <v>0</v>
          </cell>
          <cell r="AV78">
            <v>302</v>
          </cell>
          <cell r="AY78" t="str">
            <v>08020102020202</v>
          </cell>
          <cell r="AZ78">
            <v>38</v>
          </cell>
          <cell r="BA78">
            <v>20</v>
          </cell>
          <cell r="BB78">
            <v>163</v>
          </cell>
          <cell r="BC78">
            <v>2</v>
          </cell>
          <cell r="BD78">
            <v>304</v>
          </cell>
          <cell r="BE78">
            <v>0</v>
          </cell>
          <cell r="BF78">
            <v>10</v>
          </cell>
          <cell r="BG78">
            <v>8</v>
          </cell>
          <cell r="BH78">
            <v>0</v>
          </cell>
          <cell r="BI78">
            <v>487</v>
          </cell>
          <cell r="BL78" t="str">
            <v>0802010202</v>
          </cell>
          <cell r="BM78">
            <v>500</v>
          </cell>
          <cell r="BP78" t="str">
            <v>0802010202</v>
          </cell>
          <cell r="BQ78">
            <v>200</v>
          </cell>
        </row>
        <row r="79">
          <cell r="AH79" t="str">
            <v>03020601010202</v>
          </cell>
          <cell r="AI79">
            <v>25</v>
          </cell>
          <cell r="AJ79">
            <v>6</v>
          </cell>
          <cell r="AK79">
            <v>25</v>
          </cell>
          <cell r="AL79">
            <v>10</v>
          </cell>
          <cell r="AM79">
            <v>0</v>
          </cell>
          <cell r="AN79">
            <v>0</v>
          </cell>
          <cell r="AO79">
            <v>21</v>
          </cell>
          <cell r="AP79">
            <v>0</v>
          </cell>
          <cell r="AQ79">
            <v>0</v>
          </cell>
          <cell r="AR79">
            <v>215</v>
          </cell>
          <cell r="AS79">
            <v>0</v>
          </cell>
          <cell r="AT79">
            <v>0</v>
          </cell>
          <cell r="AU79">
            <v>0</v>
          </cell>
          <cell r="AV79">
            <v>302</v>
          </cell>
          <cell r="AY79" t="str">
            <v>03020601010202</v>
          </cell>
          <cell r="AZ79">
            <v>38</v>
          </cell>
          <cell r="BA79">
            <v>20</v>
          </cell>
          <cell r="BB79">
            <v>163</v>
          </cell>
          <cell r="BC79">
            <v>2</v>
          </cell>
          <cell r="BD79">
            <v>304</v>
          </cell>
          <cell r="BE79">
            <v>0</v>
          </cell>
          <cell r="BF79">
            <v>10</v>
          </cell>
          <cell r="BG79">
            <v>8</v>
          </cell>
          <cell r="BH79">
            <v>0</v>
          </cell>
          <cell r="BI79">
            <v>487</v>
          </cell>
          <cell r="BL79" t="str">
            <v>0302060202</v>
          </cell>
          <cell r="BM79">
            <v>500</v>
          </cell>
          <cell r="BP79" t="str">
            <v>0302060202</v>
          </cell>
          <cell r="BQ79">
            <v>200</v>
          </cell>
        </row>
        <row r="80">
          <cell r="AH80" t="str">
            <v>03020602010202</v>
          </cell>
          <cell r="AI80">
            <v>25</v>
          </cell>
          <cell r="AJ80">
            <v>6</v>
          </cell>
          <cell r="AK80">
            <v>25</v>
          </cell>
          <cell r="AL80">
            <v>10</v>
          </cell>
          <cell r="AM80">
            <v>0</v>
          </cell>
          <cell r="AN80">
            <v>0</v>
          </cell>
          <cell r="AO80">
            <v>21</v>
          </cell>
          <cell r="AP80">
            <v>0</v>
          </cell>
          <cell r="AQ80">
            <v>0</v>
          </cell>
          <cell r="AR80">
            <v>215</v>
          </cell>
          <cell r="AS80">
            <v>0</v>
          </cell>
          <cell r="AT80">
            <v>0</v>
          </cell>
          <cell r="AU80">
            <v>0</v>
          </cell>
          <cell r="AV80">
            <v>302</v>
          </cell>
          <cell r="AY80" t="str">
            <v>03020602010202</v>
          </cell>
          <cell r="AZ80">
            <v>38</v>
          </cell>
          <cell r="BA80">
            <v>20</v>
          </cell>
          <cell r="BB80">
            <v>163</v>
          </cell>
          <cell r="BC80">
            <v>2</v>
          </cell>
          <cell r="BD80">
            <v>304</v>
          </cell>
          <cell r="BE80">
            <v>0</v>
          </cell>
          <cell r="BF80">
            <v>10</v>
          </cell>
          <cell r="BG80">
            <v>8</v>
          </cell>
          <cell r="BH80">
            <v>0</v>
          </cell>
          <cell r="BI80">
            <v>487</v>
          </cell>
          <cell r="BL80" t="str">
            <v>0302060202</v>
          </cell>
          <cell r="BM80">
            <v>500</v>
          </cell>
          <cell r="BP80" t="str">
            <v>0302060202</v>
          </cell>
          <cell r="BQ80">
            <v>200</v>
          </cell>
        </row>
        <row r="81">
          <cell r="AH81" t="str">
            <v>03020601020202</v>
          </cell>
          <cell r="AI81">
            <v>25</v>
          </cell>
          <cell r="AJ81">
            <v>6</v>
          </cell>
          <cell r="AK81">
            <v>25</v>
          </cell>
          <cell r="AL81">
            <v>10</v>
          </cell>
          <cell r="AM81">
            <v>0</v>
          </cell>
          <cell r="AN81">
            <v>0</v>
          </cell>
          <cell r="AO81">
            <v>21</v>
          </cell>
          <cell r="AP81">
            <v>0</v>
          </cell>
          <cell r="AQ81">
            <v>0</v>
          </cell>
          <cell r="AR81">
            <v>215</v>
          </cell>
          <cell r="AS81">
            <v>0</v>
          </cell>
          <cell r="AT81">
            <v>0</v>
          </cell>
          <cell r="AU81">
            <v>0</v>
          </cell>
          <cell r="AV81">
            <v>302</v>
          </cell>
          <cell r="AY81" t="str">
            <v>03020601020202</v>
          </cell>
          <cell r="AZ81">
            <v>38</v>
          </cell>
          <cell r="BA81">
            <v>20</v>
          </cell>
          <cell r="BB81">
            <v>163</v>
          </cell>
          <cell r="BC81">
            <v>2</v>
          </cell>
          <cell r="BD81">
            <v>304</v>
          </cell>
          <cell r="BE81">
            <v>0</v>
          </cell>
          <cell r="BF81">
            <v>10</v>
          </cell>
          <cell r="BG81">
            <v>8</v>
          </cell>
          <cell r="BH81">
            <v>0</v>
          </cell>
          <cell r="BI81">
            <v>487</v>
          </cell>
          <cell r="BL81" t="str">
            <v>0302060202</v>
          </cell>
          <cell r="BM81">
            <v>500</v>
          </cell>
          <cell r="BP81" t="str">
            <v>0302060202</v>
          </cell>
          <cell r="BQ81">
            <v>200</v>
          </cell>
        </row>
        <row r="82">
          <cell r="AH82" t="str">
            <v>03020602020202</v>
          </cell>
          <cell r="AI82">
            <v>25</v>
          </cell>
          <cell r="AJ82">
            <v>6</v>
          </cell>
          <cell r="AK82">
            <v>25</v>
          </cell>
          <cell r="AL82">
            <v>10</v>
          </cell>
          <cell r="AM82">
            <v>0</v>
          </cell>
          <cell r="AN82">
            <v>0</v>
          </cell>
          <cell r="AO82">
            <v>21</v>
          </cell>
          <cell r="AP82">
            <v>0</v>
          </cell>
          <cell r="AQ82">
            <v>0</v>
          </cell>
          <cell r="AR82">
            <v>215</v>
          </cell>
          <cell r="AS82">
            <v>0</v>
          </cell>
          <cell r="AT82">
            <v>0</v>
          </cell>
          <cell r="AU82">
            <v>0</v>
          </cell>
          <cell r="AV82">
            <v>302</v>
          </cell>
          <cell r="AY82" t="str">
            <v>03020602020202</v>
          </cell>
          <cell r="AZ82">
            <v>38</v>
          </cell>
          <cell r="BA82">
            <v>20</v>
          </cell>
          <cell r="BB82">
            <v>163</v>
          </cell>
          <cell r="BC82">
            <v>2</v>
          </cell>
          <cell r="BD82">
            <v>304</v>
          </cell>
          <cell r="BE82">
            <v>0</v>
          </cell>
          <cell r="BF82">
            <v>10</v>
          </cell>
          <cell r="BG82">
            <v>8</v>
          </cell>
          <cell r="BH82">
            <v>0</v>
          </cell>
          <cell r="BI82">
            <v>487</v>
          </cell>
          <cell r="BL82" t="str">
            <v>0302060202</v>
          </cell>
          <cell r="BM82">
            <v>500</v>
          </cell>
          <cell r="BP82" t="str">
            <v>0302060202</v>
          </cell>
          <cell r="BQ82">
            <v>200</v>
          </cell>
        </row>
        <row r="83">
          <cell r="AH83" t="str">
            <v>08020201020202</v>
          </cell>
          <cell r="AI83">
            <v>25</v>
          </cell>
          <cell r="AJ83">
            <v>6</v>
          </cell>
          <cell r="AK83">
            <v>25</v>
          </cell>
          <cell r="AL83">
            <v>10</v>
          </cell>
          <cell r="AM83">
            <v>0</v>
          </cell>
          <cell r="AN83">
            <v>0</v>
          </cell>
          <cell r="AO83">
            <v>21</v>
          </cell>
          <cell r="AP83">
            <v>0</v>
          </cell>
          <cell r="AQ83">
            <v>0</v>
          </cell>
          <cell r="AR83">
            <v>215</v>
          </cell>
          <cell r="AS83">
            <v>0</v>
          </cell>
          <cell r="AT83">
            <v>0</v>
          </cell>
          <cell r="AU83">
            <v>0</v>
          </cell>
          <cell r="AV83">
            <v>302</v>
          </cell>
          <cell r="AY83" t="str">
            <v>08020201020202</v>
          </cell>
          <cell r="AZ83">
            <v>38</v>
          </cell>
          <cell r="BA83">
            <v>20</v>
          </cell>
          <cell r="BB83">
            <v>163</v>
          </cell>
          <cell r="BC83">
            <v>2</v>
          </cell>
          <cell r="BD83">
            <v>304</v>
          </cell>
          <cell r="BE83">
            <v>0</v>
          </cell>
          <cell r="BF83">
            <v>10</v>
          </cell>
          <cell r="BG83">
            <v>8</v>
          </cell>
          <cell r="BH83">
            <v>0</v>
          </cell>
          <cell r="BI83">
            <v>487</v>
          </cell>
          <cell r="BL83" t="str">
            <v>0802020202</v>
          </cell>
          <cell r="BM83">
            <v>250</v>
          </cell>
          <cell r="BP83" t="str">
            <v>0802020202</v>
          </cell>
          <cell r="BQ83">
            <v>200</v>
          </cell>
        </row>
        <row r="84">
          <cell r="AH84" t="str">
            <v>08020202020202</v>
          </cell>
          <cell r="AI84">
            <v>25</v>
          </cell>
          <cell r="AJ84">
            <v>6</v>
          </cell>
          <cell r="AK84">
            <v>25</v>
          </cell>
          <cell r="AL84">
            <v>10</v>
          </cell>
          <cell r="AM84">
            <v>0</v>
          </cell>
          <cell r="AN84">
            <v>0</v>
          </cell>
          <cell r="AO84">
            <v>21</v>
          </cell>
          <cell r="AP84">
            <v>0</v>
          </cell>
          <cell r="AQ84">
            <v>0</v>
          </cell>
          <cell r="AR84">
            <v>215</v>
          </cell>
          <cell r="AS84">
            <v>0</v>
          </cell>
          <cell r="AT84">
            <v>0</v>
          </cell>
          <cell r="AU84">
            <v>0</v>
          </cell>
          <cell r="AV84">
            <v>302</v>
          </cell>
          <cell r="AY84" t="str">
            <v>08020202020202</v>
          </cell>
          <cell r="AZ84">
            <v>38</v>
          </cell>
          <cell r="BA84">
            <v>20</v>
          </cell>
          <cell r="BB84">
            <v>163</v>
          </cell>
          <cell r="BC84">
            <v>2</v>
          </cell>
          <cell r="BD84">
            <v>304</v>
          </cell>
          <cell r="BE84">
            <v>0</v>
          </cell>
          <cell r="BF84">
            <v>10</v>
          </cell>
          <cell r="BG84">
            <v>8</v>
          </cell>
          <cell r="BH84">
            <v>0</v>
          </cell>
          <cell r="BI84">
            <v>487</v>
          </cell>
          <cell r="BL84" t="str">
            <v>0802020202</v>
          </cell>
          <cell r="BM84">
            <v>250</v>
          </cell>
          <cell r="BP84" t="str">
            <v>0802020202</v>
          </cell>
          <cell r="BQ84">
            <v>200</v>
          </cell>
        </row>
        <row r="85">
          <cell r="AH85" t="str">
            <v>09020401020202</v>
          </cell>
          <cell r="AI85">
            <v>25</v>
          </cell>
          <cell r="AJ85">
            <v>0</v>
          </cell>
          <cell r="AK85">
            <v>0</v>
          </cell>
          <cell r="AL85">
            <v>0</v>
          </cell>
          <cell r="AM85">
            <v>0</v>
          </cell>
          <cell r="AN85">
            <v>0</v>
          </cell>
          <cell r="AO85">
            <v>21</v>
          </cell>
          <cell r="AP85">
            <v>50</v>
          </cell>
          <cell r="AQ85">
            <v>6</v>
          </cell>
          <cell r="AR85">
            <v>0</v>
          </cell>
          <cell r="AS85">
            <v>0</v>
          </cell>
          <cell r="AT85">
            <v>0</v>
          </cell>
          <cell r="AU85">
            <v>0</v>
          </cell>
          <cell r="AV85">
            <v>102</v>
          </cell>
          <cell r="AY85" t="str">
            <v>09020401020202</v>
          </cell>
          <cell r="AZ85">
            <v>13</v>
          </cell>
          <cell r="BA85">
            <v>7</v>
          </cell>
          <cell r="BB85">
            <v>59</v>
          </cell>
          <cell r="BC85">
            <v>2</v>
          </cell>
          <cell r="BD85">
            <v>104</v>
          </cell>
          <cell r="BE85">
            <v>0</v>
          </cell>
          <cell r="BF85">
            <v>10</v>
          </cell>
          <cell r="BG85">
            <v>8</v>
          </cell>
          <cell r="BH85">
            <v>0</v>
          </cell>
          <cell r="BI85">
            <v>183</v>
          </cell>
          <cell r="BL85" t="str">
            <v>0902040202</v>
          </cell>
          <cell r="BM85">
            <v>230</v>
          </cell>
          <cell r="BP85" t="str">
            <v>0902040202</v>
          </cell>
          <cell r="BQ85">
            <v>75</v>
          </cell>
        </row>
        <row r="86">
          <cell r="AH86" t="str">
            <v>09020402020202</v>
          </cell>
          <cell r="AI86">
            <v>25</v>
          </cell>
          <cell r="AJ86">
            <v>0</v>
          </cell>
          <cell r="AK86">
            <v>0</v>
          </cell>
          <cell r="AL86">
            <v>0</v>
          </cell>
          <cell r="AM86">
            <v>0</v>
          </cell>
          <cell r="AN86">
            <v>0</v>
          </cell>
          <cell r="AO86">
            <v>21</v>
          </cell>
          <cell r="AP86">
            <v>50</v>
          </cell>
          <cell r="AQ86">
            <v>6</v>
          </cell>
          <cell r="AR86">
            <v>0</v>
          </cell>
          <cell r="AS86">
            <v>0</v>
          </cell>
          <cell r="AT86">
            <v>0</v>
          </cell>
          <cell r="AU86">
            <v>0</v>
          </cell>
          <cell r="AV86">
            <v>102</v>
          </cell>
          <cell r="AY86" t="str">
            <v>09020402020202</v>
          </cell>
          <cell r="AZ86">
            <v>13</v>
          </cell>
          <cell r="BA86">
            <v>7</v>
          </cell>
          <cell r="BB86">
            <v>59</v>
          </cell>
          <cell r="BC86">
            <v>2</v>
          </cell>
          <cell r="BD86">
            <v>104</v>
          </cell>
          <cell r="BE86">
            <v>0</v>
          </cell>
          <cell r="BF86">
            <v>10</v>
          </cell>
          <cell r="BG86">
            <v>8</v>
          </cell>
          <cell r="BH86">
            <v>0</v>
          </cell>
          <cell r="BI86">
            <v>183</v>
          </cell>
          <cell r="BL86" t="str">
            <v>0902040202</v>
          </cell>
          <cell r="BM86">
            <v>230</v>
          </cell>
          <cell r="BP86" t="str">
            <v>0902040202</v>
          </cell>
          <cell r="BQ86">
            <v>75</v>
          </cell>
        </row>
        <row r="87">
          <cell r="AH87" t="str">
            <v>09020501020202</v>
          </cell>
          <cell r="AI87">
            <v>25</v>
          </cell>
          <cell r="AJ87">
            <v>0</v>
          </cell>
          <cell r="AK87">
            <v>0</v>
          </cell>
          <cell r="AL87">
            <v>10</v>
          </cell>
          <cell r="AM87">
            <v>0</v>
          </cell>
          <cell r="AN87">
            <v>0</v>
          </cell>
          <cell r="AO87">
            <v>0</v>
          </cell>
          <cell r="AP87">
            <v>50</v>
          </cell>
          <cell r="AQ87">
            <v>6</v>
          </cell>
          <cell r="AR87">
            <v>0</v>
          </cell>
          <cell r="AS87">
            <v>0</v>
          </cell>
          <cell r="AT87">
            <v>0</v>
          </cell>
          <cell r="AU87">
            <v>0</v>
          </cell>
          <cell r="AV87">
            <v>91</v>
          </cell>
          <cell r="AY87" t="str">
            <v>09020501020202</v>
          </cell>
          <cell r="AZ87">
            <v>13</v>
          </cell>
          <cell r="BA87">
            <v>7</v>
          </cell>
          <cell r="BB87">
            <v>59</v>
          </cell>
          <cell r="BC87">
            <v>2</v>
          </cell>
          <cell r="BD87">
            <v>104</v>
          </cell>
          <cell r="BE87">
            <v>0</v>
          </cell>
          <cell r="BF87">
            <v>10</v>
          </cell>
          <cell r="BG87">
            <v>8</v>
          </cell>
          <cell r="BH87">
            <v>0</v>
          </cell>
          <cell r="BI87">
            <v>183</v>
          </cell>
          <cell r="BL87" t="str">
            <v>0902050202</v>
          </cell>
          <cell r="BM87">
            <v>230</v>
          </cell>
          <cell r="BP87" t="str">
            <v>0902050202</v>
          </cell>
          <cell r="BQ87">
            <v>75</v>
          </cell>
        </row>
        <row r="88">
          <cell r="AH88" t="str">
            <v>09020502020202</v>
          </cell>
          <cell r="AI88">
            <v>25</v>
          </cell>
          <cell r="AJ88">
            <v>0</v>
          </cell>
          <cell r="AK88">
            <v>0</v>
          </cell>
          <cell r="AL88">
            <v>10</v>
          </cell>
          <cell r="AM88">
            <v>0</v>
          </cell>
          <cell r="AN88">
            <v>0</v>
          </cell>
          <cell r="AO88">
            <v>0</v>
          </cell>
          <cell r="AP88">
            <v>50</v>
          </cell>
          <cell r="AQ88">
            <v>6</v>
          </cell>
          <cell r="AR88">
            <v>0</v>
          </cell>
          <cell r="AS88">
            <v>0</v>
          </cell>
          <cell r="AT88">
            <v>0</v>
          </cell>
          <cell r="AU88">
            <v>0</v>
          </cell>
          <cell r="AV88">
            <v>91</v>
          </cell>
          <cell r="AY88" t="str">
            <v>09020502020202</v>
          </cell>
          <cell r="AZ88">
            <v>13</v>
          </cell>
          <cell r="BA88">
            <v>7</v>
          </cell>
          <cell r="BB88">
            <v>59</v>
          </cell>
          <cell r="BC88">
            <v>2</v>
          </cell>
          <cell r="BD88">
            <v>104</v>
          </cell>
          <cell r="BE88">
            <v>0</v>
          </cell>
          <cell r="BF88">
            <v>10</v>
          </cell>
          <cell r="BG88">
            <v>8</v>
          </cell>
          <cell r="BH88">
            <v>0</v>
          </cell>
          <cell r="BI88">
            <v>183</v>
          </cell>
          <cell r="BL88" t="str">
            <v>0902050202</v>
          </cell>
          <cell r="BM88">
            <v>230</v>
          </cell>
          <cell r="BP88" t="str">
            <v>0902050202</v>
          </cell>
          <cell r="BQ88">
            <v>75</v>
          </cell>
        </row>
        <row r="89">
          <cell r="AH89" t="str">
            <v>09020101020202</v>
          </cell>
          <cell r="AI89">
            <v>25</v>
          </cell>
          <cell r="AJ89">
            <v>0</v>
          </cell>
          <cell r="AK89">
            <v>0</v>
          </cell>
          <cell r="AL89">
            <v>10</v>
          </cell>
          <cell r="AM89">
            <v>0</v>
          </cell>
          <cell r="AN89">
            <v>0</v>
          </cell>
          <cell r="AO89">
            <v>0</v>
          </cell>
          <cell r="AP89">
            <v>50</v>
          </cell>
          <cell r="AQ89">
            <v>6</v>
          </cell>
          <cell r="AR89">
            <v>0</v>
          </cell>
          <cell r="AS89">
            <v>0</v>
          </cell>
          <cell r="AT89">
            <v>0</v>
          </cell>
          <cell r="AU89">
            <v>0</v>
          </cell>
          <cell r="AV89">
            <v>91</v>
          </cell>
          <cell r="AY89" t="str">
            <v>09020101020202</v>
          </cell>
          <cell r="AZ89">
            <v>13</v>
          </cell>
          <cell r="BA89">
            <v>7</v>
          </cell>
          <cell r="BB89">
            <v>59</v>
          </cell>
          <cell r="BC89">
            <v>2</v>
          </cell>
          <cell r="BD89">
            <v>104</v>
          </cell>
          <cell r="BE89">
            <v>0</v>
          </cell>
          <cell r="BF89">
            <v>10</v>
          </cell>
          <cell r="BG89">
            <v>8</v>
          </cell>
          <cell r="BH89">
            <v>0</v>
          </cell>
          <cell r="BI89">
            <v>183</v>
          </cell>
          <cell r="BL89" t="str">
            <v>0902010202</v>
          </cell>
          <cell r="BM89">
            <v>230</v>
          </cell>
          <cell r="BP89" t="str">
            <v>0902010202</v>
          </cell>
          <cell r="BQ89">
            <v>75</v>
          </cell>
        </row>
        <row r="90">
          <cell r="AH90" t="str">
            <v>09020102020202</v>
          </cell>
          <cell r="AI90">
            <v>25</v>
          </cell>
          <cell r="AJ90">
            <v>0</v>
          </cell>
          <cell r="AK90">
            <v>0</v>
          </cell>
          <cell r="AL90">
            <v>10</v>
          </cell>
          <cell r="AM90">
            <v>0</v>
          </cell>
          <cell r="AN90">
            <v>0</v>
          </cell>
          <cell r="AO90">
            <v>0</v>
          </cell>
          <cell r="AP90">
            <v>50</v>
          </cell>
          <cell r="AQ90">
            <v>6</v>
          </cell>
          <cell r="AR90">
            <v>0</v>
          </cell>
          <cell r="AS90">
            <v>0</v>
          </cell>
          <cell r="AT90">
            <v>0</v>
          </cell>
          <cell r="AU90">
            <v>0</v>
          </cell>
          <cell r="AV90">
            <v>91</v>
          </cell>
          <cell r="AY90" t="str">
            <v>09020102020202</v>
          </cell>
          <cell r="AZ90">
            <v>13</v>
          </cell>
          <cell r="BA90">
            <v>7</v>
          </cell>
          <cell r="BB90">
            <v>59</v>
          </cell>
          <cell r="BC90">
            <v>2</v>
          </cell>
          <cell r="BD90">
            <v>104</v>
          </cell>
          <cell r="BE90">
            <v>0</v>
          </cell>
          <cell r="BF90">
            <v>10</v>
          </cell>
          <cell r="BG90">
            <v>8</v>
          </cell>
          <cell r="BH90">
            <v>0</v>
          </cell>
          <cell r="BI90">
            <v>183</v>
          </cell>
          <cell r="BL90" t="str">
            <v>0902010202</v>
          </cell>
          <cell r="BM90">
            <v>230</v>
          </cell>
          <cell r="BP90" t="str">
            <v>0902010202</v>
          </cell>
          <cell r="BQ90">
            <v>75</v>
          </cell>
        </row>
        <row r="91">
          <cell r="AH91" t="str">
            <v>02020101020202</v>
          </cell>
          <cell r="AI91">
            <v>25</v>
          </cell>
          <cell r="AJ91">
            <v>6</v>
          </cell>
          <cell r="AK91">
            <v>25</v>
          </cell>
          <cell r="AL91">
            <v>10</v>
          </cell>
          <cell r="AM91">
            <v>0</v>
          </cell>
          <cell r="AN91">
            <v>0</v>
          </cell>
          <cell r="AO91">
            <v>21</v>
          </cell>
          <cell r="AP91">
            <v>0</v>
          </cell>
          <cell r="AQ91">
            <v>0</v>
          </cell>
          <cell r="AR91">
            <v>0</v>
          </cell>
          <cell r="AS91">
            <v>0</v>
          </cell>
          <cell r="AT91">
            <v>0</v>
          </cell>
          <cell r="AU91">
            <v>0</v>
          </cell>
          <cell r="AV91">
            <v>87</v>
          </cell>
          <cell r="AY91" t="str">
            <v>02020101020202</v>
          </cell>
          <cell r="AZ91">
            <v>38</v>
          </cell>
          <cell r="BA91">
            <v>20</v>
          </cell>
          <cell r="BB91">
            <v>163</v>
          </cell>
          <cell r="BC91">
            <v>2</v>
          </cell>
          <cell r="BD91">
            <v>304</v>
          </cell>
          <cell r="BE91">
            <v>0</v>
          </cell>
          <cell r="BF91">
            <v>10</v>
          </cell>
          <cell r="BG91">
            <v>8</v>
          </cell>
          <cell r="BH91">
            <v>0</v>
          </cell>
          <cell r="BI91">
            <v>487</v>
          </cell>
          <cell r="BL91" t="str">
            <v>0202010202</v>
          </cell>
          <cell r="BM91">
            <v>500</v>
          </cell>
          <cell r="BP91" t="str">
            <v>0202010202</v>
          </cell>
          <cell r="BQ91">
            <v>200</v>
          </cell>
        </row>
        <row r="92">
          <cell r="AH92" t="str">
            <v>02020102020202</v>
          </cell>
          <cell r="AI92">
            <v>25</v>
          </cell>
          <cell r="AJ92">
            <v>6</v>
          </cell>
          <cell r="AK92">
            <v>25</v>
          </cell>
          <cell r="AL92">
            <v>10</v>
          </cell>
          <cell r="AM92">
            <v>0</v>
          </cell>
          <cell r="AN92">
            <v>0</v>
          </cell>
          <cell r="AO92">
            <v>21</v>
          </cell>
          <cell r="AP92">
            <v>0</v>
          </cell>
          <cell r="AQ92">
            <v>0</v>
          </cell>
          <cell r="AR92">
            <v>0</v>
          </cell>
          <cell r="AS92">
            <v>0</v>
          </cell>
          <cell r="AT92">
            <v>0</v>
          </cell>
          <cell r="AU92">
            <v>0</v>
          </cell>
          <cell r="AV92">
            <v>87</v>
          </cell>
          <cell r="AY92" t="str">
            <v>02020102020202</v>
          </cell>
          <cell r="AZ92">
            <v>38</v>
          </cell>
          <cell r="BA92">
            <v>20</v>
          </cell>
          <cell r="BB92">
            <v>163</v>
          </cell>
          <cell r="BC92">
            <v>2</v>
          </cell>
          <cell r="BD92">
            <v>304</v>
          </cell>
          <cell r="BE92">
            <v>0</v>
          </cell>
          <cell r="BF92">
            <v>10</v>
          </cell>
          <cell r="BG92">
            <v>8</v>
          </cell>
          <cell r="BH92">
            <v>0</v>
          </cell>
          <cell r="BI92">
            <v>487</v>
          </cell>
          <cell r="BL92" t="str">
            <v>0202010202</v>
          </cell>
          <cell r="BM92">
            <v>500</v>
          </cell>
          <cell r="BP92" t="str">
            <v>0202010202</v>
          </cell>
          <cell r="BQ92">
            <v>200</v>
          </cell>
        </row>
        <row r="93">
          <cell r="AH93" t="str">
            <v>06020101020202</v>
          </cell>
          <cell r="AI93">
            <v>25</v>
          </cell>
          <cell r="AJ93">
            <v>0</v>
          </cell>
          <cell r="AK93">
            <v>0</v>
          </cell>
          <cell r="AL93">
            <v>10</v>
          </cell>
          <cell r="AM93">
            <v>0</v>
          </cell>
          <cell r="AN93">
            <v>0</v>
          </cell>
          <cell r="AO93">
            <v>0</v>
          </cell>
          <cell r="AP93">
            <v>50</v>
          </cell>
          <cell r="AQ93">
            <v>6</v>
          </cell>
          <cell r="AR93">
            <v>0</v>
          </cell>
          <cell r="AS93">
            <v>0</v>
          </cell>
          <cell r="AT93">
            <v>0</v>
          </cell>
          <cell r="AU93">
            <v>0</v>
          </cell>
          <cell r="AV93">
            <v>91</v>
          </cell>
          <cell r="AY93" t="str">
            <v>06020101020202</v>
          </cell>
          <cell r="AZ93">
            <v>13</v>
          </cell>
          <cell r="BA93">
            <v>7</v>
          </cell>
          <cell r="BB93">
            <v>59</v>
          </cell>
          <cell r="BC93">
            <v>2</v>
          </cell>
          <cell r="BD93">
            <v>104</v>
          </cell>
          <cell r="BE93">
            <v>0</v>
          </cell>
          <cell r="BF93">
            <v>10</v>
          </cell>
          <cell r="BG93">
            <v>8</v>
          </cell>
          <cell r="BH93">
            <v>0</v>
          </cell>
          <cell r="BI93">
            <v>183</v>
          </cell>
          <cell r="BL93" t="str">
            <v>0602010202</v>
          </cell>
          <cell r="BM93">
            <v>150</v>
          </cell>
          <cell r="BP93" t="str">
            <v>0602010202</v>
          </cell>
          <cell r="BQ93">
            <v>75</v>
          </cell>
        </row>
        <row r="94">
          <cell r="AH94" t="str">
            <v>06020102020202</v>
          </cell>
          <cell r="AI94">
            <v>25</v>
          </cell>
          <cell r="AJ94">
            <v>0</v>
          </cell>
          <cell r="AK94">
            <v>0</v>
          </cell>
          <cell r="AL94">
            <v>10</v>
          </cell>
          <cell r="AM94">
            <v>0</v>
          </cell>
          <cell r="AN94">
            <v>0</v>
          </cell>
          <cell r="AO94">
            <v>0</v>
          </cell>
          <cell r="AP94">
            <v>50</v>
          </cell>
          <cell r="AQ94">
            <v>6</v>
          </cell>
          <cell r="AR94">
            <v>0</v>
          </cell>
          <cell r="AS94">
            <v>0</v>
          </cell>
          <cell r="AT94">
            <v>0</v>
          </cell>
          <cell r="AU94">
            <v>0</v>
          </cell>
          <cell r="AV94">
            <v>91</v>
          </cell>
          <cell r="AY94" t="str">
            <v>06020102020202</v>
          </cell>
          <cell r="AZ94">
            <v>13</v>
          </cell>
          <cell r="BA94">
            <v>7</v>
          </cell>
          <cell r="BB94">
            <v>59</v>
          </cell>
          <cell r="BC94">
            <v>2</v>
          </cell>
          <cell r="BD94">
            <v>104</v>
          </cell>
          <cell r="BE94">
            <v>0</v>
          </cell>
          <cell r="BF94">
            <v>10</v>
          </cell>
          <cell r="BG94">
            <v>8</v>
          </cell>
          <cell r="BH94">
            <v>0</v>
          </cell>
          <cell r="BI94">
            <v>183</v>
          </cell>
          <cell r="BL94" t="str">
            <v>0602010202</v>
          </cell>
          <cell r="BM94">
            <v>150</v>
          </cell>
          <cell r="BP94" t="str">
            <v>0602010202</v>
          </cell>
          <cell r="BQ94">
            <v>75</v>
          </cell>
        </row>
      </sheetData>
      <sheetData sheetId="4">
        <row r="30">
          <cell r="D30" t="str">
            <v>Total a Pagar por el cliente</v>
          </cell>
        </row>
        <row r="140">
          <cell r="A140">
            <v>1</v>
          </cell>
        </row>
        <row r="141">
          <cell r="A141">
            <v>50001</v>
          </cell>
        </row>
        <row r="142">
          <cell r="A142">
            <v>80001</v>
          </cell>
        </row>
        <row r="143">
          <cell r="A143">
            <v>100001</v>
          </cell>
        </row>
        <row r="144">
          <cell r="A144">
            <v>150001</v>
          </cell>
        </row>
        <row r="145">
          <cell r="A145">
            <v>200001</v>
          </cell>
        </row>
        <row r="146">
          <cell r="A146">
            <v>250001</v>
          </cell>
        </row>
        <row r="147">
          <cell r="A147">
            <v>300001</v>
          </cell>
        </row>
        <row r="148">
          <cell r="A148">
            <v>350001</v>
          </cell>
        </row>
        <row r="149">
          <cell r="A149">
            <v>400001</v>
          </cell>
        </row>
        <row r="150">
          <cell r="A150">
            <v>450001</v>
          </cell>
        </row>
        <row r="151">
          <cell r="A151">
            <v>500001</v>
          </cell>
        </row>
        <row r="152">
          <cell r="A152">
            <v>550001</v>
          </cell>
        </row>
      </sheetData>
      <sheetData sheetId="5">
        <row r="2">
          <cell r="A2">
            <v>0</v>
          </cell>
          <cell r="B2">
            <v>250</v>
          </cell>
          <cell r="F2">
            <v>0</v>
          </cell>
          <cell r="G2">
            <v>250</v>
          </cell>
          <cell r="J2">
            <v>0</v>
          </cell>
          <cell r="K2">
            <v>250</v>
          </cell>
        </row>
        <row r="3">
          <cell r="A3">
            <v>5001</v>
          </cell>
          <cell r="B3">
            <v>250</v>
          </cell>
          <cell r="F3">
            <v>5001</v>
          </cell>
          <cell r="G3">
            <v>250</v>
          </cell>
          <cell r="J3">
            <v>5001</v>
          </cell>
          <cell r="K3">
            <v>250</v>
          </cell>
        </row>
        <row r="4">
          <cell r="A4">
            <v>18001</v>
          </cell>
          <cell r="B4">
            <v>250</v>
          </cell>
          <cell r="F4">
            <v>18001</v>
          </cell>
          <cell r="G4">
            <v>250</v>
          </cell>
          <cell r="J4">
            <v>18001</v>
          </cell>
          <cell r="K4">
            <v>250</v>
          </cell>
        </row>
        <row r="5">
          <cell r="A5">
            <v>25001</v>
          </cell>
          <cell r="B5">
            <v>250</v>
          </cell>
          <cell r="F5">
            <v>25001</v>
          </cell>
          <cell r="G5">
            <v>250</v>
          </cell>
          <cell r="J5">
            <v>25001</v>
          </cell>
          <cell r="K5">
            <v>250</v>
          </cell>
        </row>
        <row r="6">
          <cell r="A6">
            <v>30001</v>
          </cell>
          <cell r="B6">
            <v>250</v>
          </cell>
          <cell r="F6">
            <v>30001</v>
          </cell>
          <cell r="G6">
            <v>250</v>
          </cell>
          <cell r="J6">
            <v>30001</v>
          </cell>
          <cell r="K6">
            <v>250</v>
          </cell>
        </row>
        <row r="7">
          <cell r="A7">
            <v>40001</v>
          </cell>
          <cell r="B7">
            <v>300</v>
          </cell>
          <cell r="F7">
            <v>40001</v>
          </cell>
          <cell r="G7">
            <v>300</v>
          </cell>
          <cell r="J7">
            <v>40001</v>
          </cell>
          <cell r="K7">
            <v>300</v>
          </cell>
        </row>
        <row r="8">
          <cell r="A8">
            <v>50001</v>
          </cell>
          <cell r="B8">
            <v>300</v>
          </cell>
          <cell r="F8">
            <v>50001</v>
          </cell>
          <cell r="G8">
            <v>300</v>
          </cell>
          <cell r="J8">
            <v>50001</v>
          </cell>
          <cell r="K8">
            <v>300</v>
          </cell>
        </row>
        <row r="9">
          <cell r="A9">
            <v>62501</v>
          </cell>
          <cell r="B9">
            <v>350</v>
          </cell>
          <cell r="F9">
            <v>62501</v>
          </cell>
          <cell r="G9">
            <v>350</v>
          </cell>
          <cell r="J9">
            <v>62501</v>
          </cell>
          <cell r="K9">
            <v>350</v>
          </cell>
        </row>
        <row r="10">
          <cell r="A10">
            <v>70001</v>
          </cell>
          <cell r="B10">
            <v>350</v>
          </cell>
          <cell r="F10">
            <v>70001</v>
          </cell>
          <cell r="G10">
            <v>350</v>
          </cell>
          <cell r="J10">
            <v>70001</v>
          </cell>
          <cell r="K10">
            <v>350</v>
          </cell>
        </row>
        <row r="11">
          <cell r="A11">
            <v>80001</v>
          </cell>
          <cell r="B11">
            <v>500</v>
          </cell>
          <cell r="F11">
            <v>80001</v>
          </cell>
          <cell r="G11">
            <v>500</v>
          </cell>
          <cell r="J11">
            <v>80001</v>
          </cell>
          <cell r="K11">
            <v>500</v>
          </cell>
        </row>
        <row r="12">
          <cell r="A12">
            <v>90001</v>
          </cell>
          <cell r="B12">
            <v>500</v>
          </cell>
          <cell r="F12">
            <v>90001</v>
          </cell>
          <cell r="G12">
            <v>500</v>
          </cell>
          <cell r="J12">
            <v>90001</v>
          </cell>
          <cell r="K12">
            <v>500</v>
          </cell>
        </row>
        <row r="13">
          <cell r="A13">
            <v>125001</v>
          </cell>
          <cell r="B13">
            <v>500</v>
          </cell>
          <cell r="F13">
            <v>125001</v>
          </cell>
          <cell r="G13">
            <v>500</v>
          </cell>
          <cell r="J13">
            <v>125001</v>
          </cell>
          <cell r="K13">
            <v>500</v>
          </cell>
        </row>
        <row r="14">
          <cell r="A14">
            <v>150001</v>
          </cell>
          <cell r="B14">
            <v>500</v>
          </cell>
          <cell r="F14">
            <v>150001</v>
          </cell>
          <cell r="G14">
            <v>500</v>
          </cell>
          <cell r="J14">
            <v>150001</v>
          </cell>
          <cell r="K14">
            <v>500</v>
          </cell>
        </row>
        <row r="15">
          <cell r="A15">
            <v>175001</v>
          </cell>
          <cell r="B15">
            <v>500</v>
          </cell>
          <cell r="F15">
            <v>175001</v>
          </cell>
          <cell r="G15">
            <v>500</v>
          </cell>
          <cell r="J15">
            <v>175001</v>
          </cell>
          <cell r="K15">
            <v>500</v>
          </cell>
        </row>
        <row r="16">
          <cell r="A16">
            <v>200001</v>
          </cell>
          <cell r="B16">
            <v>500</v>
          </cell>
          <cell r="F16">
            <v>200001</v>
          </cell>
          <cell r="G16">
            <v>500</v>
          </cell>
          <cell r="J16">
            <v>200001</v>
          </cell>
          <cell r="K16">
            <v>500</v>
          </cell>
        </row>
        <row r="17">
          <cell r="A17">
            <v>250001</v>
          </cell>
          <cell r="B17">
            <v>500</v>
          </cell>
          <cell r="F17">
            <v>250001</v>
          </cell>
          <cell r="G17">
            <v>500</v>
          </cell>
          <cell r="J17">
            <v>250001</v>
          </cell>
          <cell r="K17">
            <v>500</v>
          </cell>
        </row>
        <row r="18">
          <cell r="A18">
            <v>300001</v>
          </cell>
          <cell r="B18">
            <v>500</v>
          </cell>
          <cell r="F18">
            <v>300001</v>
          </cell>
          <cell r="G18">
            <v>500</v>
          </cell>
          <cell r="J18">
            <v>300001</v>
          </cell>
          <cell r="K18">
            <v>500</v>
          </cell>
        </row>
        <row r="19">
          <cell r="A19">
            <v>350001</v>
          </cell>
          <cell r="B19">
            <v>500</v>
          </cell>
          <cell r="F19">
            <v>350001</v>
          </cell>
          <cell r="G19">
            <v>500</v>
          </cell>
          <cell r="J19">
            <v>350001</v>
          </cell>
          <cell r="K19">
            <v>500</v>
          </cell>
        </row>
        <row r="20">
          <cell r="A20">
            <v>451001</v>
          </cell>
          <cell r="B20">
            <v>500</v>
          </cell>
          <cell r="F20">
            <v>451001</v>
          </cell>
          <cell r="G20">
            <v>500</v>
          </cell>
          <cell r="J20">
            <v>451001</v>
          </cell>
          <cell r="K20">
            <v>500</v>
          </cell>
        </row>
        <row r="25">
          <cell r="A25">
            <v>0</v>
          </cell>
          <cell r="B25">
            <v>140</v>
          </cell>
          <cell r="F25">
            <v>0</v>
          </cell>
          <cell r="G25">
            <v>250</v>
          </cell>
          <cell r="J25">
            <v>0</v>
          </cell>
          <cell r="K25">
            <v>140</v>
          </cell>
        </row>
        <row r="26">
          <cell r="A26">
            <v>5001</v>
          </cell>
          <cell r="B26">
            <v>140</v>
          </cell>
          <cell r="F26">
            <v>5001</v>
          </cell>
          <cell r="G26">
            <v>250</v>
          </cell>
          <cell r="J26">
            <v>5001</v>
          </cell>
          <cell r="K26">
            <v>140</v>
          </cell>
        </row>
        <row r="27">
          <cell r="A27">
            <v>18001</v>
          </cell>
          <cell r="B27">
            <v>150</v>
          </cell>
          <cell r="J27">
            <v>18001</v>
          </cell>
          <cell r="K27">
            <v>150</v>
          </cell>
        </row>
        <row r="28">
          <cell r="A28">
            <v>25001</v>
          </cell>
          <cell r="B28">
            <v>160</v>
          </cell>
          <cell r="J28">
            <v>25001</v>
          </cell>
          <cell r="K28">
            <v>160</v>
          </cell>
        </row>
        <row r="29">
          <cell r="A29">
            <v>30001</v>
          </cell>
          <cell r="B29">
            <v>160</v>
          </cell>
          <cell r="J29">
            <v>30001</v>
          </cell>
          <cell r="K29">
            <v>160</v>
          </cell>
        </row>
        <row r="30">
          <cell r="A30">
            <v>40001</v>
          </cell>
          <cell r="B30">
            <v>210</v>
          </cell>
          <cell r="J30">
            <v>40001</v>
          </cell>
          <cell r="K30">
            <v>210</v>
          </cell>
        </row>
        <row r="31">
          <cell r="A31">
            <v>50001</v>
          </cell>
          <cell r="B31">
            <v>230</v>
          </cell>
          <cell r="F31">
            <v>0</v>
          </cell>
          <cell r="G31">
            <v>400</v>
          </cell>
          <cell r="J31">
            <v>50001</v>
          </cell>
          <cell r="K31">
            <v>230</v>
          </cell>
        </row>
        <row r="32">
          <cell r="A32">
            <v>62501</v>
          </cell>
          <cell r="B32">
            <v>230</v>
          </cell>
          <cell r="F32">
            <v>5001</v>
          </cell>
          <cell r="G32">
            <v>400</v>
          </cell>
          <cell r="J32">
            <v>62501</v>
          </cell>
          <cell r="K32">
            <v>230</v>
          </cell>
        </row>
        <row r="33">
          <cell r="A33">
            <v>70001</v>
          </cell>
          <cell r="B33">
            <v>230</v>
          </cell>
          <cell r="F33">
            <v>25001</v>
          </cell>
          <cell r="G33">
            <v>400</v>
          </cell>
          <cell r="J33">
            <v>70001</v>
          </cell>
          <cell r="K33">
            <v>230</v>
          </cell>
        </row>
        <row r="34">
          <cell r="A34">
            <v>80001</v>
          </cell>
          <cell r="B34">
            <v>230</v>
          </cell>
          <cell r="F34">
            <v>40001</v>
          </cell>
          <cell r="G34">
            <v>400</v>
          </cell>
          <cell r="J34">
            <v>80001</v>
          </cell>
          <cell r="K34">
            <v>230</v>
          </cell>
        </row>
        <row r="35">
          <cell r="A35">
            <v>90001</v>
          </cell>
          <cell r="B35">
            <v>240</v>
          </cell>
          <cell r="F35">
            <v>62501</v>
          </cell>
          <cell r="G35">
            <v>400</v>
          </cell>
          <cell r="J35">
            <v>90001</v>
          </cell>
          <cell r="K35">
            <v>240</v>
          </cell>
        </row>
        <row r="36">
          <cell r="A36">
            <v>125001</v>
          </cell>
          <cell r="B36">
            <v>330</v>
          </cell>
          <cell r="F36">
            <v>80001</v>
          </cell>
          <cell r="G36">
            <v>400</v>
          </cell>
          <cell r="J36">
            <v>125001</v>
          </cell>
          <cell r="K36">
            <v>330</v>
          </cell>
        </row>
        <row r="37">
          <cell r="A37">
            <v>150001</v>
          </cell>
          <cell r="B37">
            <v>330</v>
          </cell>
          <cell r="F37">
            <v>100001</v>
          </cell>
          <cell r="G37">
            <v>400</v>
          </cell>
          <cell r="J37">
            <v>150001</v>
          </cell>
          <cell r="K37">
            <v>330</v>
          </cell>
        </row>
        <row r="38">
          <cell r="A38">
            <v>175001</v>
          </cell>
          <cell r="B38">
            <v>330</v>
          </cell>
          <cell r="F38">
            <v>150001</v>
          </cell>
          <cell r="G38">
            <v>400</v>
          </cell>
          <cell r="J38">
            <v>175001</v>
          </cell>
          <cell r="K38">
            <v>330</v>
          </cell>
        </row>
        <row r="39">
          <cell r="A39">
            <v>200001</v>
          </cell>
          <cell r="B39">
            <v>330</v>
          </cell>
          <cell r="F39">
            <v>200001</v>
          </cell>
          <cell r="G39">
            <v>400</v>
          </cell>
          <cell r="J39">
            <v>200001</v>
          </cell>
          <cell r="K39">
            <v>330</v>
          </cell>
        </row>
        <row r="40">
          <cell r="A40">
            <v>250001</v>
          </cell>
          <cell r="B40">
            <v>330</v>
          </cell>
          <cell r="F40">
            <v>250001</v>
          </cell>
          <cell r="G40">
            <v>400</v>
          </cell>
          <cell r="J40">
            <v>250001</v>
          </cell>
          <cell r="K40">
            <v>330</v>
          </cell>
        </row>
        <row r="41">
          <cell r="A41">
            <v>300001</v>
          </cell>
          <cell r="B41">
            <v>330</v>
          </cell>
          <cell r="F41">
            <v>350001</v>
          </cell>
          <cell r="G41">
            <v>400</v>
          </cell>
          <cell r="J41">
            <v>300001</v>
          </cell>
          <cell r="K41">
            <v>330</v>
          </cell>
        </row>
        <row r="42">
          <cell r="A42">
            <v>350001</v>
          </cell>
          <cell r="B42">
            <v>370</v>
          </cell>
          <cell r="J42">
            <v>350001</v>
          </cell>
          <cell r="K42">
            <v>370</v>
          </cell>
        </row>
        <row r="43">
          <cell r="A43">
            <v>451001</v>
          </cell>
          <cell r="B43">
            <v>370</v>
          </cell>
          <cell r="J43">
            <v>451000</v>
          </cell>
          <cell r="K43">
            <v>370</v>
          </cell>
        </row>
        <row r="47">
          <cell r="A47">
            <v>0</v>
          </cell>
          <cell r="B47">
            <v>250</v>
          </cell>
        </row>
        <row r="48">
          <cell r="A48">
            <v>21001</v>
          </cell>
          <cell r="B48">
            <v>250</v>
          </cell>
        </row>
        <row r="49">
          <cell r="A49">
            <v>70001</v>
          </cell>
          <cell r="B49">
            <v>250</v>
          </cell>
        </row>
        <row r="50">
          <cell r="A50">
            <v>90001</v>
          </cell>
          <cell r="B50">
            <v>250</v>
          </cell>
        </row>
        <row r="51">
          <cell r="A51">
            <v>125001</v>
          </cell>
          <cell r="B51">
            <v>250</v>
          </cell>
        </row>
        <row r="52">
          <cell r="A52">
            <v>175001</v>
          </cell>
          <cell r="B52">
            <v>250</v>
          </cell>
        </row>
        <row r="53">
          <cell r="A53">
            <v>200001</v>
          </cell>
          <cell r="B53">
            <v>250</v>
          </cell>
        </row>
        <row r="54">
          <cell r="A54">
            <v>250001</v>
          </cell>
          <cell r="B54">
            <v>250</v>
          </cell>
        </row>
        <row r="55">
          <cell r="A55">
            <v>300001</v>
          </cell>
          <cell r="B55">
            <v>250</v>
          </cell>
          <cell r="F55">
            <v>0</v>
          </cell>
          <cell r="G55">
            <v>250</v>
          </cell>
        </row>
        <row r="56">
          <cell r="A56">
            <v>350001</v>
          </cell>
          <cell r="B56">
            <v>250</v>
          </cell>
          <cell r="F56">
            <v>5001</v>
          </cell>
          <cell r="G56">
            <v>250</v>
          </cell>
        </row>
        <row r="57">
          <cell r="A57">
            <v>450001</v>
          </cell>
          <cell r="B57">
            <v>250</v>
          </cell>
          <cell r="F57">
            <v>18001</v>
          </cell>
          <cell r="G57">
            <v>250</v>
          </cell>
        </row>
        <row r="58">
          <cell r="F58">
            <v>25001</v>
          </cell>
          <cell r="G58">
            <v>250</v>
          </cell>
        </row>
        <row r="59">
          <cell r="F59">
            <v>30001</v>
          </cell>
          <cell r="G59">
            <v>250</v>
          </cell>
        </row>
        <row r="60">
          <cell r="F60">
            <v>40001</v>
          </cell>
          <cell r="G60">
            <v>300</v>
          </cell>
        </row>
        <row r="61">
          <cell r="F61">
            <v>50001</v>
          </cell>
          <cell r="G61">
            <v>300</v>
          </cell>
        </row>
        <row r="62">
          <cell r="F62">
            <v>62501</v>
          </cell>
          <cell r="G62">
            <v>350</v>
          </cell>
        </row>
        <row r="63">
          <cell r="A63">
            <v>0</v>
          </cell>
          <cell r="B63">
            <v>250</v>
          </cell>
          <cell r="F63">
            <v>70001</v>
          </cell>
          <cell r="G63">
            <v>350</v>
          </cell>
        </row>
        <row r="64">
          <cell r="A64">
            <v>5001</v>
          </cell>
          <cell r="B64">
            <v>250</v>
          </cell>
        </row>
        <row r="65">
          <cell r="A65">
            <v>18001</v>
          </cell>
          <cell r="B65">
            <v>250</v>
          </cell>
        </row>
        <row r="66">
          <cell r="A66">
            <v>25001</v>
          </cell>
          <cell r="B66">
            <v>250</v>
          </cell>
        </row>
        <row r="67">
          <cell r="A67">
            <v>30001</v>
          </cell>
          <cell r="B67">
            <v>250</v>
          </cell>
        </row>
        <row r="68">
          <cell r="A68">
            <v>40001</v>
          </cell>
          <cell r="B68">
            <v>300</v>
          </cell>
        </row>
        <row r="69">
          <cell r="A69">
            <v>50001</v>
          </cell>
          <cell r="B69">
            <v>300</v>
          </cell>
        </row>
        <row r="70">
          <cell r="A70">
            <v>62501</v>
          </cell>
          <cell r="B70">
            <v>350</v>
          </cell>
          <cell r="F70">
            <v>0</v>
          </cell>
          <cell r="G70">
            <v>70</v>
          </cell>
        </row>
        <row r="71">
          <cell r="A71">
            <v>70001</v>
          </cell>
          <cell r="B71">
            <v>350</v>
          </cell>
          <cell r="F71">
            <v>5001</v>
          </cell>
          <cell r="G71">
            <v>70</v>
          </cell>
        </row>
        <row r="72">
          <cell r="F72">
            <v>25001</v>
          </cell>
          <cell r="G72">
            <v>100</v>
          </cell>
        </row>
        <row r="73">
          <cell r="F73">
            <v>40001</v>
          </cell>
          <cell r="G73">
            <v>140</v>
          </cell>
        </row>
        <row r="74">
          <cell r="F74">
            <v>62501</v>
          </cell>
          <cell r="G74">
            <v>140</v>
          </cell>
        </row>
        <row r="75">
          <cell r="F75">
            <v>80001</v>
          </cell>
          <cell r="G75">
            <v>140</v>
          </cell>
        </row>
        <row r="76">
          <cell r="F76">
            <v>100001</v>
          </cell>
          <cell r="G76">
            <v>140</v>
          </cell>
        </row>
        <row r="77">
          <cell r="A77">
            <v>0</v>
          </cell>
          <cell r="B77">
            <v>150</v>
          </cell>
          <cell r="F77">
            <v>150001</v>
          </cell>
          <cell r="G77">
            <v>150</v>
          </cell>
        </row>
        <row r="78">
          <cell r="A78">
            <v>5001</v>
          </cell>
          <cell r="B78">
            <v>150</v>
          </cell>
          <cell r="F78">
            <v>200001</v>
          </cell>
          <cell r="G78">
            <v>150</v>
          </cell>
        </row>
        <row r="79">
          <cell r="A79">
            <v>25001</v>
          </cell>
          <cell r="B79">
            <v>150</v>
          </cell>
          <cell r="F79">
            <v>250001</v>
          </cell>
          <cell r="G79">
            <v>170</v>
          </cell>
        </row>
        <row r="80">
          <cell r="A80">
            <v>40001</v>
          </cell>
          <cell r="B80">
            <v>150</v>
          </cell>
          <cell r="F80">
            <v>350001</v>
          </cell>
          <cell r="G80">
            <v>170</v>
          </cell>
        </row>
        <row r="81">
          <cell r="A81">
            <v>62501</v>
          </cell>
          <cell r="B81">
            <v>150</v>
          </cell>
        </row>
        <row r="82">
          <cell r="A82">
            <v>80001</v>
          </cell>
          <cell r="B82">
            <v>150</v>
          </cell>
        </row>
        <row r="83">
          <cell r="A83">
            <v>100001</v>
          </cell>
          <cell r="B83">
            <v>150</v>
          </cell>
          <cell r="F83">
            <v>0</v>
          </cell>
          <cell r="G83">
            <v>75</v>
          </cell>
        </row>
        <row r="84">
          <cell r="A84">
            <v>150001</v>
          </cell>
          <cell r="B84">
            <v>150</v>
          </cell>
          <cell r="F84">
            <v>5000</v>
          </cell>
          <cell r="G84">
            <v>75</v>
          </cell>
        </row>
        <row r="85">
          <cell r="A85">
            <v>200001</v>
          </cell>
          <cell r="B85">
            <v>150</v>
          </cell>
          <cell r="F85">
            <v>25001</v>
          </cell>
          <cell r="G85">
            <v>75</v>
          </cell>
        </row>
        <row r="86">
          <cell r="A86">
            <v>250001</v>
          </cell>
          <cell r="B86">
            <v>150</v>
          </cell>
          <cell r="F86">
            <v>40001</v>
          </cell>
          <cell r="G86">
            <v>75</v>
          </cell>
        </row>
        <row r="87">
          <cell r="A87">
            <v>350001</v>
          </cell>
          <cell r="B87">
            <v>150</v>
          </cell>
          <cell r="F87">
            <v>62501</v>
          </cell>
          <cell r="G87">
            <v>75</v>
          </cell>
        </row>
        <row r="92">
          <cell r="F92">
            <v>5000</v>
          </cell>
          <cell r="G92">
            <v>500</v>
          </cell>
        </row>
        <row r="93">
          <cell r="F93">
            <v>25001</v>
          </cell>
          <cell r="G93">
            <v>500</v>
          </cell>
        </row>
        <row r="94">
          <cell r="A94">
            <v>0</v>
          </cell>
          <cell r="B94">
            <v>0</v>
          </cell>
          <cell r="F94">
            <v>40001</v>
          </cell>
          <cell r="G94">
            <v>500</v>
          </cell>
        </row>
        <row r="95">
          <cell r="A95">
            <v>350001</v>
          </cell>
          <cell r="B95">
            <v>0</v>
          </cell>
          <cell r="F95">
            <v>62501</v>
          </cell>
          <cell r="G95">
            <v>500</v>
          </cell>
        </row>
        <row r="96">
          <cell r="F96">
            <v>80001</v>
          </cell>
          <cell r="G96">
            <v>500</v>
          </cell>
        </row>
        <row r="97">
          <cell r="F97">
            <v>100001</v>
          </cell>
          <cell r="G97">
            <v>500</v>
          </cell>
        </row>
        <row r="98">
          <cell r="F98">
            <v>150001</v>
          </cell>
          <cell r="G98">
            <v>500</v>
          </cell>
        </row>
        <row r="99">
          <cell r="F99">
            <v>200001</v>
          </cell>
          <cell r="G99">
            <v>500</v>
          </cell>
        </row>
        <row r="100">
          <cell r="F100">
            <v>250001</v>
          </cell>
          <cell r="G100">
            <v>500</v>
          </cell>
        </row>
        <row r="101">
          <cell r="F101">
            <v>350001</v>
          </cell>
          <cell r="G101">
            <v>500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Categoría"/>
      <sheetName val="Base"/>
      <sheetName val="Area"/>
      <sheetName val="Hoja1 (2)"/>
      <sheetName val="Sept"/>
      <sheetName val="Enero"/>
      <sheetName val="Febrero"/>
      <sheetName val="Marzo"/>
      <sheetName val="Auditoría_EnCurso"/>
      <sheetName val="OtrasCate_EnCurso"/>
      <sheetName val="Auditoría_SinAsignar"/>
    </sheetNames>
    <sheetDataSet>
      <sheetData sheetId="0"/>
      <sheetData sheetId="1"/>
      <sheetData sheetId="2">
        <row r="3">
          <cell r="AF3" t="str">
            <v>Categorias</v>
          </cell>
          <cell r="AG3" t="str">
            <v>Secuencia</v>
          </cell>
        </row>
        <row r="4">
          <cell r="AF4" t="str">
            <v>Actualizaciones</v>
          </cell>
          <cell r="AG4">
            <v>1</v>
          </cell>
        </row>
        <row r="5">
          <cell r="AF5" t="str">
            <v>Correcciones</v>
          </cell>
          <cell r="AG5">
            <v>2</v>
          </cell>
        </row>
        <row r="6">
          <cell r="AF6" t="str">
            <v>Unificaciones</v>
          </cell>
          <cell r="AG6">
            <v>3</v>
          </cell>
        </row>
        <row r="7">
          <cell r="AF7" t="str">
            <v>Creación y Eliminación</v>
          </cell>
          <cell r="AG7">
            <v>4</v>
          </cell>
        </row>
        <row r="8">
          <cell r="AF8" t="str">
            <v>Auditoría</v>
          </cell>
          <cell r="AG8">
            <v>5</v>
          </cell>
        </row>
        <row r="9">
          <cell r="AF9" t="str">
            <v>Comunicaciones</v>
          </cell>
          <cell r="AG9">
            <v>6</v>
          </cell>
        </row>
        <row r="10">
          <cell r="AF10" t="str">
            <v>Mantenimientos</v>
          </cell>
          <cell r="AG10">
            <v>7</v>
          </cell>
        </row>
        <row r="11">
          <cell r="AF11" t="str">
            <v>Soporte Otras Áreas</v>
          </cell>
          <cell r="AG11">
            <v>8</v>
          </cell>
        </row>
      </sheetData>
      <sheetData sheetId="3"/>
      <sheetData sheetId="4"/>
      <sheetData sheetId="5"/>
      <sheetData sheetId="6"/>
      <sheetData sheetId="7"/>
      <sheetData sheetId="8"/>
      <sheetData sheetId="9"/>
      <sheetData sheetId="10"/>
      <sheetData sheetId="1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tización"/>
      <sheetName val="Cotización-Análisis_personal"/>
      <sheetName val="Guía de uso"/>
      <sheetName val="Información_listas"/>
    </sheetNames>
    <sheetDataSet>
      <sheetData sheetId="0"/>
      <sheetData sheetId="1">
        <row r="24">
          <cell r="C24">
            <v>6500</v>
          </cell>
        </row>
      </sheetData>
      <sheetData sheetId="2"/>
      <sheetData sheetId="3">
        <row r="15">
          <cell r="D15" t="str">
            <v>Elegir una opción</v>
          </cell>
        </row>
        <row r="16">
          <cell r="D16" t="str">
            <v>_7%</v>
          </cell>
        </row>
        <row r="17">
          <cell r="D17">
            <v>7.4999999999999997E-2</v>
          </cell>
        </row>
        <row r="18">
          <cell r="D18">
            <v>7.7499999999999999E-2</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3">
            <a:lumMod val="75000"/>
          </a:schemeClr>
        </a:solidFill>
      </a:spPr>
      <a:bodyPr vertOverflow="clip" rtlCol="0" anchor="ctr"/>
      <a:lstStyle>
        <a:defPPr algn="ctr">
          <a:defRPr sz="1100" b="1"/>
        </a:defPPr>
      </a:lstStyle>
      <a:style>
        <a:lnRef idx="0">
          <a:schemeClr val="accent3"/>
        </a:lnRef>
        <a:fillRef idx="3">
          <a:schemeClr val="accent3"/>
        </a:fillRef>
        <a:effectRef idx="3">
          <a:schemeClr val="accent3"/>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8"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oleObject" Target="../embeddings/Documento_de_Microsoft_Word_97-20033.doc"/><Relationship Id="rId2" Type="http://schemas.openxmlformats.org/officeDocument/2006/relationships/drawing" Target="../drawings/drawing8.xml"/><Relationship Id="rId1" Type="http://schemas.openxmlformats.org/officeDocument/2006/relationships/printerSettings" Target="../printerSettings/printerSettings15.bin"/><Relationship Id="rId6" Type="http://schemas.openxmlformats.org/officeDocument/2006/relationships/oleObject" Target="../embeddings/Documento_de_Microsoft_Word_97-20032.doc"/><Relationship Id="rId5" Type="http://schemas.openxmlformats.org/officeDocument/2006/relationships/image" Target="../media/image6.emf"/><Relationship Id="rId10" Type="http://schemas.openxmlformats.org/officeDocument/2006/relationships/image" Target="../media/image8.emf"/><Relationship Id="rId4" Type="http://schemas.openxmlformats.org/officeDocument/2006/relationships/oleObject" Target="../embeddings/Documento_de_Microsoft_Word_97-20031.doc"/><Relationship Id="rId9" Type="http://schemas.openxmlformats.org/officeDocument/2006/relationships/package" Target="../embeddings/Hoja_de_c_lculo_de_Microsoft_Excel1.xlsx"/></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omments" Target="../comments1.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8.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5.xml"/><Relationship Id="rId13" Type="http://schemas.openxmlformats.org/officeDocument/2006/relationships/comments" Target="../comments2.xml"/><Relationship Id="rId3" Type="http://schemas.openxmlformats.org/officeDocument/2006/relationships/vmlDrawing" Target="../drawings/vmlDrawing2.vml"/><Relationship Id="rId7" Type="http://schemas.openxmlformats.org/officeDocument/2006/relationships/ctrlProp" Target="../ctrlProps/ctrlProp14.xml"/><Relationship Id="rId12" Type="http://schemas.openxmlformats.org/officeDocument/2006/relationships/ctrlProp" Target="../ctrlProps/ctrlProp1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13.xml"/><Relationship Id="rId11" Type="http://schemas.openxmlformats.org/officeDocument/2006/relationships/ctrlProp" Target="../ctrlProps/ctrlProp18.xml"/><Relationship Id="rId5" Type="http://schemas.openxmlformats.org/officeDocument/2006/relationships/ctrlProp" Target="../ctrlProps/ctrlProp12.xml"/><Relationship Id="rId10" Type="http://schemas.openxmlformats.org/officeDocument/2006/relationships/ctrlProp" Target="../ctrlProps/ctrlProp17.xml"/><Relationship Id="rId4" Type="http://schemas.openxmlformats.org/officeDocument/2006/relationships/ctrlProp" Target="../ctrlProps/ctrlProp11.xml"/><Relationship Id="rId9" Type="http://schemas.openxmlformats.org/officeDocument/2006/relationships/ctrlProp" Target="../ctrlProps/ctrlProp1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4"/>
  <dimension ref="A1:N93"/>
  <sheetViews>
    <sheetView showGridLines="0" tabSelected="1" showRuler="0" showWhiteSpace="0" view="pageLayout" zoomScaleNormal="100" workbookViewId="0">
      <selection activeCell="E7" sqref="E7:E10"/>
    </sheetView>
  </sheetViews>
  <sheetFormatPr baseColWidth="10" defaultColWidth="0" defaultRowHeight="15" customHeight="1" zeroHeight="1" x14ac:dyDescent="0.25"/>
  <cols>
    <col min="1" max="1" width="1.140625" style="1408" customWidth="1"/>
    <col min="2" max="2" width="9.42578125" style="1408" customWidth="1"/>
    <col min="3" max="3" width="13.28515625" style="1408" customWidth="1"/>
    <col min="4" max="4" width="18.7109375" style="1408" customWidth="1"/>
    <col min="5" max="5" width="17.42578125" style="1408" customWidth="1"/>
    <col min="6" max="6" width="13.140625" style="1408" customWidth="1"/>
    <col min="7" max="7" width="3.7109375" style="1408" customWidth="1"/>
    <col min="8" max="8" width="2" style="1408" customWidth="1"/>
    <col min="9" max="14" width="0" style="1007" hidden="1" customWidth="1"/>
    <col min="15" max="16384" width="11.42578125" style="1007" hidden="1"/>
  </cols>
  <sheetData>
    <row r="1" spans="1:8" ht="14.25" customHeight="1" x14ac:dyDescent="0.25">
      <c r="A1" s="1381"/>
      <c r="B1" s="1381"/>
      <c r="C1" s="1381"/>
      <c r="D1" s="1381"/>
      <c r="E1" s="1381"/>
      <c r="F1" s="1381"/>
      <c r="G1" s="1381"/>
      <c r="H1" s="1381"/>
    </row>
    <row r="2" spans="1:8" hidden="1" x14ac:dyDescent="0.25">
      <c r="A2" s="1381"/>
      <c r="B2" s="1381"/>
      <c r="C2" s="1381"/>
      <c r="D2" s="1381"/>
      <c r="E2" s="1381"/>
      <c r="F2" s="1381"/>
      <c r="G2" s="1381"/>
      <c r="H2" s="1381"/>
    </row>
    <row r="3" spans="1:8" ht="19.5" x14ac:dyDescent="0.25">
      <c r="A3" s="1381"/>
      <c r="B3" s="1381"/>
      <c r="C3" s="1420" t="s">
        <v>2497</v>
      </c>
      <c r="D3" s="1420"/>
      <c r="E3" s="1381"/>
      <c r="F3" s="1381"/>
      <c r="G3" s="1381"/>
      <c r="H3" s="1382">
        <v>1</v>
      </c>
    </row>
    <row r="4" spans="1:8" ht="18.75" customHeight="1" x14ac:dyDescent="0.25">
      <c r="A4" s="647"/>
      <c r="B4" s="1383"/>
      <c r="C4" s="1420" t="s">
        <v>2508</v>
      </c>
      <c r="D4" s="1420"/>
      <c r="E4" s="1383"/>
      <c r="F4" s="1383"/>
      <c r="G4" s="1383"/>
      <c r="H4" s="1382"/>
    </row>
    <row r="5" spans="1:8" ht="14.25" customHeight="1" x14ac:dyDescent="0.25">
      <c r="A5" s="647"/>
      <c r="B5" s="1383"/>
      <c r="C5" s="1421" t="s">
        <v>2498</v>
      </c>
      <c r="D5" s="1420"/>
      <c r="E5" s="1383"/>
      <c r="F5" s="1383"/>
      <c r="G5" s="1383"/>
      <c r="H5" s="1382"/>
    </row>
    <row r="6" spans="1:8" ht="30" customHeight="1" x14ac:dyDescent="0.25">
      <c r="A6" s="1384"/>
      <c r="B6" s="1385"/>
      <c r="C6" s="1385"/>
      <c r="D6" s="1385"/>
      <c r="E6" s="1381"/>
      <c r="F6" s="1381"/>
      <c r="G6" s="1381"/>
      <c r="H6" s="1382"/>
    </row>
    <row r="7" spans="1:8" ht="16.5" customHeight="1" x14ac:dyDescent="0.25">
      <c r="A7" s="1384"/>
      <c r="B7" s="1385"/>
      <c r="C7" s="1386" t="s">
        <v>2510</v>
      </c>
      <c r="D7" s="1385"/>
      <c r="E7" s="1387"/>
      <c r="F7" s="1382" t="str">
        <f>IF(OR(E7="Vivienda usada",E7="Vivienda nueva"),"nueva_usada","vacacional")</f>
        <v>vacacional</v>
      </c>
      <c r="G7" s="1381"/>
      <c r="H7" s="1382"/>
    </row>
    <row r="8" spans="1:8" ht="15.75" x14ac:dyDescent="0.25">
      <c r="A8" s="642"/>
      <c r="B8" s="642"/>
      <c r="C8" s="1386" t="s">
        <v>2509</v>
      </c>
      <c r="D8" s="1388"/>
      <c r="E8" s="1409"/>
      <c r="F8" s="1389"/>
      <c r="G8" s="1381"/>
      <c r="H8" s="1382"/>
    </row>
    <row r="9" spans="1:8" ht="17.25" customHeight="1" x14ac:dyDescent="0.25">
      <c r="A9" s="642"/>
      <c r="B9" s="642"/>
      <c r="C9" s="1386" t="s">
        <v>2499</v>
      </c>
      <c r="D9" s="1388"/>
      <c r="E9" s="1387"/>
      <c r="F9" s="1424" t="str">
        <f>IF(E9="","",IF(habonominimo&gt;E9,"El abono inicial debe ser igual o mayor al",""))</f>
        <v/>
      </c>
      <c r="G9" s="1381"/>
      <c r="H9" s="1382"/>
    </row>
    <row r="10" spans="1:8" ht="17.25" customHeight="1" x14ac:dyDescent="0.25">
      <c r="A10" s="642"/>
      <c r="B10" s="642"/>
      <c r="C10" s="1386" t="s">
        <v>2511</v>
      </c>
      <c r="D10" s="1388"/>
      <c r="E10" s="1390"/>
      <c r="F10" s="1424"/>
      <c r="G10" s="1381"/>
      <c r="H10" s="1382"/>
    </row>
    <row r="11" spans="1:8" ht="17.25" customHeight="1" x14ac:dyDescent="0.25">
      <c r="A11" s="642"/>
      <c r="B11" s="642"/>
      <c r="C11" s="1386" t="s">
        <v>2500</v>
      </c>
      <c r="D11" s="1388"/>
      <c r="E11" s="1419">
        <f>IFERROR(E9/E8,0)</f>
        <v>0</v>
      </c>
      <c r="F11" s="1413" t="str">
        <f>IF(E9="","",IF(habonominimo&gt;E9,'C.Tasa'!A1,""))</f>
        <v/>
      </c>
      <c r="G11" s="1381"/>
      <c r="H11" s="1382"/>
    </row>
    <row r="12" spans="1:8" ht="18" customHeight="1" x14ac:dyDescent="0.25">
      <c r="A12" s="642"/>
      <c r="B12" s="642"/>
      <c r="C12" s="1391" t="s">
        <v>2501</v>
      </c>
      <c r="D12" s="1392"/>
      <c r="E12" s="1393">
        <f>IF(F11="",E8-E9,0)</f>
        <v>0</v>
      </c>
      <c r="F12" s="1424" t="str">
        <f>IF(E9="","",IF(habonominimo&gt;E9,"del valor de la propiedad",""))</f>
        <v/>
      </c>
      <c r="G12" s="1381"/>
      <c r="H12" s="1382"/>
    </row>
    <row r="13" spans="1:8" x14ac:dyDescent="0.25">
      <c r="A13" s="642"/>
      <c r="B13" s="642"/>
      <c r="C13" s="1422" t="s">
        <v>2502</v>
      </c>
      <c r="D13" s="1423"/>
      <c r="E13" s="1394">
        <f>IF(F11="",IF(OR(E7="",E8="",E9="",E10="",E11=""),0,IF(AND(E7="Vivienda nueva",E8&lt;=120000),'Tasas de Interés'!B2,IF(AND(E7="Vivienda nueva",E8&gt;120000),'Tasas de Interés'!B3,IF(E7="Vivienda usada",'Tasas de Interés'!B4,IF(E7="Vivienda vacacional",'Tasas de Interés'!B5,0))))),0)</f>
        <v>0</v>
      </c>
      <c r="F13" s="1424"/>
      <c r="G13" s="1381"/>
      <c r="H13" s="1382"/>
    </row>
    <row r="14" spans="1:8" ht="15.75" x14ac:dyDescent="0.25">
      <c r="A14" s="642"/>
      <c r="B14" s="642"/>
      <c r="C14" s="1427" t="s">
        <v>2503</v>
      </c>
      <c r="D14" s="1427"/>
      <c r="E14" s="1394">
        <f>IF(E7="Vivienda vacacional",0.01,0)</f>
        <v>0</v>
      </c>
      <c r="F14" s="1395"/>
      <c r="G14" s="1381"/>
      <c r="H14" s="1382"/>
    </row>
    <row r="15" spans="1:8" ht="0.75" customHeight="1" x14ac:dyDescent="0.25">
      <c r="A15" s="642"/>
      <c r="B15" s="642"/>
      <c r="C15" s="1384" t="s">
        <v>2504</v>
      </c>
      <c r="D15" s="1384"/>
      <c r="E15" s="1396">
        <f>tasa1+E14</f>
        <v>0</v>
      </c>
      <c r="F15" s="1397"/>
      <c r="G15" s="1381"/>
      <c r="H15" s="1382"/>
    </row>
    <row r="16" spans="1:8" ht="27" customHeight="1" x14ac:dyDescent="0.25">
      <c r="A16" s="700"/>
      <c r="B16" s="700"/>
      <c r="C16" s="1428" t="s">
        <v>2505</v>
      </c>
      <c r="D16" s="1428"/>
      <c r="E16" s="1398">
        <f>IF(E13=0,0,'1.Hoja_de_Cotización'!C62)</f>
        <v>0</v>
      </c>
      <c r="F16" s="1399"/>
      <c r="G16" s="1400"/>
      <c r="H16" s="1382"/>
    </row>
    <row r="17" spans="1:8" ht="15.75" hidden="1" customHeight="1" x14ac:dyDescent="0.25">
      <c r="A17" s="642"/>
      <c r="B17" s="642"/>
      <c r="C17" s="1429" t="s">
        <v>2506</v>
      </c>
      <c r="D17" s="1429"/>
      <c r="E17" s="1401"/>
      <c r="F17" s="1381"/>
      <c r="G17" s="1381"/>
      <c r="H17" s="1382"/>
    </row>
    <row r="18" spans="1:8" ht="18.75" customHeight="1" x14ac:dyDescent="0.25">
      <c r="A18" s="1381"/>
      <c r="B18" s="1381"/>
      <c r="C18" s="1381"/>
      <c r="D18" s="1381"/>
      <c r="E18" s="1381"/>
      <c r="F18" s="1402"/>
      <c r="G18" s="1381"/>
      <c r="H18" s="1382"/>
    </row>
    <row r="19" spans="1:8" ht="15.75" hidden="1" x14ac:dyDescent="0.25">
      <c r="A19" s="1403"/>
      <c r="B19" s="1381"/>
      <c r="C19" s="1381"/>
      <c r="D19" s="1404"/>
      <c r="E19" s="1404"/>
      <c r="F19" s="1381"/>
      <c r="G19" s="1381"/>
      <c r="H19" s="1381"/>
    </row>
    <row r="20" spans="1:8" ht="15.75" hidden="1" x14ac:dyDescent="0.25">
      <c r="A20" s="1403"/>
      <c r="B20" s="1381"/>
      <c r="C20" s="1381"/>
      <c r="D20" s="1404"/>
      <c r="E20" s="1404"/>
      <c r="F20" s="1381"/>
      <c r="G20" s="1381"/>
      <c r="H20" s="1381"/>
    </row>
    <row r="21" spans="1:8" ht="15.75" hidden="1" customHeight="1" x14ac:dyDescent="0.25">
      <c r="A21" s="1384"/>
      <c r="B21" s="1381"/>
      <c r="C21" s="1381"/>
      <c r="D21" s="1430"/>
      <c r="E21" s="1430"/>
      <c r="F21" s="1381"/>
      <c r="G21" s="1381"/>
      <c r="H21" s="1381"/>
    </row>
    <row r="22" spans="1:8" ht="15.75" hidden="1" x14ac:dyDescent="0.25">
      <c r="A22" s="1403"/>
      <c r="B22" s="1381"/>
      <c r="C22" s="1381"/>
      <c r="D22" s="1404"/>
      <c r="E22" s="1405"/>
      <c r="F22" s="1381"/>
      <c r="G22" s="1381"/>
      <c r="H22" s="1381"/>
    </row>
    <row r="23" spans="1:8" ht="15.75" hidden="1" x14ac:dyDescent="0.25">
      <c r="A23" s="1403"/>
      <c r="B23" s="1381"/>
      <c r="C23" s="1381"/>
      <c r="D23" s="1404"/>
      <c r="E23" s="1405"/>
      <c r="F23" s="1381"/>
      <c r="G23" s="1381"/>
      <c r="H23" s="1381"/>
    </row>
    <row r="24" spans="1:8" ht="15.75" hidden="1" x14ac:dyDescent="0.25">
      <c r="A24" s="1403"/>
      <c r="B24" s="1381"/>
      <c r="C24" s="1381"/>
      <c r="D24" s="1404"/>
      <c r="E24" s="1405"/>
      <c r="F24" s="1381"/>
      <c r="G24" s="1381"/>
      <c r="H24" s="1381"/>
    </row>
    <row r="25" spans="1:8" ht="15.75" hidden="1" x14ac:dyDescent="0.25">
      <c r="A25" s="1403"/>
      <c r="B25" s="1381"/>
      <c r="C25" s="1381"/>
      <c r="D25" s="1404"/>
      <c r="E25" s="1405"/>
      <c r="F25" s="1381"/>
      <c r="G25" s="1381"/>
      <c r="H25" s="1381"/>
    </row>
    <row r="26" spans="1:8" ht="15.75" hidden="1" x14ac:dyDescent="0.25">
      <c r="A26" s="1403"/>
      <c r="B26" s="1381"/>
      <c r="C26" s="1381"/>
      <c r="D26" s="1404"/>
      <c r="E26" s="1405"/>
      <c r="F26" s="1381"/>
      <c r="G26" s="1381"/>
      <c r="H26" s="1381"/>
    </row>
    <row r="27" spans="1:8" ht="15.75" hidden="1" x14ac:dyDescent="0.25">
      <c r="A27" s="1403"/>
      <c r="B27" s="1381"/>
      <c r="C27" s="1381"/>
      <c r="D27" s="1404"/>
      <c r="E27" s="1405"/>
      <c r="F27" s="1381"/>
      <c r="G27" s="1381"/>
      <c r="H27" s="1381"/>
    </row>
    <row r="28" spans="1:8" ht="15.75" hidden="1" x14ac:dyDescent="0.25">
      <c r="A28" s="1403"/>
      <c r="B28" s="1381"/>
      <c r="C28" s="1381"/>
      <c r="D28" s="1404"/>
      <c r="E28" s="1405"/>
      <c r="F28" s="1381"/>
      <c r="G28" s="1381"/>
      <c r="H28" s="1406"/>
    </row>
    <row r="29" spans="1:8" s="191" customFormat="1" hidden="1" x14ac:dyDescent="0.25">
      <c r="A29" s="1406"/>
      <c r="B29" s="1406"/>
      <c r="C29" s="1406"/>
      <c r="D29" s="1406"/>
      <c r="E29" s="1406"/>
      <c r="F29" s="1406"/>
      <c r="G29" s="1406"/>
      <c r="H29" s="1381"/>
    </row>
    <row r="30" spans="1:8" hidden="1" x14ac:dyDescent="0.25">
      <c r="A30" s="1381"/>
      <c r="B30" s="1381"/>
      <c r="C30" s="1381"/>
      <c r="D30" s="1381"/>
      <c r="E30" s="1381"/>
      <c r="F30" s="1381"/>
      <c r="G30" s="1381"/>
      <c r="H30" s="1381"/>
    </row>
    <row r="31" spans="1:8" hidden="1" x14ac:dyDescent="0.25">
      <c r="A31" s="1381"/>
      <c r="B31" s="1381"/>
      <c r="C31" s="1381"/>
      <c r="D31" s="1381"/>
      <c r="E31" s="1381"/>
      <c r="F31" s="1381"/>
      <c r="G31" s="1381"/>
      <c r="H31" s="1381"/>
    </row>
    <row r="32" spans="1:8" hidden="1" x14ac:dyDescent="0.25">
      <c r="A32" s="1381"/>
      <c r="B32" s="1381"/>
      <c r="C32" s="1381"/>
      <c r="D32" s="1381"/>
      <c r="E32" s="1381"/>
      <c r="F32" s="1381"/>
      <c r="G32" s="1381"/>
      <c r="H32" s="1381"/>
    </row>
    <row r="33" spans="1:8" hidden="1" x14ac:dyDescent="0.25">
      <c r="A33" s="1381"/>
      <c r="B33" s="1381"/>
      <c r="C33" s="1381"/>
      <c r="D33" s="1381"/>
      <c r="E33" s="1381"/>
      <c r="F33" s="1381"/>
      <c r="G33" s="1381"/>
      <c r="H33" s="1381"/>
    </row>
    <row r="34" spans="1:8" hidden="1" x14ac:dyDescent="0.25">
      <c r="A34" s="1381"/>
      <c r="B34" s="1381"/>
      <c r="C34" s="1381"/>
      <c r="D34" s="1381"/>
      <c r="E34" s="1381"/>
      <c r="F34" s="1381"/>
      <c r="G34" s="1381"/>
      <c r="H34" s="1381"/>
    </row>
    <row r="35" spans="1:8" hidden="1" x14ac:dyDescent="0.25">
      <c r="A35" s="1381"/>
      <c r="B35" s="1381"/>
      <c r="C35" s="1381"/>
      <c r="D35" s="1381"/>
      <c r="E35" s="1381"/>
      <c r="F35" s="1381"/>
      <c r="G35" s="1381"/>
      <c r="H35" s="1381"/>
    </row>
    <row r="36" spans="1:8" hidden="1" x14ac:dyDescent="0.25">
      <c r="A36" s="1381"/>
      <c r="B36" s="1381"/>
      <c r="C36" s="1381"/>
      <c r="D36" s="1381"/>
      <c r="E36" s="1381"/>
      <c r="F36" s="1381"/>
      <c r="G36" s="1381"/>
      <c r="H36" s="1381"/>
    </row>
    <row r="37" spans="1:8" hidden="1" x14ac:dyDescent="0.25">
      <c r="A37" s="1381"/>
      <c r="B37" s="1381"/>
      <c r="C37" s="1381"/>
      <c r="D37" s="1381"/>
      <c r="E37" s="1381"/>
      <c r="F37" s="1381"/>
      <c r="G37" s="1381"/>
      <c r="H37" s="1381"/>
    </row>
    <row r="38" spans="1:8" hidden="1" x14ac:dyDescent="0.25">
      <c r="A38" s="1381"/>
      <c r="B38" s="1381"/>
      <c r="C38" s="1381"/>
      <c r="D38" s="1381"/>
      <c r="E38" s="1381"/>
      <c r="F38" s="1381"/>
      <c r="G38" s="1381"/>
      <c r="H38" s="1381"/>
    </row>
    <row r="39" spans="1:8" hidden="1" x14ac:dyDescent="0.25">
      <c r="A39" s="1381"/>
      <c r="B39" s="1381"/>
      <c r="C39" s="1381"/>
      <c r="D39" s="1381"/>
      <c r="E39" s="1381"/>
      <c r="F39" s="1381"/>
      <c r="G39" s="1381"/>
      <c r="H39" s="1381"/>
    </row>
    <row r="40" spans="1:8" hidden="1" x14ac:dyDescent="0.25">
      <c r="A40" s="1381"/>
      <c r="B40" s="1381"/>
      <c r="C40" s="1381"/>
      <c r="D40" s="1381"/>
      <c r="E40" s="1381"/>
      <c r="F40" s="1381"/>
      <c r="G40" s="1381"/>
      <c r="H40" s="1381"/>
    </row>
    <row r="41" spans="1:8" hidden="1" x14ac:dyDescent="0.25">
      <c r="A41" s="1381"/>
      <c r="B41" s="1381"/>
      <c r="C41" s="1381"/>
      <c r="D41" s="1381"/>
      <c r="E41" s="1381"/>
      <c r="F41" s="1381"/>
      <c r="G41" s="1381"/>
      <c r="H41" s="1381"/>
    </row>
    <row r="42" spans="1:8" hidden="1" x14ac:dyDescent="0.25">
      <c r="A42" s="1381"/>
      <c r="B42" s="1381"/>
      <c r="C42" s="1381"/>
      <c r="D42" s="1381"/>
      <c r="E42" s="1381"/>
      <c r="F42" s="1381"/>
      <c r="G42" s="1381"/>
      <c r="H42" s="1381"/>
    </row>
    <row r="43" spans="1:8" hidden="1" x14ac:dyDescent="0.25">
      <c r="A43" s="1381"/>
      <c r="B43" s="1381"/>
      <c r="C43" s="1381"/>
      <c r="D43" s="1381"/>
      <c r="E43" s="1381"/>
      <c r="F43" s="1381"/>
      <c r="G43" s="1381"/>
      <c r="H43" s="1381"/>
    </row>
    <row r="44" spans="1:8" hidden="1" x14ac:dyDescent="0.25">
      <c r="A44" s="1381"/>
      <c r="B44" s="1381"/>
      <c r="C44" s="1381"/>
      <c r="D44" s="1381"/>
      <c r="E44" s="1381"/>
      <c r="F44" s="1381"/>
      <c r="G44" s="1381"/>
      <c r="H44" s="1381"/>
    </row>
    <row r="45" spans="1:8" hidden="1" x14ac:dyDescent="0.25">
      <c r="A45" s="1381"/>
      <c r="B45" s="1381"/>
      <c r="C45" s="1381"/>
      <c r="D45" s="1381"/>
      <c r="E45" s="1381"/>
      <c r="F45" s="1381"/>
      <c r="G45" s="1381"/>
      <c r="H45" s="1381"/>
    </row>
    <row r="46" spans="1:8" hidden="1" x14ac:dyDescent="0.25">
      <c r="A46" s="1381"/>
      <c r="B46" s="1381"/>
      <c r="C46" s="1381"/>
      <c r="D46" s="1381"/>
      <c r="E46" s="1381"/>
      <c r="F46" s="1381"/>
      <c r="G46" s="1381"/>
      <c r="H46" s="1381"/>
    </row>
    <row r="47" spans="1:8" hidden="1" x14ac:dyDescent="0.25">
      <c r="A47" s="1381"/>
      <c r="B47" s="1381"/>
      <c r="C47" s="1381"/>
      <c r="D47" s="1381"/>
      <c r="E47" s="1381"/>
      <c r="F47" s="1381"/>
      <c r="G47" s="1381"/>
      <c r="H47" s="1381"/>
    </row>
    <row r="48" spans="1:8" hidden="1" x14ac:dyDescent="0.25">
      <c r="A48" s="1381"/>
      <c r="B48" s="1381"/>
      <c r="C48" s="1381"/>
      <c r="D48" s="1381"/>
      <c r="E48" s="1381"/>
      <c r="F48" s="1381"/>
      <c r="G48" s="1381"/>
      <c r="H48" s="1381"/>
    </row>
    <row r="49" spans="1:8" hidden="1" x14ac:dyDescent="0.25">
      <c r="A49" s="1381"/>
      <c r="B49" s="1381"/>
      <c r="C49" s="1381"/>
      <c r="D49" s="1381"/>
      <c r="E49" s="1381"/>
      <c r="F49" s="1381"/>
      <c r="G49" s="1381"/>
      <c r="H49" s="1381"/>
    </row>
    <row r="50" spans="1:8" hidden="1" x14ac:dyDescent="0.25">
      <c r="A50" s="1381"/>
      <c r="B50" s="1381"/>
      <c r="C50" s="1381"/>
      <c r="D50" s="1381"/>
      <c r="E50" s="1381"/>
      <c r="F50" s="1381"/>
      <c r="G50" s="1381"/>
      <c r="H50" s="1381"/>
    </row>
    <row r="51" spans="1:8" hidden="1" x14ac:dyDescent="0.25">
      <c r="A51" s="1381"/>
      <c r="B51" s="1381"/>
      <c r="C51" s="1381"/>
      <c r="D51" s="1381"/>
      <c r="E51" s="1381"/>
      <c r="F51" s="1381"/>
      <c r="G51" s="1381"/>
      <c r="H51" s="1381"/>
    </row>
    <row r="52" spans="1:8" hidden="1" x14ac:dyDescent="0.25">
      <c r="A52" s="1381"/>
      <c r="B52" s="1381"/>
      <c r="C52" s="1381"/>
      <c r="D52" s="1381"/>
      <c r="E52" s="1381"/>
      <c r="F52" s="1381"/>
      <c r="G52" s="1381"/>
      <c r="H52" s="1381"/>
    </row>
    <row r="53" spans="1:8" hidden="1" x14ac:dyDescent="0.25">
      <c r="A53" s="1381"/>
      <c r="B53" s="1381"/>
      <c r="C53" s="1381"/>
      <c r="D53" s="1381"/>
      <c r="E53" s="1381"/>
      <c r="F53" s="1381"/>
      <c r="G53" s="1381"/>
      <c r="H53" s="1381"/>
    </row>
    <row r="54" spans="1:8" hidden="1" x14ac:dyDescent="0.25">
      <c r="A54" s="1381"/>
      <c r="B54" s="1381"/>
      <c r="C54" s="1381"/>
      <c r="D54" s="1381"/>
      <c r="E54" s="1381"/>
      <c r="F54" s="1381"/>
      <c r="G54" s="1381"/>
      <c r="H54" s="1381"/>
    </row>
    <row r="55" spans="1:8" hidden="1" x14ac:dyDescent="0.25">
      <c r="A55" s="1381"/>
      <c r="B55" s="1381"/>
      <c r="C55" s="1381"/>
      <c r="D55" s="1381"/>
      <c r="E55" s="1381"/>
      <c r="F55" s="1381"/>
      <c r="G55" s="1381"/>
      <c r="H55" s="1381"/>
    </row>
    <row r="56" spans="1:8" hidden="1" x14ac:dyDescent="0.25">
      <c r="A56" s="1381"/>
      <c r="B56" s="1381"/>
      <c r="C56" s="1381"/>
      <c r="D56" s="1381"/>
      <c r="E56" s="1381"/>
      <c r="F56" s="1381"/>
      <c r="G56" s="1381"/>
      <c r="H56" s="1381"/>
    </row>
    <row r="57" spans="1:8" hidden="1" x14ac:dyDescent="0.25">
      <c r="A57" s="1381"/>
      <c r="B57" s="1381"/>
      <c r="C57" s="1381"/>
      <c r="D57" s="1381"/>
      <c r="E57" s="1381"/>
      <c r="F57" s="1381"/>
      <c r="G57" s="1381"/>
      <c r="H57" s="1381"/>
    </row>
    <row r="58" spans="1:8" hidden="1" x14ac:dyDescent="0.25">
      <c r="A58" s="1381"/>
      <c r="B58" s="1381"/>
      <c r="C58" s="1381"/>
      <c r="D58" s="1381"/>
      <c r="E58" s="1381"/>
      <c r="F58" s="1381"/>
      <c r="G58" s="1381"/>
      <c r="H58" s="1381"/>
    </row>
    <row r="59" spans="1:8" hidden="1" x14ac:dyDescent="0.25">
      <c r="A59" s="1381"/>
      <c r="B59" s="1381"/>
      <c r="C59" s="1381"/>
      <c r="D59" s="1381"/>
      <c r="E59" s="1381"/>
      <c r="F59" s="1381"/>
      <c r="G59" s="1381"/>
      <c r="H59" s="1381"/>
    </row>
    <row r="60" spans="1:8" hidden="1" x14ac:dyDescent="0.25">
      <c r="A60" s="1381"/>
      <c r="B60" s="1381"/>
      <c r="C60" s="1381"/>
      <c r="D60" s="1381"/>
      <c r="E60" s="1381"/>
      <c r="F60" s="1381"/>
      <c r="G60" s="1381"/>
      <c r="H60" s="1381"/>
    </row>
    <row r="61" spans="1:8" hidden="1" x14ac:dyDescent="0.25">
      <c r="A61" s="1381"/>
      <c r="B61" s="1381"/>
      <c r="C61" s="1381"/>
      <c r="D61" s="1381"/>
      <c r="E61" s="1381"/>
      <c r="F61" s="1381"/>
      <c r="G61" s="1381"/>
      <c r="H61" s="1381"/>
    </row>
    <row r="62" spans="1:8" hidden="1" x14ac:dyDescent="0.25">
      <c r="A62" s="1381"/>
      <c r="B62" s="1381"/>
      <c r="C62" s="1381"/>
      <c r="D62" s="1381"/>
      <c r="E62" s="1381"/>
      <c r="F62" s="1381"/>
      <c r="G62" s="1381"/>
      <c r="H62" s="1381"/>
    </row>
    <row r="63" spans="1:8" hidden="1" x14ac:dyDescent="0.25">
      <c r="A63" s="1381"/>
      <c r="B63" s="1381"/>
      <c r="C63" s="1381"/>
      <c r="D63" s="1381"/>
      <c r="E63" s="1381"/>
      <c r="F63" s="1381"/>
      <c r="G63" s="1381"/>
      <c r="H63" s="1381"/>
    </row>
    <row r="64" spans="1:8" hidden="1" x14ac:dyDescent="0.25">
      <c r="A64" s="1381"/>
      <c r="B64" s="1381"/>
      <c r="C64" s="1381"/>
      <c r="D64" s="1381"/>
      <c r="E64" s="1381"/>
      <c r="F64" s="1381"/>
      <c r="G64" s="1381"/>
      <c r="H64" s="1381"/>
    </row>
    <row r="65" spans="1:8" hidden="1" x14ac:dyDescent="0.25">
      <c r="A65" s="1381"/>
      <c r="B65" s="1381"/>
      <c r="C65" s="1381"/>
      <c r="D65" s="1381"/>
      <c r="E65" s="1381"/>
      <c r="F65" s="1381"/>
      <c r="G65" s="1381"/>
      <c r="H65" s="1381"/>
    </row>
    <row r="66" spans="1:8" hidden="1" x14ac:dyDescent="0.25">
      <c r="A66" s="1381"/>
      <c r="B66" s="1381"/>
      <c r="C66" s="1381"/>
      <c r="D66" s="1381"/>
      <c r="E66" s="1381"/>
      <c r="F66" s="1381"/>
      <c r="G66" s="1381"/>
      <c r="H66" s="1381"/>
    </row>
    <row r="67" spans="1:8" hidden="1" x14ac:dyDescent="0.25">
      <c r="A67" s="1381"/>
      <c r="B67" s="1381"/>
      <c r="C67" s="1381"/>
      <c r="D67" s="1381"/>
      <c r="E67" s="1381"/>
      <c r="F67" s="1381"/>
      <c r="G67" s="1381"/>
      <c r="H67" s="1381"/>
    </row>
    <row r="68" spans="1:8" hidden="1" x14ac:dyDescent="0.25">
      <c r="A68" s="1381"/>
      <c r="B68" s="1381"/>
      <c r="C68" s="1381"/>
      <c r="D68" s="1381"/>
      <c r="E68" s="1381"/>
      <c r="F68" s="1381"/>
      <c r="G68" s="1381"/>
      <c r="H68" s="1381"/>
    </row>
    <row r="69" spans="1:8" hidden="1" x14ac:dyDescent="0.25">
      <c r="A69" s="1381"/>
      <c r="B69" s="1381"/>
      <c r="C69" s="1381"/>
      <c r="D69" s="1381"/>
      <c r="E69" s="1381"/>
      <c r="F69" s="1381"/>
      <c r="G69" s="1381"/>
      <c r="H69" s="1381"/>
    </row>
    <row r="70" spans="1:8" hidden="1" x14ac:dyDescent="0.25">
      <c r="A70" s="1381"/>
      <c r="B70" s="1381"/>
      <c r="C70" s="1381"/>
      <c r="D70" s="1381"/>
      <c r="E70" s="1381"/>
      <c r="F70" s="1381"/>
      <c r="G70" s="1381"/>
      <c r="H70" s="1381"/>
    </row>
    <row r="71" spans="1:8" hidden="1" x14ac:dyDescent="0.25">
      <c r="A71" s="1381"/>
      <c r="B71" s="1381"/>
      <c r="C71" s="1381"/>
      <c r="D71" s="1381"/>
      <c r="E71" s="1381"/>
      <c r="F71" s="1381"/>
      <c r="G71" s="1381"/>
      <c r="H71" s="1381"/>
    </row>
    <row r="72" spans="1:8" hidden="1" x14ac:dyDescent="0.25">
      <c r="A72" s="1381"/>
      <c r="B72" s="1381"/>
      <c r="C72" s="1381"/>
      <c r="D72" s="1381"/>
      <c r="E72" s="1381"/>
      <c r="F72" s="1381"/>
      <c r="G72" s="1381"/>
      <c r="H72" s="1381"/>
    </row>
    <row r="73" spans="1:8" hidden="1" x14ac:dyDescent="0.25">
      <c r="A73" s="1381"/>
      <c r="B73" s="1381"/>
      <c r="C73" s="1381"/>
      <c r="D73" s="1381"/>
      <c r="E73" s="1381"/>
      <c r="F73" s="1381"/>
      <c r="G73" s="1381"/>
      <c r="H73" s="1381"/>
    </row>
    <row r="74" spans="1:8" hidden="1" x14ac:dyDescent="0.25">
      <c r="A74" s="1381"/>
      <c r="B74" s="1381"/>
      <c r="C74" s="1381"/>
      <c r="D74" s="1381"/>
      <c r="E74" s="1381"/>
      <c r="F74" s="1381"/>
      <c r="G74" s="1381"/>
      <c r="H74" s="1381"/>
    </row>
    <row r="75" spans="1:8" hidden="1" x14ac:dyDescent="0.25">
      <c r="A75" s="1381"/>
      <c r="B75" s="1381"/>
      <c r="C75" s="1381"/>
      <c r="D75" s="1381"/>
      <c r="E75" s="1381"/>
      <c r="F75" s="1381"/>
      <c r="G75" s="1381"/>
      <c r="H75" s="1381"/>
    </row>
    <row r="76" spans="1:8" hidden="1" x14ac:dyDescent="0.25">
      <c r="A76" s="1381"/>
      <c r="B76" s="1381"/>
      <c r="C76" s="1381"/>
      <c r="D76" s="1381"/>
      <c r="E76" s="1381"/>
      <c r="F76" s="1381"/>
      <c r="G76" s="1381"/>
      <c r="H76" s="1381"/>
    </row>
    <row r="77" spans="1:8" ht="12" customHeight="1" x14ac:dyDescent="0.25">
      <c r="A77" s="647"/>
      <c r="B77" s="1381"/>
      <c r="C77" s="1381"/>
      <c r="D77" s="1381"/>
      <c r="E77" s="1381"/>
      <c r="F77" s="1402"/>
      <c r="G77" s="1381"/>
      <c r="H77" s="1381"/>
    </row>
    <row r="78" spans="1:8" ht="151.5" customHeight="1" x14ac:dyDescent="0.25">
      <c r="A78" s="647"/>
      <c r="B78" s="1431" t="s">
        <v>2523</v>
      </c>
      <c r="C78" s="1432"/>
      <c r="D78" s="1432"/>
      <c r="E78" s="1432"/>
      <c r="F78" s="1432"/>
      <c r="G78" s="1381"/>
      <c r="H78" s="1381"/>
    </row>
    <row r="79" spans="1:8" ht="36.75" hidden="1" customHeight="1" x14ac:dyDescent="0.25">
      <c r="A79" s="647"/>
      <c r="B79" s="1425"/>
      <c r="C79" s="1425"/>
      <c r="D79" s="1425"/>
      <c r="E79" s="1425"/>
      <c r="F79" s="1425"/>
      <c r="G79" s="1381"/>
      <c r="H79" s="1381"/>
    </row>
    <row r="80" spans="1:8" ht="25.5" hidden="1" customHeight="1" x14ac:dyDescent="0.25">
      <c r="A80" s="647"/>
      <c r="B80" s="1425"/>
      <c r="C80" s="1425"/>
      <c r="D80" s="1425"/>
      <c r="E80" s="1425"/>
      <c r="F80" s="1425"/>
      <c r="G80" s="1381"/>
      <c r="H80" s="1381"/>
    </row>
    <row r="81" spans="1:8" ht="24.75" hidden="1" customHeight="1" x14ac:dyDescent="0.25">
      <c r="A81" s="647"/>
      <c r="B81" s="1425"/>
      <c r="C81" s="1425"/>
      <c r="D81" s="1425"/>
      <c r="E81" s="1425"/>
      <c r="F81" s="1425"/>
      <c r="G81" s="1381"/>
      <c r="H81" s="1381"/>
    </row>
    <row r="82" spans="1:8" ht="12" customHeight="1" x14ac:dyDescent="0.25">
      <c r="A82" s="647"/>
      <c r="B82" s="1381"/>
      <c r="C82" s="1381"/>
      <c r="D82" s="1381"/>
      <c r="E82" s="1381"/>
      <c r="F82" s="1402"/>
      <c r="G82" s="1381"/>
      <c r="H82" s="1381"/>
    </row>
    <row r="83" spans="1:8" ht="12" hidden="1" customHeight="1" x14ac:dyDescent="0.25">
      <c r="A83" s="647"/>
      <c r="B83" s="1381"/>
      <c r="C83" s="1381"/>
      <c r="D83" s="1381"/>
      <c r="E83" s="1381"/>
      <c r="F83" s="1402"/>
      <c r="G83" s="1381"/>
      <c r="H83" s="1381"/>
    </row>
    <row r="84" spans="1:8" ht="15" hidden="1" customHeight="1" x14ac:dyDescent="0.25">
      <c r="A84" s="1407"/>
      <c r="B84" s="1426" t="s">
        <v>2507</v>
      </c>
      <c r="C84" s="1426"/>
      <c r="D84" s="1426"/>
      <c r="E84" s="1426"/>
      <c r="F84" s="1426"/>
      <c r="G84" s="1407"/>
      <c r="H84" s="1381"/>
    </row>
    <row r="85" spans="1:8" ht="17.25" hidden="1" customHeight="1" x14ac:dyDescent="0.25">
      <c r="A85" s="1381"/>
      <c r="B85" s="1381"/>
      <c r="C85" s="1381"/>
      <c r="D85" s="1381"/>
      <c r="E85" s="1381"/>
      <c r="F85" s="1381"/>
      <c r="G85" s="1381"/>
      <c r="H85" s="1381"/>
    </row>
    <row r="86" spans="1:8" hidden="1" x14ac:dyDescent="0.25">
      <c r="A86" s="647"/>
      <c r="B86" s="647"/>
      <c r="C86" s="647"/>
      <c r="D86" s="647"/>
      <c r="E86" s="647"/>
      <c r="F86" s="647"/>
      <c r="G86" s="647"/>
      <c r="H86" s="647"/>
    </row>
    <row r="87" spans="1:8" hidden="1" x14ac:dyDescent="0.25">
      <c r="A87" s="647"/>
      <c r="B87" s="647"/>
      <c r="C87" s="647"/>
      <c r="D87" s="647"/>
      <c r="E87" s="647"/>
      <c r="F87" s="647"/>
      <c r="G87" s="647"/>
      <c r="H87" s="647"/>
    </row>
    <row r="88" spans="1:8" hidden="1" x14ac:dyDescent="0.25">
      <c r="A88" s="647"/>
      <c r="B88" s="647"/>
      <c r="C88" s="647"/>
      <c r="D88" s="647"/>
      <c r="E88" s="647"/>
      <c r="F88" s="647"/>
      <c r="G88" s="647"/>
      <c r="H88" s="647"/>
    </row>
    <row r="89" spans="1:8" hidden="1" x14ac:dyDescent="0.25">
      <c r="A89" s="647"/>
      <c r="B89" s="647"/>
      <c r="C89" s="647"/>
      <c r="D89" s="647"/>
      <c r="E89" s="647"/>
      <c r="F89" s="647"/>
      <c r="G89" s="647"/>
      <c r="H89" s="647"/>
    </row>
    <row r="90" spans="1:8" hidden="1" x14ac:dyDescent="0.25">
      <c r="A90" s="647"/>
      <c r="B90" s="647"/>
      <c r="C90" s="647"/>
      <c r="D90" s="647"/>
      <c r="E90" s="647"/>
      <c r="F90" s="647"/>
      <c r="G90" s="647"/>
      <c r="H90" s="647"/>
    </row>
    <row r="91" spans="1:8" ht="15" hidden="1" customHeight="1" x14ac:dyDescent="0.25"/>
    <row r="92" spans="1:8" ht="15" hidden="1" customHeight="1" x14ac:dyDescent="0.25"/>
    <row r="93" spans="1:8" ht="15" customHeight="1" x14ac:dyDescent="0.25"/>
  </sheetData>
  <sheetProtection algorithmName="SHA-512" hashValue="KtN6e26WyOkjlJ0zGOuq3Vhtcz5ke/pSRfGO1FVM+BvLaN76MNb5T5nnnfenAX04PXo8RhiO9MR4uFfqYjVyaQ==" saltValue="LRJoQ7upzwYmEOUgMjgESA==" spinCount="100000" sheet="1" objects="1" scenarios="1" selectLockedCells="1"/>
  <mergeCells count="15">
    <mergeCell ref="B80:F80"/>
    <mergeCell ref="B81:F81"/>
    <mergeCell ref="B84:F84"/>
    <mergeCell ref="C14:D14"/>
    <mergeCell ref="C16:D16"/>
    <mergeCell ref="C17:D17"/>
    <mergeCell ref="D21:E21"/>
    <mergeCell ref="B78:F78"/>
    <mergeCell ref="B79:F79"/>
    <mergeCell ref="C3:D3"/>
    <mergeCell ref="C4:D4"/>
    <mergeCell ref="C5:D5"/>
    <mergeCell ref="C13:D13"/>
    <mergeCell ref="F9:F10"/>
    <mergeCell ref="F12:F13"/>
  </mergeCells>
  <dataValidations count="2">
    <dataValidation type="list" allowBlank="1" showInputMessage="1" showErrorMessage="1" sqref="E10">
      <formula1>INDIRECT($F$7)</formula1>
    </dataValidation>
    <dataValidation type="list" allowBlank="1" showInputMessage="1" showErrorMessage="1" sqref="E7">
      <formula1>"Vivienda nueva, Vivienda usada, Vivienda vacacional"</formula1>
    </dataValidation>
  </dataValidations>
  <pageMargins left="0.40157480314960631" right="0.40157480314960631" top="0.35433070866141736" bottom="0.35433070866141736" header="0.31496062992125984" footer="0.31496062992125984"/>
  <pageSetup scale="65"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A1:T244"/>
  <sheetViews>
    <sheetView showGridLines="0" topLeftCell="A55" zoomScale="90" zoomScaleNormal="90" workbookViewId="0">
      <selection activeCell="B67" sqref="B67"/>
    </sheetView>
  </sheetViews>
  <sheetFormatPr baseColWidth="10" defaultColWidth="11.42578125" defaultRowHeight="12.75" x14ac:dyDescent="0.2"/>
  <cols>
    <col min="1" max="1" width="77.5703125" style="260" customWidth="1"/>
    <col min="2" max="2" width="32.85546875" style="260" customWidth="1"/>
    <col min="3" max="3" width="40.7109375" style="260" bestFit="1" customWidth="1"/>
    <col min="4" max="4" width="51.7109375" style="260" bestFit="1" customWidth="1"/>
    <col min="5" max="5" width="33.42578125" style="260" bestFit="1" customWidth="1"/>
    <col min="6" max="6" width="21.28515625" style="260" bestFit="1" customWidth="1"/>
    <col min="7" max="9" width="11.42578125" style="260"/>
    <col min="10" max="10" width="28.5703125" style="260" bestFit="1" customWidth="1"/>
    <col min="11" max="11" width="35.42578125" style="260" customWidth="1"/>
    <col min="12" max="12" width="11.42578125" style="260"/>
    <col min="13" max="13" width="8.140625" style="260" customWidth="1"/>
    <col min="14" max="14" width="65.140625" style="260" bestFit="1" customWidth="1"/>
    <col min="15" max="16384" width="11.42578125" style="260"/>
  </cols>
  <sheetData>
    <row r="1" spans="1:20" ht="25.5" x14ac:dyDescent="0.2">
      <c r="A1" s="1717" t="s">
        <v>95</v>
      </c>
      <c r="B1" s="1718"/>
      <c r="C1" s="258"/>
      <c r="D1" s="259" t="s">
        <v>165</v>
      </c>
      <c r="E1" s="259" t="s">
        <v>96</v>
      </c>
      <c r="F1" s="259" t="s">
        <v>97</v>
      </c>
      <c r="G1" s="259" t="s">
        <v>98</v>
      </c>
      <c r="J1" s="261" t="s">
        <v>103</v>
      </c>
      <c r="K1" s="260" t="s">
        <v>102</v>
      </c>
    </row>
    <row r="2" spans="1:20" ht="25.5" x14ac:dyDescent="0.2">
      <c r="A2" s="262" t="s">
        <v>542</v>
      </c>
      <c r="B2" s="263">
        <f>IF('1.Hoja_de_Cotización'!C58="",'1.Hoja_de_Cotización'!C57,'1.Hoja_de_Cotización'!C58)</f>
        <v>4.28</v>
      </c>
      <c r="C2" s="264" t="s">
        <v>106</v>
      </c>
      <c r="D2" s="265" t="str">
        <f>IF('1.Hoja_de_Cotización'!C74="","",'1.Hoja_de_Cotización'!C74)</f>
        <v/>
      </c>
      <c r="E2" s="265" t="str">
        <f>IF('1.Hoja_de_Cotización'!E74="","",'1.Hoja_de_Cotización'!E74)</f>
        <v/>
      </c>
      <c r="F2" s="265" t="str">
        <f>IF('1.Hoja_de_Cotización'!G74="","",'1.Hoja_de_Cotización'!G74)</f>
        <v/>
      </c>
      <c r="G2" s="265" t="str">
        <f>IF('1.Hoja_de_Cotización'!H74="","",'1.Hoja_de_Cotización'!H74)</f>
        <v/>
      </c>
      <c r="J2" s="266" t="s">
        <v>104</v>
      </c>
      <c r="K2" s="260" t="s">
        <v>105</v>
      </c>
    </row>
    <row r="3" spans="1:20" ht="25.5" x14ac:dyDescent="0.2">
      <c r="A3" s="262" t="s">
        <v>99</v>
      </c>
      <c r="B3" s="262">
        <f>30</f>
        <v>30</v>
      </c>
      <c r="C3" s="267" t="s">
        <v>100</v>
      </c>
      <c r="D3" s="268">
        <f ca="1">TODAY()</f>
        <v>43816</v>
      </c>
      <c r="E3" s="268">
        <f ca="1">TODAY()</f>
        <v>43816</v>
      </c>
      <c r="F3" s="268">
        <f ca="1">TODAY()</f>
        <v>43816</v>
      </c>
      <c r="G3" s="268">
        <f ca="1">TODAY()</f>
        <v>43816</v>
      </c>
      <c r="J3" s="266" t="s">
        <v>126</v>
      </c>
      <c r="K3" s="260" t="s">
        <v>218</v>
      </c>
      <c r="O3" s="269" t="s">
        <v>480</v>
      </c>
    </row>
    <row r="4" spans="1:20" ht="38.25" x14ac:dyDescent="0.2">
      <c r="A4" s="262" t="s">
        <v>78</v>
      </c>
      <c r="B4" s="270">
        <f>IF('1.Hoja_de_Cotización'!G34="",'1.Hoja_de_Cotización'!G35,'1.Hoja_de_Cotización'!G34)</f>
        <v>0.01</v>
      </c>
      <c r="C4" s="258" t="s">
        <v>101</v>
      </c>
      <c r="D4" s="271" t="str">
        <f>IF(D2="","",YEAR(D3)-YEAR(D2))</f>
        <v/>
      </c>
      <c r="E4" s="271" t="str">
        <f>IF(E2="","",YEAR(E3)-YEAR(E2))</f>
        <v/>
      </c>
      <c r="F4" s="271" t="str">
        <f>IF(F2="","",YEAR(F3)-YEAR(F2))</f>
        <v/>
      </c>
      <c r="G4" s="271" t="str">
        <f>IF(G2="","",YEAR(G3)-YEAR(G2))</f>
        <v/>
      </c>
      <c r="J4" s="266" t="s">
        <v>128</v>
      </c>
      <c r="K4" s="260" t="s">
        <v>127</v>
      </c>
    </row>
    <row r="5" spans="1:20" x14ac:dyDescent="0.2">
      <c r="A5" s="272" t="s">
        <v>170</v>
      </c>
      <c r="B5" s="270">
        <f>D149</f>
        <v>0</v>
      </c>
      <c r="C5" s="273"/>
      <c r="D5" s="274"/>
      <c r="E5" s="274"/>
      <c r="F5" s="274"/>
      <c r="G5" s="274"/>
      <c r="J5" s="275"/>
    </row>
    <row r="6" spans="1:20" x14ac:dyDescent="0.2">
      <c r="A6" s="276"/>
      <c r="B6" s="277"/>
      <c r="C6" s="273"/>
      <c r="D6" s="274"/>
      <c r="E6" s="274"/>
      <c r="F6" s="274"/>
      <c r="G6" s="274"/>
      <c r="J6" s="275"/>
    </row>
    <row r="7" spans="1:20" x14ac:dyDescent="0.2">
      <c r="B7" s="260" t="s">
        <v>758</v>
      </c>
    </row>
    <row r="8" spans="1:20" x14ac:dyDescent="0.2">
      <c r="T8" s="260" t="s">
        <v>777</v>
      </c>
    </row>
    <row r="9" spans="1:20" x14ac:dyDescent="0.2">
      <c r="A9" s="971" t="s">
        <v>53</v>
      </c>
      <c r="B9" s="972" t="s">
        <v>1275</v>
      </c>
      <c r="C9" s="973" t="s">
        <v>1276</v>
      </c>
      <c r="E9" s="278" t="s">
        <v>270</v>
      </c>
    </row>
    <row r="10" spans="1:20" ht="15" x14ac:dyDescent="0.25">
      <c r="A10" s="279" t="s">
        <v>117</v>
      </c>
      <c r="B10" s="1076" t="str">
        <f>IFERROR(B67,"")</f>
        <v/>
      </c>
      <c r="C10" s="17" t="str">
        <f>B10</f>
        <v/>
      </c>
      <c r="E10" s="280">
        <f>'1.Hoja_de_Cotización'!C33*0.75</f>
        <v>0</v>
      </c>
      <c r="K10" s="1729" t="s">
        <v>437</v>
      </c>
      <c r="L10" s="1729"/>
      <c r="M10" s="1729"/>
      <c r="N10" s="1729"/>
      <c r="O10" s="1729"/>
    </row>
    <row r="11" spans="1:20" x14ac:dyDescent="0.2">
      <c r="A11" s="279" t="s">
        <v>118</v>
      </c>
      <c r="B11" s="18">
        <f>C52</f>
        <v>0</v>
      </c>
      <c r="C11" s="17">
        <v>0</v>
      </c>
    </row>
    <row r="12" spans="1:20" ht="35.25" x14ac:dyDescent="0.3">
      <c r="A12" s="279" t="s">
        <v>119</v>
      </c>
      <c r="B12" s="18">
        <f>B31</f>
        <v>0</v>
      </c>
      <c r="C12" s="18">
        <v>0</v>
      </c>
      <c r="K12" s="1733" t="s">
        <v>417</v>
      </c>
      <c r="L12" s="1734"/>
      <c r="M12" s="281" t="s">
        <v>435</v>
      </c>
      <c r="N12" s="1733" t="s">
        <v>418</v>
      </c>
      <c r="O12" s="1734"/>
    </row>
    <row r="13" spans="1:20" ht="14.25" x14ac:dyDescent="0.2">
      <c r="A13" s="279" t="s">
        <v>121</v>
      </c>
      <c r="B13" s="18">
        <f>IF('1.Hoja_de_Cotización'!C58="",IF(AND('1.Hoja_de_Cotización'!R14=1,'1.Hoja_de_Cotización'!R7=4),10.7,'1.Hoja_de_Cotización'!C57),'1.Hoja_de_Cotización'!C58)</f>
        <v>4.28</v>
      </c>
      <c r="C13" s="282">
        <f>B13</f>
        <v>4.28</v>
      </c>
      <c r="K13" s="283" t="s">
        <v>419</v>
      </c>
      <c r="L13" s="284">
        <f>IF(AND(M13&gt;0.01,M13&lt;100),100,M13)</f>
        <v>0</v>
      </c>
      <c r="M13" s="285">
        <f>IF('1.Hoja_de_Cotización'!R1=2,'1.Hoja_de_Cotización'!C43*Cálculos!B4,'1.Hoja_de_Cotización'!C44*Cálculos!B4)</f>
        <v>0</v>
      </c>
      <c r="N13" s="286" t="s">
        <v>420</v>
      </c>
      <c r="O13" s="287">
        <f>IF(ISERROR(Comisiones_Cargos!BD5),0,Comisiones_Cargos!BD5)</f>
        <v>0</v>
      </c>
    </row>
    <row r="14" spans="1:20" x14ac:dyDescent="0.2">
      <c r="A14" s="283" t="str">
        <f>IF(C14="0.00","","Fideicomiso")</f>
        <v/>
      </c>
      <c r="B14" s="282" t="str">
        <f>IF('1.Hoja_de_Cotización'!H94="SI",C76,"0.00")</f>
        <v>0.00</v>
      </c>
      <c r="C14" s="19" t="str">
        <f>B14</f>
        <v>0.00</v>
      </c>
      <c r="K14" s="283" t="s">
        <v>421</v>
      </c>
      <c r="L14" s="288">
        <f>IF(OR('1.Hoja_de_Cotización'!R1=1,'1.Hoja_de_Cotización'!R1=5,'1.Hoja_de_Cotización'!R1=8),IF(OR('1.Hoja_de_Cotización'!R2=1,'1.Hoja_de_Cotización'!R2=3),IF('1.Hoja_de_Cotización'!R3&lt;&gt;2,C132,C119),C119),C119)</f>
        <v>0</v>
      </c>
      <c r="M14" s="1078">
        <f>IF(OR('1.Hoja_de_Cotización'!R1=2,'1.Hoja_de_Cotización'!R1=4),IF(B4&gt;=0.01%,(B4*'1.Hoja_de_Cotización'!C43),0),IF(B4&gt;=0.01%,(B4*'1.Hoja_de_Cotización'!C44),0))</f>
        <v>0</v>
      </c>
      <c r="N14" s="286" t="s">
        <v>422</v>
      </c>
      <c r="O14" s="287">
        <f>IF(ISERROR(Comisiones_Cargos!BD2),0,Comisiones_Cargos!BD2)</f>
        <v>0</v>
      </c>
    </row>
    <row r="15" spans="1:20" x14ac:dyDescent="0.2">
      <c r="A15" s="289" t="s">
        <v>120</v>
      </c>
      <c r="B15" s="1075">
        <f>SUM(B10:B14)</f>
        <v>4.28</v>
      </c>
      <c r="C15" s="20">
        <f>SUM(C10:C14)</f>
        <v>4.28</v>
      </c>
      <c r="K15" s="283" t="s">
        <v>423</v>
      </c>
      <c r="L15" s="287">
        <f>IF(ISERROR(Comisiones_Cargos!BD8), 0, Comisiones_Cargos!BD8)</f>
        <v>0</v>
      </c>
      <c r="M15" s="1079">
        <f>IF(OR('1.Hoja_de_Cotización'!R1=3,'1.Hoja_de_Cotización'!R1=12),B4*'1.Hoja_de_Cotización'!C44,IF('1.Hoja_de_Cotización'!R1=2,Cálculos!B4*'1.Hoja_de_Cotización'!C43,0))</f>
        <v>0</v>
      </c>
      <c r="N15" s="286" t="s">
        <v>424</v>
      </c>
      <c r="O15" s="288">
        <f>IF(OR('1.Hoja_de_Cotización'!R2=1,'1.Hoja_de_Cotización'!R2=3),B3,0)</f>
        <v>0</v>
      </c>
    </row>
    <row r="16" spans="1:20" x14ac:dyDescent="0.2">
      <c r="K16" s="283" t="s">
        <v>425</v>
      </c>
      <c r="L16" s="290">
        <f>'1.Hoja_de_Cotización'!G37</f>
        <v>0</v>
      </c>
      <c r="M16" s="291"/>
      <c r="N16" s="286" t="s">
        <v>426</v>
      </c>
      <c r="O16" s="292">
        <f>IF(ISERROR(Comisiones_Cargos!BD11), 0, Comisiones_Cargos!BD11)</f>
        <v>0</v>
      </c>
    </row>
    <row r="17" spans="1:15" ht="14.25" x14ac:dyDescent="0.2">
      <c r="K17" s="293" t="s">
        <v>427</v>
      </c>
      <c r="L17" s="287">
        <f>IF(AND('1.Hoja_de_Cotización'!R14=1,'1.Hoja_de_Cotización'!R7&lt;&gt;4),L16,SUM(L13:L16))</f>
        <v>0</v>
      </c>
      <c r="M17" s="294"/>
      <c r="N17" s="295" t="s">
        <v>428</v>
      </c>
      <c r="O17" s="292">
        <f>SUM(O13:O16)</f>
        <v>0</v>
      </c>
    </row>
    <row r="18" spans="1:15" ht="14.25" x14ac:dyDescent="0.2">
      <c r="K18" s="293" t="s">
        <v>429</v>
      </c>
      <c r="L18" s="287">
        <f>L17*0.07</f>
        <v>0</v>
      </c>
      <c r="M18" s="294"/>
      <c r="N18" s="295" t="s">
        <v>430</v>
      </c>
      <c r="O18" s="292">
        <f>SUM(O13:O15)</f>
        <v>0</v>
      </c>
    </row>
    <row r="19" spans="1:15" ht="14.25" x14ac:dyDescent="0.2">
      <c r="A19" s="1738" t="s">
        <v>119</v>
      </c>
      <c r="B19" s="1739"/>
      <c r="C19" s="1739"/>
      <c r="D19" s="1739"/>
      <c r="E19" s="1739"/>
      <c r="F19" s="1739"/>
      <c r="G19" s="1739"/>
      <c r="H19" s="1739"/>
      <c r="K19" s="296"/>
      <c r="L19" s="287"/>
      <c r="M19" s="297"/>
      <c r="N19" s="295" t="s">
        <v>431</v>
      </c>
      <c r="O19" s="287">
        <f>'1.Hoja_de_Cotización'!G42</f>
        <v>0</v>
      </c>
    </row>
    <row r="20" spans="1:15" ht="14.25" x14ac:dyDescent="0.2">
      <c r="A20" s="283" t="s">
        <v>132</v>
      </c>
      <c r="B20" s="298">
        <v>0.8</v>
      </c>
      <c r="C20" s="299"/>
      <c r="D20" s="276"/>
      <c r="E20" s="300"/>
      <c r="F20" s="300"/>
      <c r="G20" s="300"/>
      <c r="K20" s="301" t="s">
        <v>432</v>
      </c>
      <c r="L20" s="302">
        <f>SUM(L17:L18)</f>
        <v>0</v>
      </c>
      <c r="M20" s="297"/>
      <c r="N20" s="303"/>
      <c r="O20" s="287"/>
    </row>
    <row r="21" spans="1:15" ht="14.25" x14ac:dyDescent="0.2">
      <c r="A21" s="304" t="s">
        <v>133</v>
      </c>
      <c r="B21" s="1719" t="s">
        <v>134</v>
      </c>
      <c r="C21" s="1719"/>
      <c r="D21" s="305"/>
      <c r="E21" s="304" t="s">
        <v>135</v>
      </c>
      <c r="F21" s="1722" t="s">
        <v>134</v>
      </c>
      <c r="G21" s="1723"/>
      <c r="K21" s="306"/>
      <c r="L21" s="307"/>
      <c r="M21" s="297"/>
      <c r="N21" s="295" t="s">
        <v>433</v>
      </c>
      <c r="O21" s="287">
        <f>O19+O20</f>
        <v>0</v>
      </c>
    </row>
    <row r="22" spans="1:15" ht="14.25" x14ac:dyDescent="0.2">
      <c r="A22" s="308" t="s">
        <v>136</v>
      </c>
      <c r="B22" s="309" t="s">
        <v>137</v>
      </c>
      <c r="C22" s="310">
        <v>1.9E-3</v>
      </c>
      <c r="D22" s="305"/>
      <c r="E22" s="286" t="s">
        <v>136</v>
      </c>
      <c r="F22" s="309" t="s">
        <v>137</v>
      </c>
      <c r="G22" s="310">
        <v>1.575E-3</v>
      </c>
      <c r="K22" s="284">
        <f>IF('1.Hoja_de_Cotización'!R1=2,'1.Hoja_de_Cotización'!C43*Cálculos!B4,'1.Hoja_de_Cotización'!C44*Cálculos!B4)</f>
        <v>0</v>
      </c>
      <c r="L22" s="311"/>
      <c r="M22" s="312"/>
      <c r="N22" s="301" t="s">
        <v>434</v>
      </c>
      <c r="O22" s="302">
        <f>(L20+O17)-O21</f>
        <v>0</v>
      </c>
    </row>
    <row r="23" spans="1:15" ht="15.75" x14ac:dyDescent="0.3">
      <c r="A23" s="313" t="s">
        <v>138</v>
      </c>
      <c r="B23" s="314" t="s">
        <v>139</v>
      </c>
      <c r="C23" s="310">
        <v>1.9E-3</v>
      </c>
      <c r="D23" s="315"/>
      <c r="E23" s="314" t="s">
        <v>140</v>
      </c>
      <c r="F23" s="286" t="s">
        <v>141</v>
      </c>
      <c r="G23" s="316">
        <v>1.2600000000000001E-3</v>
      </c>
      <c r="K23" s="317"/>
      <c r="L23" s="318"/>
      <c r="M23" s="317"/>
      <c r="N23" s="319"/>
      <c r="O23" s="320"/>
    </row>
    <row r="24" spans="1:15" x14ac:dyDescent="0.2">
      <c r="A24" s="314" t="s">
        <v>140</v>
      </c>
      <c r="B24" s="314" t="s">
        <v>142</v>
      </c>
      <c r="C24" s="310">
        <v>1.0499999999999999E-3</v>
      </c>
      <c r="D24" s="305"/>
      <c r="E24" s="314" t="s">
        <v>140</v>
      </c>
      <c r="F24" s="286" t="s">
        <v>143</v>
      </c>
      <c r="G24" s="316">
        <v>1.2600000000000001E-3</v>
      </c>
    </row>
    <row r="25" spans="1:15" x14ac:dyDescent="0.2">
      <c r="A25" s="314" t="s">
        <v>140</v>
      </c>
      <c r="B25" s="314" t="s">
        <v>144</v>
      </c>
      <c r="C25" s="310">
        <v>9.4499999999999998E-4</v>
      </c>
      <c r="D25" s="305"/>
      <c r="E25" s="314" t="s">
        <v>140</v>
      </c>
      <c r="F25" s="286" t="s">
        <v>145</v>
      </c>
      <c r="G25" s="316">
        <v>1.0499999999999999E-3</v>
      </c>
    </row>
    <row r="26" spans="1:15" x14ac:dyDescent="0.2">
      <c r="A26" s="1615" t="s">
        <v>146</v>
      </c>
      <c r="B26" s="1616"/>
    </row>
    <row r="27" spans="1:15" x14ac:dyDescent="0.2">
      <c r="A27" s="321" t="s">
        <v>147</v>
      </c>
      <c r="B27" s="322">
        <f>IF('1.Hoja_de_Cotización'!C35&gt;0,'1.Hoja_de_Cotización'!C35,'1.Hoja_de_Cotización'!C33)</f>
        <v>0</v>
      </c>
    </row>
    <row r="28" spans="1:15" x14ac:dyDescent="0.2">
      <c r="A28" s="321" t="s">
        <v>148</v>
      </c>
      <c r="B28" s="323">
        <f>E34</f>
        <v>1.9E-3</v>
      </c>
      <c r="K28" s="1730" t="s">
        <v>470</v>
      </c>
      <c r="L28" s="1730"/>
    </row>
    <row r="29" spans="1:15" x14ac:dyDescent="0.2">
      <c r="A29" s="1720" t="s">
        <v>149</v>
      </c>
      <c r="B29" s="1721"/>
      <c r="C29" s="1721"/>
      <c r="D29" s="1721"/>
      <c r="E29" s="1721"/>
      <c r="F29" s="1721"/>
    </row>
    <row r="30" spans="1:15" ht="15" x14ac:dyDescent="0.25">
      <c r="A30" s="272" t="s">
        <v>154</v>
      </c>
      <c r="B30" s="324">
        <f>IF(ISBLANK('1.Hoja_de_Cotización'!C51),"",VLOOKUP('1.Hoja_de_Cotización'!C51,combo_PolIncendio,2,FALSE))</f>
        <v>1</v>
      </c>
      <c r="K30" s="1601" t="s">
        <v>463</v>
      </c>
      <c r="L30" s="1602"/>
      <c r="M30" s="325"/>
    </row>
    <row r="31" spans="1:15" ht="15" x14ac:dyDescent="0.25">
      <c r="A31" s="272" t="s">
        <v>153</v>
      </c>
      <c r="B31" s="326">
        <f>ROUND(IF(B30=1,(B27*B20*B28)/12,0),2)</f>
        <v>0</v>
      </c>
      <c r="K31" s="327" t="s">
        <v>464</v>
      </c>
      <c r="L31" s="328">
        <f>IF('1.Hoja_de_Cotización'!$R$1=2,'1.Hoja_de_Cotización'!C43,'1.Hoja_de_Cotización'!C44)</f>
        <v>0</v>
      </c>
      <c r="M31" s="329"/>
    </row>
    <row r="32" spans="1:15" ht="39" x14ac:dyDescent="0.25">
      <c r="K32" s="330" t="s">
        <v>465</v>
      </c>
      <c r="L32" s="328">
        <f>SUM(L13:L16)-O19</f>
        <v>0</v>
      </c>
      <c r="M32" s="329"/>
    </row>
    <row r="33" spans="1:13" ht="15" x14ac:dyDescent="0.25">
      <c r="A33" s="331" t="s">
        <v>133</v>
      </c>
      <c r="B33" s="1617" t="s">
        <v>134</v>
      </c>
      <c r="C33" s="1618"/>
      <c r="D33" s="332"/>
      <c r="E33" s="333" t="s">
        <v>148</v>
      </c>
      <c r="K33" s="334"/>
      <c r="L33" s="334"/>
      <c r="M33" s="325"/>
    </row>
    <row r="34" spans="1:13" ht="15" x14ac:dyDescent="0.25">
      <c r="A34" s="308" t="s">
        <v>136</v>
      </c>
      <c r="B34" s="335">
        <v>0</v>
      </c>
      <c r="C34" s="314">
        <v>1.9E-3</v>
      </c>
      <c r="D34" s="336">
        <f>IF('1.Hoja_de_Cotización'!C33&gt;80000,VLOOKUP('1.Hoja_de_Cotización'!C33,(B34:C37),2,TRUE),C34)</f>
        <v>1.9E-3</v>
      </c>
      <c r="E34" s="337">
        <f>IF('1.Hoja_de_Cotización'!R4=1,D34,D40)</f>
        <v>1.9E-3</v>
      </c>
      <c r="K34" s="338" t="s">
        <v>466</v>
      </c>
      <c r="L34" s="328">
        <f>IFERROR(L31-L32,"")</f>
        <v>0</v>
      </c>
      <c r="M34" s="329"/>
    </row>
    <row r="35" spans="1:13" ht="15" x14ac:dyDescent="0.25">
      <c r="A35" s="314" t="s">
        <v>138</v>
      </c>
      <c r="B35" s="339">
        <v>65001</v>
      </c>
      <c r="C35" s="314">
        <v>1.9E-3</v>
      </c>
      <c r="D35" s="343"/>
      <c r="E35" s="332"/>
      <c r="K35" s="334"/>
      <c r="L35" s="334"/>
      <c r="M35" s="325"/>
    </row>
    <row r="36" spans="1:13" ht="15" x14ac:dyDescent="0.25">
      <c r="A36" s="314" t="s">
        <v>140</v>
      </c>
      <c r="B36" s="339">
        <v>80001</v>
      </c>
      <c r="C36" s="310">
        <v>1.0499999999999999E-3</v>
      </c>
      <c r="D36" s="332"/>
      <c r="E36" s="332"/>
      <c r="K36" s="327" t="s">
        <v>52</v>
      </c>
      <c r="L36" s="334">
        <f>B148*12</f>
        <v>0</v>
      </c>
      <c r="M36" s="325"/>
    </row>
    <row r="37" spans="1:13" ht="15" x14ac:dyDescent="0.25">
      <c r="A37" s="314" t="s">
        <v>140</v>
      </c>
      <c r="B37" s="339">
        <v>250000</v>
      </c>
      <c r="C37" s="310">
        <v>9.4499999999999998E-4</v>
      </c>
      <c r="D37" s="332"/>
      <c r="E37" s="332"/>
      <c r="K37" s="327" t="s">
        <v>170</v>
      </c>
      <c r="L37" s="340">
        <f>B5</f>
        <v>0</v>
      </c>
      <c r="M37" s="341"/>
    </row>
    <row r="38" spans="1:13" ht="15" x14ac:dyDescent="0.25">
      <c r="A38" s="332"/>
      <c r="B38" s="332"/>
      <c r="C38" s="332"/>
      <c r="D38" s="332"/>
      <c r="E38" s="332"/>
      <c r="K38" s="327" t="s">
        <v>467</v>
      </c>
      <c r="L38" s="328" t="str">
        <f>IFERROR(PMT((L37*365/360)/12,L36,-L31),"")</f>
        <v/>
      </c>
      <c r="M38" s="328" t="str">
        <f>IFERROR(PMT((L37*365/360)/12,L36,-L31),"")</f>
        <v/>
      </c>
    </row>
    <row r="39" spans="1:13" ht="15" x14ac:dyDescent="0.25">
      <c r="A39" s="342" t="s">
        <v>135</v>
      </c>
      <c r="B39" s="1736" t="s">
        <v>134</v>
      </c>
      <c r="C39" s="1737"/>
      <c r="D39" s="343"/>
      <c r="E39" s="343"/>
      <c r="K39" s="327" t="s">
        <v>468</v>
      </c>
      <c r="L39" s="344">
        <f>IF(M39="",0,M39)</f>
        <v>4</v>
      </c>
      <c r="M39" s="345">
        <f>IF(ISERROR(B2/1.07),0,B2/1.07)</f>
        <v>4</v>
      </c>
    </row>
    <row r="40" spans="1:13" ht="15" x14ac:dyDescent="0.25">
      <c r="A40" s="286" t="s">
        <v>136</v>
      </c>
      <c r="B40" s="346">
        <v>1</v>
      </c>
      <c r="C40" s="310">
        <v>1.575E-3</v>
      </c>
      <c r="D40" s="336">
        <f>IF('1.Hoja_de_Cotización'!C33&gt;80000,VLOOKUP('1.Hoja_de_Cotización'!C33,(B40:C43),2,TRUE),C40)</f>
        <v>1.575E-3</v>
      </c>
      <c r="E40" s="332"/>
      <c r="K40" s="301" t="s">
        <v>469</v>
      </c>
      <c r="L40" s="347">
        <f>IF(ISERROR(RATE(L36,(L38+L39),-L34,0)*12),0,RATE(L36,(L38+L39),-L34,0)*12)</f>
        <v>0</v>
      </c>
      <c r="M40" s="319"/>
    </row>
    <row r="41" spans="1:13" ht="15" x14ac:dyDescent="0.25">
      <c r="A41" s="314" t="s">
        <v>140</v>
      </c>
      <c r="B41" s="348">
        <v>80001</v>
      </c>
      <c r="C41" s="316">
        <v>1.2600000000000001E-3</v>
      </c>
      <c r="D41" s="343"/>
      <c r="E41" s="343"/>
      <c r="K41" s="325"/>
      <c r="L41" s="325"/>
      <c r="M41" s="325"/>
    </row>
    <row r="42" spans="1:13" ht="15" x14ac:dyDescent="0.25">
      <c r="A42" s="314" t="s">
        <v>140</v>
      </c>
      <c r="B42" s="348">
        <v>100001</v>
      </c>
      <c r="C42" s="316">
        <v>1.2600000000000001E-3</v>
      </c>
      <c r="D42" s="332"/>
      <c r="E42" s="332"/>
      <c r="K42" s="325"/>
      <c r="L42" s="347">
        <f>IF(ISERROR(RATE(L36,(L38+L39),-L34,0)*12),0,RATE(L36,(L38+L39),-L34,0)*12)</f>
        <v>0</v>
      </c>
      <c r="M42" s="325"/>
    </row>
    <row r="43" spans="1:13" x14ac:dyDescent="0.2">
      <c r="A43" s="314" t="s">
        <v>140</v>
      </c>
      <c r="B43" s="348">
        <v>250000</v>
      </c>
      <c r="C43" s="316">
        <v>1.0499999999999999E-3</v>
      </c>
      <c r="D43" s="332"/>
      <c r="E43" s="332"/>
    </row>
    <row r="44" spans="1:13" ht="3" customHeight="1" x14ac:dyDescent="0.2">
      <c r="A44" s="349"/>
      <c r="B44" s="349"/>
      <c r="C44" s="349"/>
      <c r="D44" s="349"/>
      <c r="E44" s="349"/>
      <c r="F44" s="349"/>
      <c r="G44" s="349"/>
      <c r="H44" s="349"/>
    </row>
    <row r="46" spans="1:13" x14ac:dyDescent="0.2">
      <c r="A46" s="1613" t="s">
        <v>155</v>
      </c>
      <c r="B46" s="1613"/>
      <c r="C46" s="1613"/>
      <c r="D46" s="1613"/>
      <c r="E46" s="1613"/>
      <c r="F46" s="1613"/>
    </row>
    <row r="47" spans="1:13" x14ac:dyDescent="0.2">
      <c r="A47" s="350" t="s">
        <v>156</v>
      </c>
      <c r="B47" s="350" t="s">
        <v>157</v>
      </c>
      <c r="C47" s="350" t="s">
        <v>158</v>
      </c>
      <c r="D47" s="286">
        <v>0</v>
      </c>
      <c r="E47" s="286">
        <v>0</v>
      </c>
      <c r="F47" s="286" t="e">
        <f>VLOOKUP(B48,D47:E57,2,TRUE)</f>
        <v>#N/A</v>
      </c>
    </row>
    <row r="48" spans="1:13" x14ac:dyDescent="0.2">
      <c r="A48" s="286" t="s">
        <v>159</v>
      </c>
      <c r="B48" s="351" t="str">
        <f>D4</f>
        <v/>
      </c>
      <c r="C48" s="290" t="b">
        <f>(IF(AND(A55=TRUE,B48&lt;=70),IF('1.Hoja_de_Cotización'!$R$1=2,(('1.Hoja_de_Cotización'!$C$43*F47)*1.05),(('1.Hoja_de_Cotización'!$C$44*F47)*1.05))))</f>
        <v>0</v>
      </c>
      <c r="D48" s="286">
        <v>18</v>
      </c>
      <c r="E48" s="286">
        <v>2.0000000000000001E-4</v>
      </c>
      <c r="F48" s="286" t="e">
        <f>VLOOKUP(B49,D48:E57,2,TRUE)</f>
        <v>#N/A</v>
      </c>
    </row>
    <row r="49" spans="1:6" x14ac:dyDescent="0.2">
      <c r="A49" s="286" t="s">
        <v>160</v>
      </c>
      <c r="B49" s="351" t="str">
        <f>E4</f>
        <v/>
      </c>
      <c r="C49" s="290" t="b">
        <f>(IF(AND(A56=TRUE,B49&lt;=70),IF('1.Hoja_de_Cotización'!$R$1=2,(('1.Hoja_de_Cotización'!$C$43*F48)*1.05),(('1.Hoja_de_Cotización'!$C$44*F48)*1.05))))</f>
        <v>0</v>
      </c>
      <c r="D49" s="286">
        <v>26</v>
      </c>
      <c r="E49" s="286">
        <v>2.5000000000000001E-4</v>
      </c>
      <c r="F49" s="286" t="e">
        <f>VLOOKUP(B50,D48:E57,2,TRUE)</f>
        <v>#N/A</v>
      </c>
    </row>
    <row r="50" spans="1:6" x14ac:dyDescent="0.2">
      <c r="A50" s="286" t="s">
        <v>161</v>
      </c>
      <c r="B50" s="351" t="str">
        <f>F4</f>
        <v/>
      </c>
      <c r="C50" s="290" t="b">
        <f>(IF(AND(A57=TRUE,B50&lt;=70),IF('1.Hoja_de_Cotización'!$R$1=2,(('1.Hoja_de_Cotización'!$C$43*F49)*1.05),(('1.Hoja_de_Cotización'!$C$44*F49)*1.05))))</f>
        <v>0</v>
      </c>
      <c r="D50" s="286">
        <v>31</v>
      </c>
      <c r="E50" s="286">
        <v>2.9999999999999997E-4</v>
      </c>
      <c r="F50" s="286" t="e">
        <f>VLOOKUP(B51,D47:E57,2,TRUE)</f>
        <v>#N/A</v>
      </c>
    </row>
    <row r="51" spans="1:6" x14ac:dyDescent="0.2">
      <c r="A51" s="286" t="s">
        <v>162</v>
      </c>
      <c r="B51" s="351" t="str">
        <f>G4</f>
        <v/>
      </c>
      <c r="C51" s="290" t="b">
        <f>(IF(AND(A58=TRUE,B51&lt;=70),IF('1.Hoja_de_Cotización'!$R$1=2,(('1.Hoja_de_Cotización'!$C$43*F50)*1.05),(('1.Hoja_de_Cotización'!$C$44*F50)*1.05))))</f>
        <v>0</v>
      </c>
      <c r="D51" s="286">
        <v>36</v>
      </c>
      <c r="E51" s="286">
        <v>3.5E-4</v>
      </c>
      <c r="F51" s="286"/>
    </row>
    <row r="52" spans="1:6" x14ac:dyDescent="0.2">
      <c r="A52" s="286" t="s">
        <v>163</v>
      </c>
      <c r="B52" s="314"/>
      <c r="C52" s="290">
        <f>SUM(C48:C51)</f>
        <v>0</v>
      </c>
      <c r="D52" s="286">
        <v>41</v>
      </c>
      <c r="E52" s="286">
        <v>4.0000000000000002E-4</v>
      </c>
      <c r="F52" s="286"/>
    </row>
    <row r="53" spans="1:6" x14ac:dyDescent="0.2">
      <c r="A53" s="332"/>
      <c r="B53" s="300"/>
      <c r="C53" s="300"/>
      <c r="D53" s="286">
        <v>46</v>
      </c>
      <c r="E53" s="286">
        <v>5.0000000000000001E-4</v>
      </c>
      <c r="F53" s="286"/>
    </row>
    <row r="54" spans="1:6" x14ac:dyDescent="0.2">
      <c r="A54" s="352" t="s">
        <v>164</v>
      </c>
      <c r="B54" s="300"/>
      <c r="C54" s="300"/>
      <c r="D54" s="286">
        <v>51</v>
      </c>
      <c r="E54" s="286">
        <v>6.9999999999999999E-4</v>
      </c>
      <c r="F54" s="286"/>
    </row>
    <row r="55" spans="1:6" x14ac:dyDescent="0.2">
      <c r="A55" s="881" t="b">
        <v>0</v>
      </c>
      <c r="B55" s="300"/>
      <c r="C55" s="300"/>
      <c r="D55" s="286">
        <v>56</v>
      </c>
      <c r="E55" s="286">
        <v>8.0000000000000004E-4</v>
      </c>
      <c r="F55" s="286"/>
    </row>
    <row r="56" spans="1:6" x14ac:dyDescent="0.2">
      <c r="A56" s="882" t="b">
        <v>0</v>
      </c>
      <c r="B56" s="353"/>
      <c r="C56" s="300"/>
      <c r="D56" s="286">
        <v>61</v>
      </c>
      <c r="E56" s="286">
        <v>8.9999999999999998E-4</v>
      </c>
      <c r="F56" s="286"/>
    </row>
    <row r="57" spans="1:6" x14ac:dyDescent="0.2">
      <c r="A57" s="882" t="b">
        <v>0</v>
      </c>
      <c r="B57" s="353"/>
      <c r="C57" s="300"/>
      <c r="D57" s="286">
        <v>70</v>
      </c>
      <c r="E57" s="286">
        <v>1E-3</v>
      </c>
      <c r="F57" s="286"/>
    </row>
    <row r="58" spans="1:6" x14ac:dyDescent="0.2">
      <c r="A58" s="882" t="b">
        <v>0</v>
      </c>
      <c r="B58" s="300"/>
      <c r="C58" s="300"/>
      <c r="D58" s="332"/>
      <c r="E58" s="332"/>
      <c r="F58" s="300"/>
    </row>
    <row r="63" spans="1:6" x14ac:dyDescent="0.2">
      <c r="A63" s="1715" t="s">
        <v>172</v>
      </c>
      <c r="B63" s="1716"/>
      <c r="C63" s="1716"/>
      <c r="D63" s="354"/>
      <c r="E63" s="354"/>
      <c r="F63" s="354"/>
    </row>
    <row r="64" spans="1:6" x14ac:dyDescent="0.2">
      <c r="A64" s="272" t="s">
        <v>169</v>
      </c>
      <c r="B64" s="355">
        <f>IF(ISBLANK('1.Hoja_de_Cotización'!C53),"",VLOOKUP('1.Hoja_de_Cotización'!C53,combo_feci,2,FALSE))</f>
        <v>1</v>
      </c>
      <c r="C64" s="356">
        <f>B64/100</f>
        <v>0.01</v>
      </c>
    </row>
    <row r="65" spans="1:4" x14ac:dyDescent="0.2">
      <c r="A65" s="272" t="s">
        <v>170</v>
      </c>
      <c r="B65" s="270">
        <f>IF('1.Hoja_de_Cotización'!R7=3,Cálculos!B149,'1.Hoja_de_Cotización'!C47)</f>
        <v>0</v>
      </c>
    </row>
    <row r="66" spans="1:4" x14ac:dyDescent="0.2">
      <c r="A66" s="272" t="s">
        <v>52</v>
      </c>
      <c r="B66" s="272">
        <f>B148</f>
        <v>0</v>
      </c>
    </row>
    <row r="67" spans="1:4" x14ac:dyDescent="0.2">
      <c r="A67" s="1040" t="s">
        <v>171</v>
      </c>
      <c r="B67" s="1041" t="str">
        <f>IF('1.Hoja_de_Cotización'!R1=2,IFERROR(ROUND(IF(B64&gt;0,-PMT(((B65+C64)*365/360)/12,B66*12,'1.Hoja_de_Cotización'!C43),-PMT((B65*365/360)/12,B66*12,'1.Hoja_de_Cotización'!C43)),2),""),IFERROR(ROUND(IF(B64&gt;0,-PMT(((B65+C64)*365/360)/12,B66*12,'1.Hoja_de_Cotización'!C44),-PMT((B65*365/360)/12,B66*12,'1.Hoja_de_Cotización'!C44)),2),""))</f>
        <v/>
      </c>
      <c r="C67" s="1042"/>
    </row>
    <row r="73" spans="1:4" ht="15" x14ac:dyDescent="0.3">
      <c r="A73" s="358" t="s">
        <v>224</v>
      </c>
      <c r="B73" s="358"/>
      <c r="C73" s="358"/>
    </row>
    <row r="74" spans="1:4" ht="15" x14ac:dyDescent="0.25">
      <c r="A74" s="359">
        <v>1</v>
      </c>
      <c r="B74" s="359">
        <v>5</v>
      </c>
      <c r="C74" s="360">
        <f>IF('1.Hoja_de_Cotización'!$R$1=2,(IFERROR(IF('1.Hoja_de_Cotización'!C43&gt;0,VLOOKUP('1.Hoja_de_Cotización'!C43,combo_fwla,1,TRUE),0),"")),(IFERROR(IF('1.Hoja_de_Cotización'!C44&gt;0,VLOOKUP('1.Hoja_de_Cotización'!C44,combo_fwla,1,TRUE),0),"")))</f>
        <v>0</v>
      </c>
      <c r="D74" s="754" t="s">
        <v>226</v>
      </c>
    </row>
    <row r="75" spans="1:4" ht="15" x14ac:dyDescent="0.25">
      <c r="A75" s="359">
        <v>50001</v>
      </c>
      <c r="B75" s="359">
        <v>8</v>
      </c>
      <c r="C75" s="361">
        <f>IFERROR(IF(C74&gt;0,(LOOKUP(C74,A74:A86,B74:B86)),0),"")</f>
        <v>0</v>
      </c>
      <c r="D75" s="325" t="s">
        <v>227</v>
      </c>
    </row>
    <row r="76" spans="1:4" ht="15" x14ac:dyDescent="0.25">
      <c r="A76" s="359">
        <v>80001</v>
      </c>
      <c r="B76" s="359">
        <v>10</v>
      </c>
      <c r="C76" s="362">
        <f>IFERROR(C75*1.07," ")</f>
        <v>0</v>
      </c>
      <c r="D76" s="332" t="s">
        <v>228</v>
      </c>
    </row>
    <row r="77" spans="1:4" ht="13.5" x14ac:dyDescent="0.25">
      <c r="A77" s="359">
        <v>100001</v>
      </c>
      <c r="B77" s="359">
        <v>15</v>
      </c>
      <c r="C77" s="359"/>
    </row>
    <row r="78" spans="1:4" ht="13.5" x14ac:dyDescent="0.25">
      <c r="A78" s="359">
        <v>150001</v>
      </c>
      <c r="B78" s="359">
        <v>20</v>
      </c>
      <c r="C78" s="363"/>
    </row>
    <row r="79" spans="1:4" ht="15" x14ac:dyDescent="0.25">
      <c r="A79" s="359">
        <v>200001</v>
      </c>
      <c r="B79" s="359">
        <v>30</v>
      </c>
      <c r="C79" s="364"/>
    </row>
    <row r="80" spans="1:4" ht="15" x14ac:dyDescent="0.25">
      <c r="A80" s="359">
        <v>250001</v>
      </c>
      <c r="B80" s="359">
        <v>40</v>
      </c>
      <c r="C80" s="364"/>
    </row>
    <row r="81" spans="1:3" ht="15" x14ac:dyDescent="0.25">
      <c r="A81" s="359">
        <v>300001</v>
      </c>
      <c r="B81" s="359">
        <v>50</v>
      </c>
      <c r="C81" s="364"/>
    </row>
    <row r="82" spans="1:3" ht="15" x14ac:dyDescent="0.25">
      <c r="A82" s="359">
        <v>350001</v>
      </c>
      <c r="B82" s="359">
        <v>60</v>
      </c>
      <c r="C82" s="364"/>
    </row>
    <row r="83" spans="1:3" ht="15" x14ac:dyDescent="0.25">
      <c r="A83" s="359">
        <v>400001</v>
      </c>
      <c r="B83" s="359">
        <v>70</v>
      </c>
      <c r="C83" s="364"/>
    </row>
    <row r="84" spans="1:3" ht="15" x14ac:dyDescent="0.25">
      <c r="A84" s="359">
        <v>450001</v>
      </c>
      <c r="B84" s="359">
        <v>80</v>
      </c>
      <c r="C84" s="364"/>
    </row>
    <row r="85" spans="1:3" ht="15" x14ac:dyDescent="0.25">
      <c r="A85" s="359">
        <v>500001</v>
      </c>
      <c r="B85" s="359">
        <v>90</v>
      </c>
      <c r="C85" s="364"/>
    </row>
    <row r="86" spans="1:3" ht="15" x14ac:dyDescent="0.25">
      <c r="A86" s="359">
        <v>550001</v>
      </c>
      <c r="B86" s="359">
        <v>100</v>
      </c>
      <c r="C86" s="364"/>
    </row>
    <row r="87" spans="1:3" ht="15" x14ac:dyDescent="0.25">
      <c r="A87" s="334"/>
      <c r="B87" s="334"/>
      <c r="C87" s="334"/>
    </row>
    <row r="88" spans="1:3" ht="15" x14ac:dyDescent="0.25">
      <c r="A88" s="365" t="s">
        <v>225</v>
      </c>
      <c r="B88" s="366">
        <v>200</v>
      </c>
      <c r="C88" s="334"/>
    </row>
    <row r="90" spans="1:3" x14ac:dyDescent="0.2">
      <c r="A90" s="1735" t="s">
        <v>299</v>
      </c>
      <c r="B90" s="1735"/>
      <c r="C90" s="1735"/>
    </row>
    <row r="91" spans="1:3" ht="7.5" customHeight="1" x14ac:dyDescent="0.2"/>
    <row r="92" spans="1:3" x14ac:dyDescent="0.2">
      <c r="A92" s="367" t="s">
        <v>293</v>
      </c>
      <c r="B92" s="368" t="s">
        <v>294</v>
      </c>
      <c r="C92" s="369"/>
    </row>
    <row r="93" spans="1:3" x14ac:dyDescent="0.2">
      <c r="A93" s="370">
        <f>IF(ISBLANK('1.Hoja_de_Cotización'!C68),"",VLOOKUP('1.Hoja_de_Cotización'!C68,combo_participante,2,FALSE))</f>
        <v>1</v>
      </c>
      <c r="B93" s="370">
        <f>IF(OR(A93=1,A93= 2,A93=4),1,0)</f>
        <v>1</v>
      </c>
      <c r="C93" s="369"/>
    </row>
    <row r="94" spans="1:3" x14ac:dyDescent="0.2">
      <c r="A94" s="370">
        <f>IF(ISBLANK('1.Hoja_de_Cotización'!E68),"",VLOOKUP('1.Hoja_de_Cotización'!E68,combo_participante,2,FALSE))</f>
        <v>1</v>
      </c>
      <c r="B94" s="370">
        <f>IF(OR(A94=1,A94= 2,A94=4),1,0)</f>
        <v>1</v>
      </c>
      <c r="C94" s="369"/>
    </row>
    <row r="95" spans="1:3" x14ac:dyDescent="0.2">
      <c r="A95" s="370">
        <f>IF(ISBLANK('1.Hoja_de_Cotización'!G68),"",VLOOKUP('1.Hoja_de_Cotización'!G68,combo_participante,2,FALSE))</f>
        <v>4</v>
      </c>
      <c r="B95" s="370">
        <f>IF(OR(A95=1,A95= 2,A95=4),1,0)</f>
        <v>1</v>
      </c>
      <c r="C95" s="369"/>
    </row>
    <row r="96" spans="1:3" x14ac:dyDescent="0.2">
      <c r="A96" s="370" t="str">
        <f>IF(ISBLANK('1.Hoja_de_Cotización'!H68),"",VLOOKUP('1.Hoja_de_Cotización'!H68,combo_participante,2,FALSE))</f>
        <v/>
      </c>
      <c r="B96" s="370">
        <f>IF(OR(A96=1,A96= 2,A96=4),1,0)</f>
        <v>0</v>
      </c>
      <c r="C96" s="369"/>
    </row>
    <row r="97" spans="1:7" x14ac:dyDescent="0.2">
      <c r="A97" s="371" t="s">
        <v>295</v>
      </c>
      <c r="B97" s="370">
        <f>SUM(B93:B96)</f>
        <v>3</v>
      </c>
      <c r="C97" s="372">
        <f>IF(B99=1,B97*2,2)</f>
        <v>2</v>
      </c>
    </row>
    <row r="98" spans="1:7" x14ac:dyDescent="0.2">
      <c r="A98" s="373"/>
      <c r="B98" s="373"/>
      <c r="C98" s="374"/>
    </row>
    <row r="99" spans="1:7" x14ac:dyDescent="0.2">
      <c r="A99" s="371" t="s">
        <v>188</v>
      </c>
      <c r="B99" s="370">
        <f>IF(ISBLANK('1.Hoja_de_Cotización'!C94),"",VLOOKUP('1.Hoja_de_Cotización'!C94,combo_forma_pago,2,FALSE))</f>
        <v>2</v>
      </c>
      <c r="C99" s="369"/>
    </row>
    <row r="100" spans="1:7" x14ac:dyDescent="0.2">
      <c r="A100" s="373"/>
      <c r="B100" s="373"/>
      <c r="C100" s="369"/>
    </row>
    <row r="101" spans="1:7" x14ac:dyDescent="0.2">
      <c r="A101" s="367" t="s">
        <v>296</v>
      </c>
      <c r="B101" s="368" t="s">
        <v>297</v>
      </c>
      <c r="C101" s="369"/>
    </row>
    <row r="102" spans="1:7" x14ac:dyDescent="0.2">
      <c r="A102" s="370" t="str">
        <f>IF(ISBLANK('1.Hoja_de_Cotización'!C76),"",IF(ISERROR(VLOOKUP('1.Hoja_de_Cotización'!C76,combo_trabajo,2,FALSE)), 0, VLOOKUP('1.Hoja_de_Cotización'!C76,combo_trabajo,2,FALSE)))</f>
        <v/>
      </c>
      <c r="B102" s="370">
        <f>IF(B93=1,(IF(A102=1,4,IF(A102=2,0,2))),0)</f>
        <v>2</v>
      </c>
      <c r="C102" s="369"/>
    </row>
    <row r="103" spans="1:7" x14ac:dyDescent="0.2">
      <c r="A103" s="370" t="str">
        <f>IF(ISBLANK('1.Hoja_de_Cotización'!E76),"",IF(ISERROR(VLOOKUP('1.Hoja_de_Cotización'!E76,combo_trabajo,2,FALSE)), 0, VLOOKUP('1.Hoja_de_Cotización'!E76,combo_trabajo,2,FALSE)))</f>
        <v/>
      </c>
      <c r="B103" s="370">
        <f>IF(B94=1,(IF(A103=1,4,IF(A103=2,0,2))),0)</f>
        <v>2</v>
      </c>
      <c r="C103" s="369"/>
    </row>
    <row r="104" spans="1:7" x14ac:dyDescent="0.2">
      <c r="A104" s="370" t="str">
        <f>IF(ISBLANK('1.Hoja_de_Cotización'!G76),"",IF(ISERROR(VLOOKUP('1.Hoja_de_Cotización'!G76,combo_trabajo,2,FALSE)), 0, VLOOKUP('1.Hoja_de_Cotización'!G76,combo_trabajo,2,FALSE)))</f>
        <v/>
      </c>
      <c r="B104" s="370">
        <f>IF(B95=1,(IF(A104=1,4,IF(A104=2,0,2))),0)</f>
        <v>2</v>
      </c>
      <c r="C104" s="369"/>
    </row>
    <row r="105" spans="1:7" x14ac:dyDescent="0.2">
      <c r="A105" s="370" t="str">
        <f>IF(ISBLANK('1.Hoja_de_Cotización'!H76),"",IF(ISERROR(VLOOKUP('1.Hoja_de_Cotización'!H76,combo_trabajo,2,FALSE)), 0, VLOOKUP('1.Hoja_de_Cotización'!H76,combo_trabajo,2,FALSE)))</f>
        <v/>
      </c>
      <c r="B105" s="370">
        <f>IF(B96=1,(IF(A105=1,4,IF(A105=2,0,2))),0)</f>
        <v>0</v>
      </c>
      <c r="C105" s="369"/>
    </row>
    <row r="106" spans="1:7" x14ac:dyDescent="0.2">
      <c r="A106" s="373"/>
      <c r="B106" s="373"/>
      <c r="C106" s="375" t="s">
        <v>302</v>
      </c>
    </row>
    <row r="107" spans="1:7" x14ac:dyDescent="0.2">
      <c r="A107" s="371" t="s">
        <v>298</v>
      </c>
      <c r="B107" s="370">
        <f>SUM(B102:B105)</f>
        <v>6</v>
      </c>
      <c r="C107" s="370">
        <f>IF(B99=1,B107,0)</f>
        <v>0</v>
      </c>
    </row>
    <row r="110" spans="1:7" ht="15" x14ac:dyDescent="0.2">
      <c r="A110" s="1724" t="s">
        <v>416</v>
      </c>
      <c r="B110" s="1724"/>
      <c r="C110" s="1724"/>
      <c r="D110" s="1724"/>
      <c r="E110" s="376"/>
      <c r="F110" s="376"/>
      <c r="G110" s="300"/>
    </row>
    <row r="112" spans="1:7" x14ac:dyDescent="0.2">
      <c r="A112" s="1731" t="s">
        <v>413</v>
      </c>
      <c r="B112" s="1732"/>
    </row>
    <row r="113" spans="1:6" ht="15" x14ac:dyDescent="0.25">
      <c r="A113" s="377" t="s">
        <v>414</v>
      </c>
      <c r="B113" s="378" t="str">
        <f>IF('1.Hoja_de_Cotización'!R6="No","No","Si")</f>
        <v>Si</v>
      </c>
    </row>
    <row r="114" spans="1:6" ht="15" x14ac:dyDescent="0.25">
      <c r="A114" s="377" t="s">
        <v>415</v>
      </c>
      <c r="B114" s="378" t="str">
        <f>IF('1.Hoja_de_Cotización'!G28="Si","Si","No")</f>
        <v>Si</v>
      </c>
    </row>
    <row r="117" spans="1:6" ht="15" x14ac:dyDescent="0.3">
      <c r="A117" s="1725" t="s">
        <v>436</v>
      </c>
      <c r="B117" s="1726"/>
      <c r="C117" s="1727"/>
    </row>
    <row r="118" spans="1:6" ht="15" x14ac:dyDescent="0.25">
      <c r="A118" s="379"/>
      <c r="B118" s="379"/>
      <c r="C118" s="379"/>
      <c r="F118" s="325"/>
    </row>
    <row r="119" spans="1:6" ht="13.5" x14ac:dyDescent="0.25">
      <c r="A119" s="359">
        <v>5000</v>
      </c>
      <c r="B119" s="359">
        <v>0</v>
      </c>
      <c r="C119" s="380">
        <f>IFERROR(IF(AND(B114="Si",'1.Hoja_de_Cotización'!C44&gt;4999.99),VLOOKUP('1.Hoja_de_Cotización'!C44,(A119:B129),2,TRUE),0),"")</f>
        <v>0</v>
      </c>
      <c r="D119" s="753"/>
    </row>
    <row r="120" spans="1:6" ht="13.5" x14ac:dyDescent="0.25">
      <c r="A120" s="359">
        <v>25000</v>
      </c>
      <c r="B120" s="359">
        <v>0</v>
      </c>
      <c r="C120" s="359">
        <f>IFERROR(C119*1.07,"")</f>
        <v>0</v>
      </c>
    </row>
    <row r="121" spans="1:6" ht="13.5" x14ac:dyDescent="0.25">
      <c r="A121" s="359">
        <v>25001</v>
      </c>
      <c r="B121" s="359">
        <v>0</v>
      </c>
      <c r="C121" s="359"/>
      <c r="F121" s="381"/>
    </row>
    <row r="122" spans="1:6" ht="13.5" x14ac:dyDescent="0.25">
      <c r="A122" s="359">
        <v>40001</v>
      </c>
      <c r="B122" s="359">
        <v>0</v>
      </c>
      <c r="C122" s="359"/>
      <c r="F122" s="381"/>
    </row>
    <row r="123" spans="1:6" ht="13.5" x14ac:dyDescent="0.25">
      <c r="A123" s="359">
        <v>60001</v>
      </c>
      <c r="B123" s="359">
        <v>0</v>
      </c>
      <c r="C123" s="359"/>
      <c r="F123" s="381"/>
    </row>
    <row r="124" spans="1:6" ht="13.5" x14ac:dyDescent="0.25">
      <c r="A124" s="359">
        <v>80001</v>
      </c>
      <c r="B124" s="359">
        <v>0</v>
      </c>
      <c r="C124" s="359"/>
      <c r="F124" s="381"/>
    </row>
    <row r="125" spans="1:6" ht="13.5" x14ac:dyDescent="0.25">
      <c r="A125" s="359">
        <v>100001</v>
      </c>
      <c r="B125" s="359">
        <v>0</v>
      </c>
      <c r="C125" s="359"/>
      <c r="F125" s="381"/>
    </row>
    <row r="126" spans="1:6" ht="13.5" x14ac:dyDescent="0.25">
      <c r="A126" s="359">
        <v>150001</v>
      </c>
      <c r="B126" s="359">
        <v>0</v>
      </c>
      <c r="C126" s="359"/>
      <c r="F126" s="381"/>
    </row>
    <row r="127" spans="1:6" ht="13.5" x14ac:dyDescent="0.25">
      <c r="A127" s="359">
        <v>200001</v>
      </c>
      <c r="B127" s="359">
        <v>0</v>
      </c>
      <c r="C127" s="359"/>
      <c r="F127" s="381"/>
    </row>
    <row r="128" spans="1:6" ht="13.5" x14ac:dyDescent="0.25">
      <c r="A128" s="359">
        <v>250001</v>
      </c>
      <c r="B128" s="359">
        <v>0</v>
      </c>
      <c r="C128" s="359"/>
      <c r="F128" s="381"/>
    </row>
    <row r="129" spans="1:14" ht="13.5" x14ac:dyDescent="0.25">
      <c r="A129" s="359">
        <v>350001</v>
      </c>
      <c r="B129" s="359">
        <v>0</v>
      </c>
      <c r="C129" s="359"/>
    </row>
    <row r="131" spans="1:14" ht="15" x14ac:dyDescent="0.3">
      <c r="A131" s="382" t="s">
        <v>412</v>
      </c>
      <c r="B131" s="382"/>
    </row>
    <row r="132" spans="1:14" ht="13.5" x14ac:dyDescent="0.25">
      <c r="A132" s="359">
        <v>5000</v>
      </c>
      <c r="B132" s="359">
        <v>90</v>
      </c>
      <c r="C132" s="383">
        <f>IFERROR(IF('1.Hoja_de_Cotización'!C44&gt;4999.99,VLOOKUP('1.Hoja_de_Cotización'!C44,(A132:B142),2,TRUE),0),"")</f>
        <v>0</v>
      </c>
      <c r="D132" s="753"/>
    </row>
    <row r="133" spans="1:14" ht="13.5" x14ac:dyDescent="0.25">
      <c r="A133" s="359">
        <v>25000</v>
      </c>
      <c r="B133" s="359">
        <v>90</v>
      </c>
      <c r="C133" s="384">
        <f>IFERROR(C132*1.07,"")</f>
        <v>0</v>
      </c>
    </row>
    <row r="134" spans="1:14" ht="13.5" x14ac:dyDescent="0.25">
      <c r="A134" s="359">
        <v>25001</v>
      </c>
      <c r="B134" s="359">
        <v>150</v>
      </c>
    </row>
    <row r="135" spans="1:14" ht="13.5" x14ac:dyDescent="0.25">
      <c r="A135" s="359">
        <v>40001</v>
      </c>
      <c r="B135" s="363">
        <v>150</v>
      </c>
    </row>
    <row r="136" spans="1:14" ht="13.5" x14ac:dyDescent="0.25">
      <c r="A136" s="359">
        <v>60001</v>
      </c>
      <c r="B136" s="359">
        <v>150</v>
      </c>
    </row>
    <row r="137" spans="1:14" ht="13.5" x14ac:dyDescent="0.25">
      <c r="A137" s="359">
        <v>80001</v>
      </c>
      <c r="B137" s="359">
        <v>150</v>
      </c>
    </row>
    <row r="138" spans="1:14" ht="13.5" x14ac:dyDescent="0.25">
      <c r="A138" s="359">
        <v>120000</v>
      </c>
      <c r="B138" s="359">
        <v>150</v>
      </c>
      <c r="D138" s="385" t="s">
        <v>675</v>
      </c>
    </row>
    <row r="139" spans="1:14" ht="13.5" x14ac:dyDescent="0.25">
      <c r="A139" s="359">
        <v>120001</v>
      </c>
      <c r="B139" s="386">
        <v>200</v>
      </c>
      <c r="C139" s="260" t="s">
        <v>778</v>
      </c>
      <c r="D139" s="387" t="str">
        <f>'1.Hoja_de_Cotización'!E10&amp;'1.Hoja_de_Cotización'!C16&amp;'1.Hoja_de_Cotización'!C18&amp;'1.Hoja_de_Cotización'!G20&amp;'1.Hoja_de_Cotización'!C22&amp;'1.Hoja_de_Cotización'!E24&amp;'1.Hoja_de_Cotización'!C8</f>
        <v>ACompra Vivienda VacacionalIndividualResidencialNuevaCasaEXCEPCIONES (en tasa de interés, comisión mensual, etc)</v>
      </c>
    </row>
    <row r="140" spans="1:14" ht="13.5" x14ac:dyDescent="0.25">
      <c r="A140" s="359">
        <v>200001</v>
      </c>
      <c r="B140" s="386">
        <v>200</v>
      </c>
      <c r="D140" s="272" t="str">
        <f>IF(IFERROR(LEN('1.Hoja_de_Cotización'!C33)-FIND(".",'1.Hoja_de_Cotización'!C33),0)&gt;=2,MID('1.Hoja_de_Cotización'!C33,FIND(".",'1.Hoja_de_Cotización'!C33)+1,2),IFERROR(MID('1.Hoja_de_Cotización'!C33,FIND(".",'1.Hoja_de_Cotización'!C33)+1,1)&amp;"0","00"))</f>
        <v>00</v>
      </c>
      <c r="F140" s="260" t="s">
        <v>1367</v>
      </c>
    </row>
    <row r="141" spans="1:14" ht="13.5" x14ac:dyDescent="0.25">
      <c r="A141" s="359">
        <v>250001</v>
      </c>
      <c r="B141" s="386">
        <v>200</v>
      </c>
      <c r="D141" s="272" t="str">
        <f>MID('1.Hoja_de_Cotización'!C33,1,IFERROR(FIND(".",'1.Hoja_de_Cotización'!C33)-1,LEN('1.Hoja_de_Cotización'!C33)))&amp;"."</f>
        <v>0.</v>
      </c>
    </row>
    <row r="142" spans="1:14" ht="13.5" x14ac:dyDescent="0.25">
      <c r="A142" s="359">
        <v>350001</v>
      </c>
      <c r="B142" s="386">
        <v>200</v>
      </c>
      <c r="D142" s="272" t="str">
        <f>D141&amp;D140</f>
        <v>0.00</v>
      </c>
    </row>
    <row r="143" spans="1:14" x14ac:dyDescent="0.2">
      <c r="D143" s="272" t="str">
        <f>REPT("0",15-LEN(D142))&amp;D142</f>
        <v>000000000000.00</v>
      </c>
      <c r="N143" s="260" t="s">
        <v>914</v>
      </c>
    </row>
    <row r="144" spans="1:14" x14ac:dyDescent="0.2">
      <c r="C144" s="388"/>
    </row>
    <row r="145" spans="1:14" x14ac:dyDescent="0.2">
      <c r="A145" s="389" t="s">
        <v>472</v>
      </c>
      <c r="B145" s="389"/>
      <c r="C145" s="389"/>
      <c r="D145" s="389"/>
      <c r="N145" s="260" t="s">
        <v>915</v>
      </c>
    </row>
    <row r="146" spans="1:14" x14ac:dyDescent="0.2">
      <c r="A146" s="272" t="s">
        <v>473</v>
      </c>
      <c r="B146" s="272" t="str">
        <f>D139&amp;D143</f>
        <v>ACompra Vivienda VacacionalIndividualResidencialNuevaCasaEXCEPCIONES (en tasa de interés, comisión mensual, etc)000000000000.00</v>
      </c>
      <c r="C146" s="272"/>
      <c r="D146" s="272"/>
      <c r="E146" s="260" t="str">
        <f>D139&amp;D143</f>
        <v>ACompra Vivienda VacacionalIndividualResidencialNuevaCasaEXCEPCIONES (en tasa de interés, comisión mensual, etc)000000000000.00</v>
      </c>
      <c r="N146" s="260" t="s">
        <v>916</v>
      </c>
    </row>
    <row r="147" spans="1:14" x14ac:dyDescent="0.2">
      <c r="A147" s="272" t="s">
        <v>474</v>
      </c>
      <c r="B147" s="272">
        <f>VLOOKUP(B146,llave_programa,2,1)</f>
        <v>500000.01</v>
      </c>
      <c r="C147" s="272"/>
      <c r="D147" s="272"/>
    </row>
    <row r="148" spans="1:14" x14ac:dyDescent="0.2">
      <c r="A148" s="272" t="s">
        <v>52</v>
      </c>
      <c r="B148" s="390">
        <f>'1.Hoja_de_Cotización'!C55</f>
        <v>0</v>
      </c>
      <c r="C148" s="272"/>
      <c r="D148" s="272"/>
    </row>
    <row r="149" spans="1:14" x14ac:dyDescent="0.2">
      <c r="A149" s="272" t="s">
        <v>170</v>
      </c>
      <c r="B149" s="391">
        <f>IF(AND('1.Hoja_de_Cotización'!R7=4,'1.Hoja_de_Cotización'!R15=1,'1.Hoja_de_Cotización'!R2=1,'1.Hoja_de_Cotización'!R17=1),1,IF('1.Hoja_de_Cotización'!R7=3,'1.Hoja_de_Cotización'!C48,(VLOOKUP(B146,llave_programa,6,1))))</f>
        <v>0</v>
      </c>
      <c r="C149" s="391">
        <f>(B149/100)</f>
        <v>0</v>
      </c>
      <c r="D149" s="391">
        <f>IF('1.Hoja_de_Cotización'!R7=3,B149,C149)</f>
        <v>0</v>
      </c>
    </row>
    <row r="150" spans="1:14" x14ac:dyDescent="0.2">
      <c r="A150" s="589" t="s">
        <v>121</v>
      </c>
      <c r="B150" s="589">
        <f>IF(AND('1.Hoja_de_Cotización'!R14=1,'1.Hoja_de_Cotización'!R7=4),10.7,IF('1.Hoja_de_Cotización'!R7=3,'1.Hoja_de_Cotización'!C58,(VLOOKUP(B146,llave_programa,7,1))))</f>
        <v>4.28</v>
      </c>
      <c r="C150" s="589">
        <v>4.28</v>
      </c>
      <c r="D150" s="587"/>
    </row>
    <row r="151" spans="1:14" x14ac:dyDescent="0.2">
      <c r="A151" s="589" t="s">
        <v>78</v>
      </c>
      <c r="B151" s="590">
        <v>0.01</v>
      </c>
      <c r="C151" s="589"/>
    </row>
    <row r="152" spans="1:14" x14ac:dyDescent="0.2">
      <c r="A152" s="591" t="s">
        <v>922</v>
      </c>
      <c r="B152" s="591">
        <f>IF('1.Hoja_de_Cotización'!R7=3,'1.Hoja_de_Cotización'!C58,(VLOOKUP(B146,llave_programa,7,1)))</f>
        <v>4.28</v>
      </c>
      <c r="C152" s="591"/>
    </row>
    <row r="153" spans="1:14" x14ac:dyDescent="0.2">
      <c r="A153" s="591" t="s">
        <v>923</v>
      </c>
      <c r="B153" s="592">
        <f>IF('1.Hoja_de_Cotización'!R7=3,'1.Hoja_de_Cotización'!C48,(VLOOKUP(B146,llave_programa,6,1)))</f>
        <v>0</v>
      </c>
      <c r="C153" s="592">
        <f>B153/100</f>
        <v>0</v>
      </c>
      <c r="D153" s="588">
        <f>IF('1.Hoja_de_Cotización'!R7=3,'1.Hoja_de_Cotización'!C48,(VLOOKUP(B146,llave_programa,6,1)))</f>
        <v>0</v>
      </c>
    </row>
    <row r="154" spans="1:14" x14ac:dyDescent="0.2">
      <c r="A154" s="260" t="s">
        <v>1378</v>
      </c>
      <c r="B154" s="1077">
        <v>2.5000000000000001E-3</v>
      </c>
    </row>
    <row r="158" spans="1:14" ht="15" x14ac:dyDescent="0.25">
      <c r="A158" s="1603" t="s">
        <v>479</v>
      </c>
      <c r="B158" s="1603"/>
      <c r="C158" s="1603"/>
      <c r="D158" s="1603"/>
    </row>
    <row r="159" spans="1:14" ht="15" x14ac:dyDescent="0.25">
      <c r="A159" s="364" t="s">
        <v>476</v>
      </c>
      <c r="B159" s="123">
        <f>SUM('1.Hoja_de_Cotización'!C80:I80)</f>
        <v>1000</v>
      </c>
      <c r="C159" s="1604" t="s">
        <v>952</v>
      </c>
      <c r="D159" s="1605"/>
    </row>
    <row r="160" spans="1:14" ht="15" x14ac:dyDescent="0.25">
      <c r="A160" s="364" t="s">
        <v>477</v>
      </c>
      <c r="B160" s="123">
        <f>SUM('1.Hoja_de_Cotización'!C81:I81)</f>
        <v>0</v>
      </c>
      <c r="C160" s="392">
        <f>SUM(B159:B160)</f>
        <v>1000</v>
      </c>
      <c r="D160" s="364" t="s">
        <v>954</v>
      </c>
    </row>
    <row r="161" spans="1:4" ht="15" x14ac:dyDescent="0.25">
      <c r="A161" s="393" t="s">
        <v>789</v>
      </c>
      <c r="B161" s="123">
        <f>SUM('1.Hoja_de_Cotización'!C82:I82)</f>
        <v>0</v>
      </c>
      <c r="C161" s="392">
        <f>B161+B162</f>
        <v>0</v>
      </c>
      <c r="D161" s="364" t="s">
        <v>794</v>
      </c>
    </row>
    <row r="162" spans="1:4" ht="15" x14ac:dyDescent="0.25">
      <c r="A162" s="393" t="s">
        <v>790</v>
      </c>
      <c r="B162" s="123">
        <f>SUM('1.Hoja_de_Cotización'!C83:I83)</f>
        <v>0</v>
      </c>
      <c r="C162" s="1606" t="s">
        <v>478</v>
      </c>
      <c r="D162" s="1607"/>
    </row>
    <row r="163" spans="1:4" ht="15" x14ac:dyDescent="0.25">
      <c r="A163" s="393" t="s">
        <v>791</v>
      </c>
      <c r="B163" s="123">
        <f>SUM('1.Hoja_de_Cotización'!C84:I84)</f>
        <v>0</v>
      </c>
      <c r="C163" s="392">
        <f>SUM(B161:B164)</f>
        <v>2284.59</v>
      </c>
      <c r="D163" s="364" t="s">
        <v>802</v>
      </c>
    </row>
    <row r="164" spans="1:4" ht="15" x14ac:dyDescent="0.25">
      <c r="A164" s="394" t="s">
        <v>792</v>
      </c>
      <c r="B164" s="123">
        <f>SUM('1.Hoja_de_Cotización'!C85:I85)</f>
        <v>2284.59</v>
      </c>
      <c r="C164" s="395">
        <f>B163+B164</f>
        <v>2284.59</v>
      </c>
      <c r="D164" s="394" t="s">
        <v>793</v>
      </c>
    </row>
    <row r="165" spans="1:4" ht="15" x14ac:dyDescent="0.25">
      <c r="A165" s="396" t="s">
        <v>475</v>
      </c>
      <c r="B165" s="397"/>
      <c r="C165" s="396">
        <f>IFERROR((C163+B15)/(C160),"")</f>
        <v>2.2888700000000002</v>
      </c>
      <c r="D165" s="364"/>
    </row>
    <row r="166" spans="1:4" x14ac:dyDescent="0.2">
      <c r="A166" s="272" t="s">
        <v>695</v>
      </c>
      <c r="B166" s="283">
        <f>IFERROR((C163+B15)/C160,"")</f>
        <v>2.2888700000000002</v>
      </c>
    </row>
    <row r="167" spans="1:4" x14ac:dyDescent="0.2">
      <c r="A167" s="272" t="s">
        <v>696</v>
      </c>
      <c r="B167" s="272">
        <f>IF(OR(Cálculos!B159&gt;0,Cálculos!B160&gt;0),(Cálculos!B15+Cálculos!C164)/(Cálculos!B159),"")</f>
        <v>2.2888700000000002</v>
      </c>
    </row>
    <row r="168" spans="1:4" x14ac:dyDescent="0.2">
      <c r="A168" s="272" t="s">
        <v>697</v>
      </c>
      <c r="B168" s="260">
        <f>IF(OR(Cálculos!B159&gt;0,Cálculos!B160&gt;0),(Cálculos!B15+C164)/(Cálculos!B159),"")</f>
        <v>2.2888700000000002</v>
      </c>
    </row>
    <row r="173" spans="1:4" x14ac:dyDescent="0.2">
      <c r="A173" s="398" t="s">
        <v>674</v>
      </c>
    </row>
    <row r="174" spans="1:4" x14ac:dyDescent="0.2">
      <c r="A174" s="399" t="b">
        <v>0</v>
      </c>
    </row>
    <row r="177" spans="1:6" x14ac:dyDescent="0.2">
      <c r="A177" s="400" t="s">
        <v>676</v>
      </c>
      <c r="B177" s="272" t="str">
        <f>IF('1.Hoja_de_Cotización'!C33&lt;100000,"2%"," ")</f>
        <v>2%</v>
      </c>
    </row>
    <row r="182" spans="1:6" x14ac:dyDescent="0.2">
      <c r="A182" s="1608" t="s">
        <v>679</v>
      </c>
      <c r="B182" s="1608"/>
      <c r="C182" s="1608"/>
      <c r="D182" s="1608"/>
      <c r="E182" s="1608"/>
      <c r="F182" s="1608"/>
    </row>
    <row r="183" spans="1:6" ht="25.5" x14ac:dyDescent="0.2">
      <c r="A183" s="401" t="s">
        <v>680</v>
      </c>
      <c r="B183" s="402" t="s">
        <v>681</v>
      </c>
      <c r="C183" s="402" t="s">
        <v>682</v>
      </c>
      <c r="D183" s="402" t="s">
        <v>683</v>
      </c>
      <c r="E183" s="402" t="s">
        <v>684</v>
      </c>
      <c r="F183" s="403" t="s">
        <v>685</v>
      </c>
    </row>
    <row r="184" spans="1:6" x14ac:dyDescent="0.2">
      <c r="A184" s="404">
        <f>'1.Hoja_de_Cotización'!C69</f>
        <v>0</v>
      </c>
      <c r="B184" s="272" t="b">
        <v>0</v>
      </c>
      <c r="C184" s="272">
        <f>IF(B184=TRUE,0.55,0.5)</f>
        <v>0.5</v>
      </c>
      <c r="D184" s="272">
        <f>IF('1.Hoja_de_Cotización'!C80&gt;0,(C184-(('1.Hoja_de_Cotización'!C82+'1.Hoja_de_Cotización'!C84)/'1.Hoja_de_Cotización'!C80))*'1.Hoja_de_Cotización'!C80,"")</f>
        <v>250</v>
      </c>
      <c r="E184" s="272">
        <f>IF(D184&gt;((C184-0.2)*'1.Hoja_de_Cotización'!C80-'1.Hoja_de_Cotización'!C84),((C184-0.2)*'1.Hoja_de_Cotización'!C80-'1.Hoja_de_Cotización'!C84),D184)</f>
        <v>150</v>
      </c>
      <c r="F184" s="272">
        <f>IF(E184&gt;=0,E184,0)</f>
        <v>150</v>
      </c>
    </row>
    <row r="185" spans="1:6" x14ac:dyDescent="0.2">
      <c r="A185" s="404">
        <f>'1.Hoja_de_Cotización'!E69</f>
        <v>0</v>
      </c>
      <c r="B185" s="272" t="b">
        <v>0</v>
      </c>
      <c r="C185" s="272">
        <f>IF(B185=TRUE,0.55,0.5)</f>
        <v>0.5</v>
      </c>
      <c r="D185" s="272">
        <f>IF('1.Hoja_de_Cotización'!E80&gt;0,(C185-(('1.Hoja_de_Cotización'!E82+'1.Hoja_de_Cotización'!E84)/'1.Hoja_de_Cotización'!E80))*'1.Hoja_de_Cotización'!E80,"")</f>
        <v>250</v>
      </c>
      <c r="E185" s="272">
        <f>IF(D185&gt;((C185-0.2)*'1.Hoja_de_Cotización'!E80-'1.Hoja_de_Cotización'!E84),((C185-0.2)*'1.Hoja_de_Cotización'!E80-'1.Hoja_de_Cotización'!E84),D185)</f>
        <v>150</v>
      </c>
      <c r="F185" s="272">
        <f>IF(E185&gt;=0,E185,0)</f>
        <v>150</v>
      </c>
    </row>
    <row r="186" spans="1:6" x14ac:dyDescent="0.2">
      <c r="A186" s="404" t="str">
        <f>'1.Hoja_de_Cotización'!G69</f>
        <v>DSJT Soluciones E.</v>
      </c>
      <c r="B186" s="272" t="b">
        <v>0</v>
      </c>
      <c r="C186" s="272">
        <f>IF(B186=TRUE,0.55,0.5)</f>
        <v>0.5</v>
      </c>
      <c r="D186" s="272" t="str">
        <f>IF('1.Hoja_de_Cotización'!G80&gt;0,(C186-(('1.Hoja_de_Cotización'!G82+'1.Hoja_de_Cotización'!G84)/'1.Hoja_de_Cotización'!G80))*'1.Hoja_de_Cotización'!G80,"")</f>
        <v/>
      </c>
      <c r="E186" s="272">
        <f>IF(D186&gt;((C186-0.2)*'1.Hoja_de_Cotización'!G80-'1.Hoja_de_Cotización'!G84),((C186-0.2)*'1.Hoja_de_Cotización'!G80-'1.Hoja_de_Cotización'!G84),D186)</f>
        <v>0</v>
      </c>
      <c r="F186" s="272">
        <f>IF(E186&gt;=0,E186,0)</f>
        <v>0</v>
      </c>
    </row>
    <row r="187" spans="1:6" x14ac:dyDescent="0.2">
      <c r="A187" s="404">
        <f>'1.Hoja_de_Cotización'!H69</f>
        <v>0</v>
      </c>
      <c r="B187" s="272" t="b">
        <v>0</v>
      </c>
      <c r="C187" s="272">
        <f>IF(B187=TRUE,0.55,0.5)</f>
        <v>0.5</v>
      </c>
      <c r="D187" s="272" t="str">
        <f>IF('1.Hoja_de_Cotización'!H80&gt;0,(C187-(('1.Hoja_de_Cotización'!H82+'1.Hoja_de_Cotización'!H84)/'1.Hoja_de_Cotización'!H80))*'1.Hoja_de_Cotización'!H80,"")</f>
        <v/>
      </c>
      <c r="E187" s="272">
        <f>IF(D187&gt;((C187-0.2)*'1.Hoja_de_Cotización'!H80-'1.Hoja_de_Cotización'!H84),((C187-0.2)*'1.Hoja_de_Cotización'!H80-'1.Hoja_de_Cotización'!H84),D187)</f>
        <v>0</v>
      </c>
      <c r="F187" s="272">
        <f>IF(E187&gt;=0,E187,0)</f>
        <v>0</v>
      </c>
    </row>
    <row r="188" spans="1:6" x14ac:dyDescent="0.2">
      <c r="A188" s="1728" t="s">
        <v>686</v>
      </c>
      <c r="B188" s="1728"/>
      <c r="C188" s="1728"/>
      <c r="D188" s="405">
        <f>SUM(D184:D187)</f>
        <v>500</v>
      </c>
      <c r="E188" s="405">
        <f>SUM(E184:E187)</f>
        <v>300</v>
      </c>
      <c r="F188" s="405">
        <f>SUM(F184:F187)</f>
        <v>300</v>
      </c>
    </row>
    <row r="189" spans="1:6" x14ac:dyDescent="0.2">
      <c r="E189" s="260" t="s">
        <v>755</v>
      </c>
      <c r="F189" s="406">
        <f>F188-B215</f>
        <v>300</v>
      </c>
    </row>
    <row r="195" spans="1:3" ht="25.5" x14ac:dyDescent="0.2">
      <c r="A195" s="407" t="s">
        <v>698</v>
      </c>
      <c r="B195" s="408" t="s">
        <v>694</v>
      </c>
      <c r="C195" s="407" t="s">
        <v>699</v>
      </c>
    </row>
    <row r="196" spans="1:3" x14ac:dyDescent="0.2">
      <c r="A196" s="280"/>
      <c r="B196" s="280"/>
      <c r="C196" s="280" t="str">
        <f>IF('1.Hoja_de_Cotización'!G101="No Cancela",0,'1.Hoja_de_Cotización'!H101)</f>
        <v/>
      </c>
    </row>
    <row r="197" spans="1:3" x14ac:dyDescent="0.2">
      <c r="A197" s="280">
        <f>IF('1.Hoja_de_Cotización'!G102="No Cancela",'1.Hoja_de_Cotización'!I102,0)</f>
        <v>0</v>
      </c>
      <c r="B197" s="280">
        <f>IF('1.Hoja_de_Cotización'!$R$1=2,IF('1.Hoja_de_Cotización'!C102="Hipoteca ",IF('1.Hoja_de_Cotización'!G102="Abona",'1.Hoja_de_Cotización'!I102,0),0),0)</f>
        <v>0</v>
      </c>
      <c r="C197" s="280" t="str">
        <f>IF('1.Hoja_de_Cotización'!G102="No Cancela",0,'1.Hoja_de_Cotización'!H102)</f>
        <v/>
      </c>
    </row>
    <row r="198" spans="1:3" x14ac:dyDescent="0.2">
      <c r="A198" s="280">
        <f>IF('1.Hoja_de_Cotización'!G103="No Cancela",'1.Hoja_de_Cotización'!I103,0)</f>
        <v>0</v>
      </c>
      <c r="B198" s="280">
        <f>IF('1.Hoja_de_Cotización'!$R$1=2,IF('1.Hoja_de_Cotización'!C103="Hipoteca ",IF('1.Hoja_de_Cotización'!G103="Abona",'1.Hoja_de_Cotización'!I103,0),0),0)</f>
        <v>0</v>
      </c>
      <c r="C198" s="280">
        <f>IF('1.Hoja_de_Cotización'!G103="No Cancela",0,'1.Hoja_de_Cotización'!H103)</f>
        <v>0</v>
      </c>
    </row>
    <row r="199" spans="1:3" x14ac:dyDescent="0.2">
      <c r="A199" s="280">
        <f>IF('1.Hoja_de_Cotización'!G104="No Cancela",'1.Hoja_de_Cotización'!I104,0)</f>
        <v>0</v>
      </c>
      <c r="B199" s="280">
        <f>IF('1.Hoja_de_Cotización'!$R$1=2,IF('1.Hoja_de_Cotización'!C104="Hipoteca ",IF('1.Hoja_de_Cotización'!G104="Abona",'1.Hoja_de_Cotización'!I104,0),0),0)</f>
        <v>0</v>
      </c>
      <c r="C199" s="280">
        <f>IF('1.Hoja_de_Cotización'!G104="No Cancela",0,'1.Hoja_de_Cotización'!H104)</f>
        <v>0</v>
      </c>
    </row>
    <row r="200" spans="1:3" x14ac:dyDescent="0.2">
      <c r="A200" s="280">
        <f>IF('1.Hoja_de_Cotización'!G105="No Cancela",'1.Hoja_de_Cotización'!I105,0)</f>
        <v>0</v>
      </c>
      <c r="B200" s="280">
        <f>IF('1.Hoja_de_Cotización'!$R$1=2,IF('1.Hoja_de_Cotización'!C105="Hipoteca ",IF('1.Hoja_de_Cotización'!G105="Abona",'1.Hoja_de_Cotización'!I105,0),0),0)</f>
        <v>0</v>
      </c>
      <c r="C200" s="280">
        <f>IF('1.Hoja_de_Cotización'!G105="No Cancela",0,'1.Hoja_de_Cotización'!H105)</f>
        <v>0</v>
      </c>
    </row>
    <row r="201" spans="1:3" x14ac:dyDescent="0.2">
      <c r="A201" s="280">
        <f>IF('1.Hoja_de_Cotización'!G106="No Cancela",'1.Hoja_de_Cotización'!I106,0)</f>
        <v>0</v>
      </c>
      <c r="B201" s="280">
        <f>IF('1.Hoja_de_Cotización'!$R$1=2,IF('1.Hoja_de_Cotización'!C106="Hipoteca ",IF('1.Hoja_de_Cotización'!G106="Abona",'1.Hoja_de_Cotización'!I106,0),0),0)</f>
        <v>0</v>
      </c>
      <c r="C201" s="280">
        <f>IF('1.Hoja_de_Cotización'!G106="No Cancela",0,'1.Hoja_de_Cotización'!H106)</f>
        <v>0</v>
      </c>
    </row>
    <row r="202" spans="1:3" x14ac:dyDescent="0.2">
      <c r="A202" s="280">
        <f>IF('1.Hoja_de_Cotización'!G107="No Cancela",'1.Hoja_de_Cotización'!I107,0)</f>
        <v>0</v>
      </c>
      <c r="B202" s="280">
        <f>IF('1.Hoja_de_Cotización'!$R$1=2,IF('1.Hoja_de_Cotización'!C107="Hipoteca ",IF('1.Hoja_de_Cotización'!G107="Abona",'1.Hoja_de_Cotización'!I107,0),0),0)</f>
        <v>0</v>
      </c>
      <c r="C202" s="280">
        <f>IF('1.Hoja_de_Cotización'!G107="No Cancela",0,'1.Hoja_de_Cotización'!H107)</f>
        <v>0</v>
      </c>
    </row>
    <row r="203" spans="1:3" x14ac:dyDescent="0.2">
      <c r="A203" s="280">
        <f>IF('1.Hoja_de_Cotización'!G108="No Cancela",'1.Hoja_de_Cotización'!I108,0)</f>
        <v>0</v>
      </c>
      <c r="B203" s="280">
        <f>IF('1.Hoja_de_Cotización'!$R$1=2,IF('1.Hoja_de_Cotización'!C108="Hipoteca ",IF('1.Hoja_de_Cotización'!G108="Abona",'1.Hoja_de_Cotización'!I108,0),0),0)</f>
        <v>0</v>
      </c>
      <c r="C203" s="280">
        <f>IF('1.Hoja_de_Cotización'!G108="No Cancela",0,'1.Hoja_de_Cotización'!H108)</f>
        <v>0</v>
      </c>
    </row>
    <row r="204" spans="1:3" x14ac:dyDescent="0.2">
      <c r="A204" s="280">
        <f>IF('1.Hoja_de_Cotización'!G109="No Cancela",'1.Hoja_de_Cotización'!I109,0)</f>
        <v>0</v>
      </c>
      <c r="B204" s="280">
        <f>IF('1.Hoja_de_Cotización'!$R$1=2,IF('1.Hoja_de_Cotización'!C109="Hipoteca ",IF('1.Hoja_de_Cotización'!G109="Abona",'1.Hoja_de_Cotización'!I109,0),0),0)</f>
        <v>0</v>
      </c>
      <c r="C204" s="280">
        <f>IF('1.Hoja_de_Cotización'!G109="No Cancela",0,'1.Hoja_de_Cotización'!H109)</f>
        <v>0</v>
      </c>
    </row>
    <row r="205" spans="1:3" x14ac:dyDescent="0.2">
      <c r="A205" s="280">
        <f>IF('1.Hoja_de_Cotización'!G110="No Cancela",'1.Hoja_de_Cotización'!I110,0)</f>
        <v>0</v>
      </c>
      <c r="B205" s="280">
        <f>IF('1.Hoja_de_Cotización'!$R$1=2,IF('1.Hoja_de_Cotización'!C110="Hipoteca ",IF('1.Hoja_de_Cotización'!G110="Abona",'1.Hoja_de_Cotización'!I110,0),0),0)</f>
        <v>0</v>
      </c>
      <c r="C205" s="280">
        <f>IF('1.Hoja_de_Cotización'!G110="No Cancela",0,'1.Hoja_de_Cotización'!H110)</f>
        <v>0</v>
      </c>
    </row>
    <row r="206" spans="1:3" x14ac:dyDescent="0.2">
      <c r="A206" s="280">
        <f>IF('1.Hoja_de_Cotización'!G111="No Cancela",'1.Hoja_de_Cotización'!I111,0)</f>
        <v>0</v>
      </c>
      <c r="B206" s="280">
        <f>IF('1.Hoja_de_Cotización'!$R$1=2,IF('1.Hoja_de_Cotización'!C111="Hipoteca ",IF('1.Hoja_de_Cotización'!G111="Abona",'1.Hoja_de_Cotización'!I111,0),0),0)</f>
        <v>0</v>
      </c>
      <c r="C206" s="280">
        <f>IF('1.Hoja_de_Cotización'!G111="No Cancela",0,'1.Hoja_de_Cotización'!H111)</f>
        <v>0</v>
      </c>
    </row>
    <row r="207" spans="1:3" x14ac:dyDescent="0.2">
      <c r="A207" s="280">
        <f>IF('1.Hoja_de_Cotización'!G112="No Cancela",'1.Hoja_de_Cotización'!I112,0)</f>
        <v>0</v>
      </c>
      <c r="B207" s="280">
        <f>IF('1.Hoja_de_Cotización'!$R$1=2,IF('1.Hoja_de_Cotización'!C112="Hipoteca ",IF('1.Hoja_de_Cotización'!G112="Abona",'1.Hoja_de_Cotización'!I112,0),0),0)</f>
        <v>0</v>
      </c>
      <c r="C207" s="280">
        <f>IF('1.Hoja_de_Cotización'!G112="No Cancela",0,'1.Hoja_de_Cotización'!H112)</f>
        <v>0</v>
      </c>
    </row>
    <row r="208" spans="1:3" x14ac:dyDescent="0.2">
      <c r="A208" s="280">
        <f>IF('1.Hoja_de_Cotización'!G113="No Cancela",'1.Hoja_de_Cotización'!I113,0)</f>
        <v>0</v>
      </c>
      <c r="B208" s="280">
        <f>IF('1.Hoja_de_Cotización'!$R$1=2,IF('1.Hoja_de_Cotización'!C113="Hipoteca ",IF('1.Hoja_de_Cotización'!G113="Abona",'1.Hoja_de_Cotización'!I113,0),0),0)</f>
        <v>0</v>
      </c>
      <c r="C208" s="280">
        <f>IF('1.Hoja_de_Cotización'!G113="No Cancela",0,'1.Hoja_de_Cotización'!H113)</f>
        <v>0</v>
      </c>
    </row>
    <row r="209" spans="1:3" x14ac:dyDescent="0.2">
      <c r="A209" s="280">
        <f>IF('1.Hoja_de_Cotización'!G114="No Cancela",'1.Hoja_de_Cotización'!I114,0)</f>
        <v>0</v>
      </c>
      <c r="B209" s="280">
        <f>IF('1.Hoja_de_Cotización'!$R$1=2,IF('1.Hoja_de_Cotización'!C114="Hipoteca ",IF('1.Hoja_de_Cotización'!G114="Abona",'1.Hoja_de_Cotización'!I114,0),0),0)</f>
        <v>0</v>
      </c>
      <c r="C209" s="280">
        <f>IF('1.Hoja_de_Cotización'!G114="No Cancela",0,'1.Hoja_de_Cotización'!H114)</f>
        <v>0</v>
      </c>
    </row>
    <row r="210" spans="1:3" x14ac:dyDescent="0.2">
      <c r="A210" s="280">
        <f>IF('1.Hoja_de_Cotización'!G115="No Cancela",'1.Hoja_de_Cotización'!I115,0)</f>
        <v>0</v>
      </c>
      <c r="B210" s="280">
        <f>IF('1.Hoja_de_Cotización'!$R$1=2,IF('1.Hoja_de_Cotización'!C115="Hipoteca ",IF('1.Hoja_de_Cotización'!G115="Abona",'1.Hoja_de_Cotización'!I115,0),0),0)</f>
        <v>0</v>
      </c>
      <c r="C210" s="280">
        <f>IF('1.Hoja_de_Cotización'!G115="No Cancela",0,'1.Hoja_de_Cotización'!H115)</f>
        <v>0</v>
      </c>
    </row>
    <row r="211" spans="1:3" x14ac:dyDescent="0.2">
      <c r="A211" s="280">
        <f>IF('1.Hoja_de_Cotización'!G116="No Cancela",'1.Hoja_de_Cotización'!I116,0)</f>
        <v>0</v>
      </c>
      <c r="B211" s="280">
        <f>IF('1.Hoja_de_Cotización'!$R$1=2,IF('1.Hoja_de_Cotización'!C116="Hipoteca ",IF('1.Hoja_de_Cotización'!G116="Abona",'1.Hoja_de_Cotización'!I116,0),0),0)</f>
        <v>0</v>
      </c>
      <c r="C211" s="280">
        <f>IF('1.Hoja_de_Cotización'!G116="No Cancela",0,'1.Hoja_de_Cotización'!H116)</f>
        <v>0</v>
      </c>
    </row>
    <row r="212" spans="1:3" x14ac:dyDescent="0.2">
      <c r="A212" s="280">
        <f>IF('1.Hoja_de_Cotización'!G117="No Cancela",'1.Hoja_de_Cotización'!I117,0)</f>
        <v>0</v>
      </c>
      <c r="B212" s="280">
        <f>IF('1.Hoja_de_Cotización'!$R$1=2,IF('1.Hoja_de_Cotización'!C117="Hipoteca ",IF('1.Hoja_de_Cotización'!G117="Abona",'1.Hoja_de_Cotización'!I117,0),0),0)</f>
        <v>0</v>
      </c>
      <c r="C212" s="280">
        <f>IF('1.Hoja_de_Cotización'!G117="No Cancela",0,'1.Hoja_de_Cotización'!H117)</f>
        <v>0</v>
      </c>
    </row>
    <row r="213" spans="1:3" x14ac:dyDescent="0.2">
      <c r="A213" s="280">
        <f>IF('1.Hoja_de_Cotización'!G118="No Cancela",'1.Hoja_de_Cotización'!I118,0)</f>
        <v>0</v>
      </c>
      <c r="B213" s="280">
        <f>IF('1.Hoja_de_Cotización'!$R$1=2,IF('1.Hoja_de_Cotización'!C118="Hipoteca ",IF('1.Hoja_de_Cotización'!G118="Abona",'1.Hoja_de_Cotización'!I118,0),0),0)</f>
        <v>0</v>
      </c>
      <c r="C213" s="280">
        <f>IF('1.Hoja_de_Cotización'!G118="No Cancela",0,'1.Hoja_de_Cotización'!H118)</f>
        <v>0</v>
      </c>
    </row>
    <row r="214" spans="1:3" x14ac:dyDescent="0.2">
      <c r="A214" s="280">
        <f>IF('1.Hoja_de_Cotización'!G119="No Cancela",'1.Hoja_de_Cotización'!I119,0)</f>
        <v>0</v>
      </c>
      <c r="B214" s="280">
        <f>IF('1.Hoja_de_Cotización'!$R$1=2,IF('1.Hoja_de_Cotización'!C119="Hipoteca ",IF('1.Hoja_de_Cotización'!G119="Abona",'1.Hoja_de_Cotización'!I119,0),0),0)</f>
        <v>0</v>
      </c>
      <c r="C214" s="280">
        <f>IF('1.Hoja_de_Cotización'!G119="No Cancela",0,'1.Hoja_de_Cotización'!H119)</f>
        <v>0</v>
      </c>
    </row>
    <row r="215" spans="1:3" x14ac:dyDescent="0.2">
      <c r="A215" s="409">
        <f>SUM(A196:A214)</f>
        <v>0</v>
      </c>
      <c r="B215" s="409">
        <f>SUM(B197:B214)</f>
        <v>0</v>
      </c>
      <c r="C215" s="409">
        <f>SUM(C196:C214)</f>
        <v>0</v>
      </c>
    </row>
    <row r="216" spans="1:3" x14ac:dyDescent="0.2">
      <c r="A216" s="410">
        <f>A215-B215</f>
        <v>0</v>
      </c>
      <c r="B216" s="260" t="s">
        <v>751</v>
      </c>
    </row>
    <row r="218" spans="1:3" x14ac:dyDescent="0.2">
      <c r="A218" s="406"/>
    </row>
    <row r="223" spans="1:3" x14ac:dyDescent="0.2">
      <c r="A223" s="808" t="s">
        <v>982</v>
      </c>
      <c r="B223" s="808"/>
      <c r="C223" s="808" t="s">
        <v>993</v>
      </c>
    </row>
    <row r="224" spans="1:3" x14ac:dyDescent="0.2">
      <c r="A224" s="589" t="s">
        <v>978</v>
      </c>
      <c r="B224" s="589" t="str">
        <f>IFERROR(VLOOKUP('1.Hoja_de_Cotización'!C67,comb_tipocliente,2,0),"")</f>
        <v/>
      </c>
      <c r="C224" s="589"/>
    </row>
    <row r="225" spans="1:3" x14ac:dyDescent="0.2">
      <c r="A225" s="589" t="s">
        <v>979</v>
      </c>
      <c r="B225" s="589" t="str">
        <f>IFERROR(VLOOKUP('1.Hoja_de_Cotización'!E67,comb_tipocliente,2,0),"")</f>
        <v/>
      </c>
      <c r="C225" s="589"/>
    </row>
    <row r="226" spans="1:3" x14ac:dyDescent="0.2">
      <c r="A226" s="589" t="s">
        <v>980</v>
      </c>
      <c r="B226" s="589" t="str">
        <f>IFERROR(VLOOKUP('1.Hoja_de_Cotización'!G67,comb_tipocliente,2,0),"")</f>
        <v/>
      </c>
      <c r="C226" s="589" t="str">
        <f>IF(AND($B$226&lt;&gt;$C$224,$B$226&lt;&gt;$C$225),$B$226,IF(AND($B$227&lt;&gt;$C$224,$B$227&lt;&gt;$C$225),$B$227,""))</f>
        <v/>
      </c>
    </row>
    <row r="227" spans="1:3" x14ac:dyDescent="0.2">
      <c r="A227" s="589" t="s">
        <v>981</v>
      </c>
      <c r="B227" s="589" t="str">
        <f>IFERROR(VLOOKUP('1.Hoja_de_Cotización'!H67,comb_tipocliente,2,0),"")</f>
        <v/>
      </c>
      <c r="C227" s="589" t="str">
        <f>IF(AND($B$227&lt;&gt;$C$224,$B$227&lt;&gt;$C$225,$B$227&lt;&gt;$C$226),$B$227,"")</f>
        <v/>
      </c>
    </row>
    <row r="231" spans="1:3" x14ac:dyDescent="0.2">
      <c r="A231" s="880" t="s">
        <v>1028</v>
      </c>
    </row>
    <row r="232" spans="1:3" x14ac:dyDescent="0.2">
      <c r="A232" s="1006" t="b">
        <v>1</v>
      </c>
    </row>
    <row r="233" spans="1:3" x14ac:dyDescent="0.2">
      <c r="A233" s="1006" t="b">
        <v>1</v>
      </c>
    </row>
    <row r="243" spans="1:1" x14ac:dyDescent="0.2">
      <c r="A243" s="260" t="s">
        <v>1274</v>
      </c>
    </row>
    <row r="244" spans="1:1" x14ac:dyDescent="0.2">
      <c r="A244" s="260">
        <v>1000</v>
      </c>
    </row>
  </sheetData>
  <sheetProtection formatCells="0" formatColumns="0" formatRows="0" insertColumns="0" insertRows="0" insertHyperlinks="0" deleteColumns="0" deleteRows="0" sort="0" autoFilter="0" pivotTables="0"/>
  <mergeCells count="24">
    <mergeCell ref="A182:F182"/>
    <mergeCell ref="A188:C188"/>
    <mergeCell ref="K10:O10"/>
    <mergeCell ref="K30:L30"/>
    <mergeCell ref="K28:L28"/>
    <mergeCell ref="A112:B112"/>
    <mergeCell ref="K12:L12"/>
    <mergeCell ref="N12:O12"/>
    <mergeCell ref="A90:C90"/>
    <mergeCell ref="A26:B26"/>
    <mergeCell ref="B33:C33"/>
    <mergeCell ref="B39:C39"/>
    <mergeCell ref="A46:F46"/>
    <mergeCell ref="A19:H19"/>
    <mergeCell ref="A158:D158"/>
    <mergeCell ref="C159:D159"/>
    <mergeCell ref="C162:D162"/>
    <mergeCell ref="A63:C63"/>
    <mergeCell ref="A1:B1"/>
    <mergeCell ref="B21:C21"/>
    <mergeCell ref="A29:F29"/>
    <mergeCell ref="F21:G21"/>
    <mergeCell ref="A110:D110"/>
    <mergeCell ref="A117:C117"/>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dimension ref="A1:Q1004"/>
  <sheetViews>
    <sheetView zoomScale="110" zoomScaleNormal="110" workbookViewId="0">
      <selection activeCell="O715" sqref="O715"/>
    </sheetView>
  </sheetViews>
  <sheetFormatPr baseColWidth="10" defaultColWidth="11.42578125" defaultRowHeight="15" x14ac:dyDescent="0.25"/>
  <cols>
    <col min="1" max="1" width="4.7109375" style="319" bestFit="1" customWidth="1"/>
    <col min="2" max="2" width="8.28515625" style="319" bestFit="1" customWidth="1"/>
    <col min="3" max="3" width="8.28515625" style="319" customWidth="1"/>
    <col min="4" max="4" width="25.5703125" style="319" customWidth="1"/>
    <col min="5" max="5" width="13.28515625" style="319" bestFit="1" customWidth="1"/>
    <col min="6" max="6" width="15.140625" style="319" bestFit="1" customWidth="1"/>
    <col min="7" max="7" width="11.28515625" style="319" bestFit="1" customWidth="1"/>
    <col min="8" max="8" width="12.85546875" style="319" bestFit="1" customWidth="1"/>
    <col min="9" max="9" width="11.28515625" style="319" customWidth="1"/>
    <col min="10" max="10" width="90.5703125" style="319" hidden="1" customWidth="1"/>
    <col min="11" max="12" width="11.42578125" style="319"/>
    <col min="13" max="13" width="13.28515625" style="319" customWidth="1"/>
    <col min="14" max="14" width="10.28515625" style="319" customWidth="1"/>
    <col min="15" max="15" width="9.140625" style="319" bestFit="1" customWidth="1"/>
    <col min="16" max="16" width="9.85546875" style="319" customWidth="1"/>
    <col min="17" max="16384" width="11.42578125" style="319"/>
  </cols>
  <sheetData>
    <row r="1" spans="1:16" ht="24" x14ac:dyDescent="0.35">
      <c r="B1" s="1069" t="s">
        <v>202</v>
      </c>
      <c r="C1" s="1070" t="s">
        <v>926</v>
      </c>
      <c r="D1" s="1071" t="s">
        <v>198</v>
      </c>
      <c r="E1" s="1071" t="s">
        <v>199</v>
      </c>
      <c r="F1" s="1072" t="s">
        <v>200</v>
      </c>
      <c r="G1" s="1072" t="s">
        <v>14</v>
      </c>
      <c r="H1" s="1072" t="s">
        <v>201</v>
      </c>
      <c r="I1" s="1073" t="s">
        <v>2</v>
      </c>
      <c r="J1" s="411" t="s">
        <v>340</v>
      </c>
      <c r="K1" s="1074" t="s">
        <v>203</v>
      </c>
      <c r="L1" s="1074" t="s">
        <v>204</v>
      </c>
      <c r="M1" s="1074" t="s">
        <v>205</v>
      </c>
      <c r="N1" s="1074" t="s">
        <v>206</v>
      </c>
      <c r="O1" s="1074" t="s">
        <v>207</v>
      </c>
      <c r="P1" s="1074" t="s">
        <v>208</v>
      </c>
    </row>
    <row r="2" spans="1:16" x14ac:dyDescent="0.25">
      <c r="B2" s="412">
        <v>1</v>
      </c>
      <c r="C2" s="595" t="s">
        <v>967</v>
      </c>
      <c r="D2" s="413" t="s">
        <v>214</v>
      </c>
      <c r="E2" s="413" t="s">
        <v>17</v>
      </c>
      <c r="F2" s="413" t="s">
        <v>11</v>
      </c>
      <c r="G2" s="413" t="s">
        <v>24</v>
      </c>
      <c r="H2" s="413" t="s">
        <v>25</v>
      </c>
      <c r="I2" s="1066" t="s">
        <v>567</v>
      </c>
      <c r="J2" s="414" t="str">
        <f t="shared" ref="J2:J65" si="0">C2&amp;D2&amp;E2&amp;F2&amp;G2&amp;H2&amp;I2 &amp; REPT("0",15-LEN(K2 &amp; IF(IFERROR(FIND(".",K2&amp;""),0)=0,".00","")))&amp;K2 &amp; IF(IFERROR(FIND(".",K2&amp;""),0)=0,".00","")</f>
        <v>A-1Cambio de DeudorIndividualResidencialUsadaApartamentoBG000000005000.00</v>
      </c>
      <c r="K2" s="1047">
        <v>5000</v>
      </c>
      <c r="L2" s="1047">
        <v>50000000</v>
      </c>
      <c r="M2" s="1050">
        <v>100</v>
      </c>
      <c r="N2" s="1046">
        <v>30</v>
      </c>
      <c r="O2" s="1050">
        <v>0</v>
      </c>
      <c r="P2" s="1050">
        <v>8.56</v>
      </c>
    </row>
    <row r="3" spans="1:16" ht="15" customHeight="1" x14ac:dyDescent="0.25">
      <c r="A3" s="1740"/>
      <c r="B3" s="415">
        <v>2</v>
      </c>
      <c r="C3" s="595" t="s">
        <v>967</v>
      </c>
      <c r="D3" s="413" t="s">
        <v>214</v>
      </c>
      <c r="E3" s="413" t="s">
        <v>17</v>
      </c>
      <c r="F3" s="413" t="s">
        <v>11</v>
      </c>
      <c r="G3" s="413" t="s">
        <v>24</v>
      </c>
      <c r="H3" s="413" t="s">
        <v>25</v>
      </c>
      <c r="I3" s="1066" t="s">
        <v>913</v>
      </c>
      <c r="J3" s="414" t="str">
        <f t="shared" si="0"/>
        <v>A-1Cambio de DeudorIndividualResidencialUsadaApartamentoCOPA000000005000.00</v>
      </c>
      <c r="K3" s="1047">
        <v>5000</v>
      </c>
      <c r="L3" s="1047">
        <v>50000000</v>
      </c>
      <c r="M3" s="1050">
        <v>100</v>
      </c>
      <c r="N3" s="1046">
        <v>30</v>
      </c>
      <c r="O3" s="1050">
        <v>0</v>
      </c>
      <c r="P3" s="1050">
        <v>8.56</v>
      </c>
    </row>
    <row r="4" spans="1:16" x14ac:dyDescent="0.25">
      <c r="A4" s="1741"/>
      <c r="B4" s="415">
        <v>3</v>
      </c>
      <c r="C4" s="595" t="s">
        <v>967</v>
      </c>
      <c r="D4" s="413" t="s">
        <v>214</v>
      </c>
      <c r="E4" s="413" t="s">
        <v>17</v>
      </c>
      <c r="F4" s="413" t="s">
        <v>11</v>
      </c>
      <c r="G4" s="413" t="s">
        <v>24</v>
      </c>
      <c r="H4" s="413" t="s">
        <v>25</v>
      </c>
      <c r="I4" s="1066" t="s">
        <v>173</v>
      </c>
      <c r="J4" s="414" t="str">
        <f t="shared" si="0"/>
        <v>A-1Cambio de DeudorIndividualResidencialUsadaApartamentoFERIA000000005000.00</v>
      </c>
      <c r="K4" s="1047">
        <v>5000</v>
      </c>
      <c r="L4" s="1047">
        <v>50000000</v>
      </c>
      <c r="M4" s="1050">
        <v>100</v>
      </c>
      <c r="N4" s="1046">
        <v>30</v>
      </c>
      <c r="O4" s="1050">
        <v>0</v>
      </c>
      <c r="P4" s="1050">
        <v>0</v>
      </c>
    </row>
    <row r="5" spans="1:16" x14ac:dyDescent="0.25">
      <c r="A5" s="1741"/>
      <c r="B5" s="415">
        <v>4</v>
      </c>
      <c r="C5" s="595" t="s">
        <v>967</v>
      </c>
      <c r="D5" s="413" t="s">
        <v>214</v>
      </c>
      <c r="E5" s="413" t="s">
        <v>17</v>
      </c>
      <c r="F5" s="413" t="s">
        <v>11</v>
      </c>
      <c r="G5" s="413" t="s">
        <v>24</v>
      </c>
      <c r="H5" s="413" t="s">
        <v>22</v>
      </c>
      <c r="I5" s="1066" t="s">
        <v>567</v>
      </c>
      <c r="J5" s="414" t="str">
        <f t="shared" si="0"/>
        <v>A-1Cambio de DeudorIndividualResidencialUsadaCasaBG000000005000.00</v>
      </c>
      <c r="K5" s="1047">
        <v>5000</v>
      </c>
      <c r="L5" s="1047">
        <v>50000000</v>
      </c>
      <c r="M5" s="1050">
        <v>100</v>
      </c>
      <c r="N5" s="1046">
        <v>30</v>
      </c>
      <c r="O5" s="1050">
        <v>0</v>
      </c>
      <c r="P5" s="1050">
        <v>8.56</v>
      </c>
    </row>
    <row r="6" spans="1:16" x14ac:dyDescent="0.25">
      <c r="A6" s="1741"/>
      <c r="B6" s="415">
        <v>5</v>
      </c>
      <c r="C6" s="595" t="s">
        <v>967</v>
      </c>
      <c r="D6" s="413" t="s">
        <v>214</v>
      </c>
      <c r="E6" s="413" t="s">
        <v>17</v>
      </c>
      <c r="F6" s="413" t="s">
        <v>11</v>
      </c>
      <c r="G6" s="413" t="s">
        <v>24</v>
      </c>
      <c r="H6" s="413" t="s">
        <v>22</v>
      </c>
      <c r="I6" s="1066" t="s">
        <v>913</v>
      </c>
      <c r="J6" s="414" t="str">
        <f t="shared" si="0"/>
        <v>A-1Cambio de DeudorIndividualResidencialUsadaCasaCOPA000000005000.00</v>
      </c>
      <c r="K6" s="1047">
        <v>5000</v>
      </c>
      <c r="L6" s="1047">
        <v>50000000</v>
      </c>
      <c r="M6" s="1050">
        <v>100</v>
      </c>
      <c r="N6" s="1046">
        <v>30</v>
      </c>
      <c r="O6" s="1050">
        <v>0</v>
      </c>
      <c r="P6" s="1050">
        <v>8.56</v>
      </c>
    </row>
    <row r="7" spans="1:16" x14ac:dyDescent="0.25">
      <c r="A7" s="1741"/>
      <c r="B7" s="412">
        <v>6</v>
      </c>
      <c r="C7" s="595" t="s">
        <v>967</v>
      </c>
      <c r="D7" s="413" t="s">
        <v>214</v>
      </c>
      <c r="E7" s="413" t="s">
        <v>17</v>
      </c>
      <c r="F7" s="413" t="s">
        <v>11</v>
      </c>
      <c r="G7" s="413" t="s">
        <v>24</v>
      </c>
      <c r="H7" s="413" t="s">
        <v>22</v>
      </c>
      <c r="I7" s="1066" t="s">
        <v>173</v>
      </c>
      <c r="J7" s="414" t="str">
        <f t="shared" si="0"/>
        <v>A-1Cambio de DeudorIndividualResidencialUsadaCasaFERIA000000005000.00</v>
      </c>
      <c r="K7" s="1047">
        <v>5000</v>
      </c>
      <c r="L7" s="1047">
        <v>50000000</v>
      </c>
      <c r="M7" s="1050">
        <v>100</v>
      </c>
      <c r="N7" s="1046">
        <v>30</v>
      </c>
      <c r="O7" s="1050">
        <v>0</v>
      </c>
      <c r="P7" s="1050">
        <v>0</v>
      </c>
    </row>
    <row r="8" spans="1:16" x14ac:dyDescent="0.25">
      <c r="A8" s="1741"/>
      <c r="B8" s="415">
        <v>7</v>
      </c>
      <c r="C8" s="595" t="s">
        <v>967</v>
      </c>
      <c r="D8" s="413" t="s">
        <v>214</v>
      </c>
      <c r="E8" s="413" t="s">
        <v>9</v>
      </c>
      <c r="F8" s="413" t="s">
        <v>11</v>
      </c>
      <c r="G8" s="413" t="s">
        <v>24</v>
      </c>
      <c r="H8" s="413" t="s">
        <v>25</v>
      </c>
      <c r="I8" s="1066" t="s">
        <v>567</v>
      </c>
      <c r="J8" s="414" t="str">
        <f t="shared" si="0"/>
        <v>A-1Cambio de DeudorLey PreferencialResidencialUsadaApartamentoBG000000005000.00</v>
      </c>
      <c r="K8" s="1047">
        <v>5000</v>
      </c>
      <c r="L8" s="1047">
        <v>120000</v>
      </c>
      <c r="M8" s="1050">
        <v>100</v>
      </c>
      <c r="N8" s="1046">
        <v>30</v>
      </c>
      <c r="O8" s="1050">
        <v>0</v>
      </c>
      <c r="P8" s="1050">
        <v>8.56</v>
      </c>
    </row>
    <row r="9" spans="1:16" x14ac:dyDescent="0.25">
      <c r="A9" s="1741"/>
      <c r="B9" s="415">
        <v>8</v>
      </c>
      <c r="C9" s="595" t="s">
        <v>967</v>
      </c>
      <c r="D9" s="413" t="s">
        <v>214</v>
      </c>
      <c r="E9" s="413" t="s">
        <v>9</v>
      </c>
      <c r="F9" s="413" t="s">
        <v>11</v>
      </c>
      <c r="G9" s="413" t="s">
        <v>24</v>
      </c>
      <c r="H9" s="413" t="s">
        <v>25</v>
      </c>
      <c r="I9" s="1066" t="s">
        <v>913</v>
      </c>
      <c r="J9" s="414" t="str">
        <f t="shared" si="0"/>
        <v>A-1Cambio de DeudorLey PreferencialResidencialUsadaApartamentoCOPA000000005000.00</v>
      </c>
      <c r="K9" s="1047">
        <v>5000</v>
      </c>
      <c r="L9" s="1047">
        <v>120000</v>
      </c>
      <c r="M9" s="1050">
        <v>100</v>
      </c>
      <c r="N9" s="1046">
        <v>30</v>
      </c>
      <c r="O9" s="1050">
        <v>0</v>
      </c>
      <c r="P9" s="1050">
        <v>8.56</v>
      </c>
    </row>
    <row r="10" spans="1:16" x14ac:dyDescent="0.25">
      <c r="A10" s="1741"/>
      <c r="B10" s="415">
        <v>9</v>
      </c>
      <c r="C10" s="595" t="s">
        <v>967</v>
      </c>
      <c r="D10" s="413" t="s">
        <v>214</v>
      </c>
      <c r="E10" s="413" t="s">
        <v>9</v>
      </c>
      <c r="F10" s="413" t="s">
        <v>11</v>
      </c>
      <c r="G10" s="413" t="s">
        <v>24</v>
      </c>
      <c r="H10" s="413" t="s">
        <v>25</v>
      </c>
      <c r="I10" s="1066" t="s">
        <v>173</v>
      </c>
      <c r="J10" s="414" t="str">
        <f t="shared" si="0"/>
        <v>A-1Cambio de DeudorLey PreferencialResidencialUsadaApartamentoFERIA000000005000.00</v>
      </c>
      <c r="K10" s="1047">
        <v>5000</v>
      </c>
      <c r="L10" s="1047">
        <v>120000</v>
      </c>
      <c r="M10" s="1050">
        <v>100</v>
      </c>
      <c r="N10" s="1046">
        <v>30</v>
      </c>
      <c r="O10" s="1050">
        <v>0</v>
      </c>
      <c r="P10" s="1050">
        <v>4.28</v>
      </c>
    </row>
    <row r="11" spans="1:16" x14ac:dyDescent="0.25">
      <c r="A11" s="1741"/>
      <c r="B11" s="415">
        <v>10</v>
      </c>
      <c r="C11" s="595" t="s">
        <v>967</v>
      </c>
      <c r="D11" s="413" t="s">
        <v>214</v>
      </c>
      <c r="E11" s="413" t="s">
        <v>9</v>
      </c>
      <c r="F11" s="413" t="s">
        <v>11</v>
      </c>
      <c r="G11" s="413" t="s">
        <v>24</v>
      </c>
      <c r="H11" s="413" t="s">
        <v>22</v>
      </c>
      <c r="I11" s="1066" t="s">
        <v>567</v>
      </c>
      <c r="J11" s="414" t="str">
        <f t="shared" si="0"/>
        <v>A-1Cambio de DeudorLey PreferencialResidencialUsadaCasaBG000000005000.00</v>
      </c>
      <c r="K11" s="1047">
        <v>5000</v>
      </c>
      <c r="L11" s="1047">
        <v>120000</v>
      </c>
      <c r="M11" s="1050">
        <v>100</v>
      </c>
      <c r="N11" s="1046">
        <v>30</v>
      </c>
      <c r="O11" s="1050">
        <v>0</v>
      </c>
      <c r="P11" s="1050">
        <v>8.56</v>
      </c>
    </row>
    <row r="12" spans="1:16" x14ac:dyDescent="0.25">
      <c r="A12" s="1741"/>
      <c r="B12" s="412">
        <v>11</v>
      </c>
      <c r="C12" s="595" t="s">
        <v>967</v>
      </c>
      <c r="D12" s="413" t="s">
        <v>214</v>
      </c>
      <c r="E12" s="413" t="s">
        <v>9</v>
      </c>
      <c r="F12" s="413" t="s">
        <v>11</v>
      </c>
      <c r="G12" s="413" t="s">
        <v>24</v>
      </c>
      <c r="H12" s="413" t="s">
        <v>22</v>
      </c>
      <c r="I12" s="1066" t="s">
        <v>913</v>
      </c>
      <c r="J12" s="414" t="str">
        <f t="shared" si="0"/>
        <v>A-1Cambio de DeudorLey PreferencialResidencialUsadaCasaCOPA000000005000.00</v>
      </c>
      <c r="K12" s="1047">
        <v>5000</v>
      </c>
      <c r="L12" s="1047">
        <v>120000</v>
      </c>
      <c r="M12" s="1050">
        <v>100</v>
      </c>
      <c r="N12" s="1046">
        <v>30</v>
      </c>
      <c r="O12" s="1050">
        <v>0</v>
      </c>
      <c r="P12" s="1050">
        <v>8.56</v>
      </c>
    </row>
    <row r="13" spans="1:16" x14ac:dyDescent="0.25">
      <c r="A13" s="1741"/>
      <c r="B13" s="415">
        <v>12</v>
      </c>
      <c r="C13" s="595" t="s">
        <v>967</v>
      </c>
      <c r="D13" s="413" t="s">
        <v>214</v>
      </c>
      <c r="E13" s="413" t="s">
        <v>9</v>
      </c>
      <c r="F13" s="413" t="s">
        <v>11</v>
      </c>
      <c r="G13" s="413" t="s">
        <v>24</v>
      </c>
      <c r="H13" s="413" t="s">
        <v>22</v>
      </c>
      <c r="I13" s="1066" t="s">
        <v>173</v>
      </c>
      <c r="J13" s="414" t="str">
        <f t="shared" si="0"/>
        <v>A-1Cambio de DeudorLey PreferencialResidencialUsadaCasaFERIA000000005000.00</v>
      </c>
      <c r="K13" s="1047">
        <v>5000</v>
      </c>
      <c r="L13" s="1047">
        <v>120000</v>
      </c>
      <c r="M13" s="1050">
        <v>100</v>
      </c>
      <c r="N13" s="1046">
        <v>30</v>
      </c>
      <c r="O13" s="1050">
        <v>0</v>
      </c>
      <c r="P13" s="1050">
        <v>4.28</v>
      </c>
    </row>
    <row r="14" spans="1:16" x14ac:dyDescent="0.25">
      <c r="A14" s="1741"/>
      <c r="B14" s="415">
        <v>13</v>
      </c>
      <c r="C14" s="595" t="s">
        <v>967</v>
      </c>
      <c r="D14" s="413" t="s">
        <v>28</v>
      </c>
      <c r="E14" s="413" t="s">
        <v>17</v>
      </c>
      <c r="F14" s="413" t="s">
        <v>11</v>
      </c>
      <c r="G14" s="413" t="s">
        <v>24</v>
      </c>
      <c r="H14" s="413" t="s">
        <v>25</v>
      </c>
      <c r="I14" s="1066" t="s">
        <v>567</v>
      </c>
      <c r="J14" s="414" t="str">
        <f t="shared" si="0"/>
        <v>A-1Cambio de Dueño y DeudorIndividualResidencialUsadaApartamentoBG000000005000.00</v>
      </c>
      <c r="K14" s="1047">
        <v>5000</v>
      </c>
      <c r="L14" s="1047">
        <v>50000000</v>
      </c>
      <c r="M14" s="1050">
        <v>100</v>
      </c>
      <c r="N14" s="1046">
        <v>30</v>
      </c>
      <c r="O14" s="1050">
        <v>0</v>
      </c>
      <c r="P14" s="1050">
        <v>8.56</v>
      </c>
    </row>
    <row r="15" spans="1:16" x14ac:dyDescent="0.25">
      <c r="A15" s="1741"/>
      <c r="B15" s="415">
        <v>14</v>
      </c>
      <c r="C15" s="595" t="s">
        <v>967</v>
      </c>
      <c r="D15" s="413" t="s">
        <v>28</v>
      </c>
      <c r="E15" s="413" t="s">
        <v>17</v>
      </c>
      <c r="F15" s="413" t="s">
        <v>11</v>
      </c>
      <c r="G15" s="413" t="s">
        <v>24</v>
      </c>
      <c r="H15" s="413" t="s">
        <v>25</v>
      </c>
      <c r="I15" s="1066" t="s">
        <v>913</v>
      </c>
      <c r="J15" s="414" t="str">
        <f t="shared" si="0"/>
        <v>A-1Cambio de Dueño y DeudorIndividualResidencialUsadaApartamentoCOPA000000005000.00</v>
      </c>
      <c r="K15" s="1047">
        <v>5000</v>
      </c>
      <c r="L15" s="1047">
        <v>50000000</v>
      </c>
      <c r="M15" s="1050">
        <v>100</v>
      </c>
      <c r="N15" s="1046">
        <v>30</v>
      </c>
      <c r="O15" s="1050">
        <v>0</v>
      </c>
      <c r="P15" s="1050">
        <v>8.56</v>
      </c>
    </row>
    <row r="16" spans="1:16" x14ac:dyDescent="0.25">
      <c r="A16" s="1741"/>
      <c r="B16" s="415">
        <v>15</v>
      </c>
      <c r="C16" s="595" t="s">
        <v>967</v>
      </c>
      <c r="D16" s="413" t="s">
        <v>28</v>
      </c>
      <c r="E16" s="413" t="s">
        <v>17</v>
      </c>
      <c r="F16" s="413" t="s">
        <v>11</v>
      </c>
      <c r="G16" s="413" t="s">
        <v>24</v>
      </c>
      <c r="H16" s="413" t="s">
        <v>25</v>
      </c>
      <c r="I16" s="1066" t="s">
        <v>173</v>
      </c>
      <c r="J16" s="414" t="str">
        <f t="shared" si="0"/>
        <v>A-1Cambio de Dueño y DeudorIndividualResidencialUsadaApartamentoFERIA000000005000.00</v>
      </c>
      <c r="K16" s="1047">
        <v>5000</v>
      </c>
      <c r="L16" s="1047">
        <v>50000000</v>
      </c>
      <c r="M16" s="1050">
        <v>100</v>
      </c>
      <c r="N16" s="1046">
        <v>30</v>
      </c>
      <c r="O16" s="1050">
        <v>0</v>
      </c>
      <c r="P16" s="1050">
        <v>0</v>
      </c>
    </row>
    <row r="17" spans="1:17" x14ac:dyDescent="0.25">
      <c r="A17" s="1741"/>
      <c r="B17" s="412">
        <v>16</v>
      </c>
      <c r="C17" s="595" t="s">
        <v>967</v>
      </c>
      <c r="D17" s="413" t="s">
        <v>28</v>
      </c>
      <c r="E17" s="413" t="s">
        <v>17</v>
      </c>
      <c r="F17" s="413" t="s">
        <v>11</v>
      </c>
      <c r="G17" s="413" t="s">
        <v>24</v>
      </c>
      <c r="H17" s="413" t="s">
        <v>22</v>
      </c>
      <c r="I17" s="1066" t="s">
        <v>567</v>
      </c>
      <c r="J17" s="414" t="str">
        <f t="shared" si="0"/>
        <v>A-1Cambio de Dueño y DeudorIndividualResidencialUsadaCasaBG000000005000.00</v>
      </c>
      <c r="K17" s="1047">
        <v>5000</v>
      </c>
      <c r="L17" s="1047">
        <v>50000000</v>
      </c>
      <c r="M17" s="1050">
        <v>100</v>
      </c>
      <c r="N17" s="1046">
        <v>30</v>
      </c>
      <c r="O17" s="1050">
        <v>0</v>
      </c>
      <c r="P17" s="1050">
        <v>8.56</v>
      </c>
    </row>
    <row r="18" spans="1:17" x14ac:dyDescent="0.25">
      <c r="A18" s="1741"/>
      <c r="B18" s="415">
        <v>17</v>
      </c>
      <c r="C18" s="595" t="s">
        <v>967</v>
      </c>
      <c r="D18" s="413" t="s">
        <v>28</v>
      </c>
      <c r="E18" s="413" t="s">
        <v>17</v>
      </c>
      <c r="F18" s="413" t="s">
        <v>11</v>
      </c>
      <c r="G18" s="413" t="s">
        <v>24</v>
      </c>
      <c r="H18" s="413" t="s">
        <v>22</v>
      </c>
      <c r="I18" s="1066" t="s">
        <v>913</v>
      </c>
      <c r="J18" s="414" t="str">
        <f t="shared" si="0"/>
        <v>A-1Cambio de Dueño y DeudorIndividualResidencialUsadaCasaCOPA000000005000.00</v>
      </c>
      <c r="K18" s="1047">
        <v>5000</v>
      </c>
      <c r="L18" s="1047">
        <v>50000000</v>
      </c>
      <c r="M18" s="1050">
        <v>100</v>
      </c>
      <c r="N18" s="1046">
        <v>30</v>
      </c>
      <c r="O18" s="1050">
        <v>0</v>
      </c>
      <c r="P18" s="1050">
        <v>8.56</v>
      </c>
    </row>
    <row r="19" spans="1:17" x14ac:dyDescent="0.25">
      <c r="A19" s="1741"/>
      <c r="B19" s="415">
        <v>18</v>
      </c>
      <c r="C19" s="595" t="s">
        <v>967</v>
      </c>
      <c r="D19" s="413" t="s">
        <v>28</v>
      </c>
      <c r="E19" s="413" t="s">
        <v>17</v>
      </c>
      <c r="F19" s="413" t="s">
        <v>11</v>
      </c>
      <c r="G19" s="413" t="s">
        <v>24</v>
      </c>
      <c r="H19" s="413" t="s">
        <v>22</v>
      </c>
      <c r="I19" s="1066" t="s">
        <v>173</v>
      </c>
      <c r="J19" s="414" t="str">
        <f t="shared" si="0"/>
        <v>A-1Cambio de Dueño y DeudorIndividualResidencialUsadaCasaFERIA000000005000.00</v>
      </c>
      <c r="K19" s="1047">
        <v>5000</v>
      </c>
      <c r="L19" s="1047">
        <v>50000000</v>
      </c>
      <c r="M19" s="1050">
        <v>100</v>
      </c>
      <c r="N19" s="1046">
        <v>30</v>
      </c>
      <c r="O19" s="1050">
        <v>0</v>
      </c>
      <c r="P19" s="1050">
        <v>0</v>
      </c>
    </row>
    <row r="20" spans="1:17" x14ac:dyDescent="0.25">
      <c r="A20" s="1741"/>
      <c r="B20" s="415">
        <v>19</v>
      </c>
      <c r="C20" s="595" t="s">
        <v>967</v>
      </c>
      <c r="D20" s="413" t="s">
        <v>28</v>
      </c>
      <c r="E20" s="413" t="s">
        <v>9</v>
      </c>
      <c r="F20" s="413" t="s">
        <v>11</v>
      </c>
      <c r="G20" s="413" t="s">
        <v>24</v>
      </c>
      <c r="H20" s="413" t="s">
        <v>25</v>
      </c>
      <c r="I20" s="1066" t="s">
        <v>567</v>
      </c>
      <c r="J20" s="414" t="str">
        <f t="shared" si="0"/>
        <v>A-1Cambio de Dueño y DeudorLey PreferencialResidencialUsadaApartamentoBG000000005000.00</v>
      </c>
      <c r="K20" s="1047">
        <v>5000</v>
      </c>
      <c r="L20" s="1047">
        <v>120000</v>
      </c>
      <c r="M20" s="1050">
        <v>100</v>
      </c>
      <c r="N20" s="1046">
        <v>30</v>
      </c>
      <c r="O20" s="1050">
        <v>0</v>
      </c>
      <c r="P20" s="1050">
        <v>8.56</v>
      </c>
    </row>
    <row r="21" spans="1:17" s="416" customFormat="1" x14ac:dyDescent="0.25">
      <c r="A21" s="1741"/>
      <c r="B21" s="415">
        <v>20</v>
      </c>
      <c r="C21" s="595" t="s">
        <v>967</v>
      </c>
      <c r="D21" s="413" t="s">
        <v>28</v>
      </c>
      <c r="E21" s="413" t="s">
        <v>9</v>
      </c>
      <c r="F21" s="413" t="s">
        <v>11</v>
      </c>
      <c r="G21" s="413" t="s">
        <v>24</v>
      </c>
      <c r="H21" s="413" t="s">
        <v>25</v>
      </c>
      <c r="I21" s="1066" t="s">
        <v>913</v>
      </c>
      <c r="J21" s="414" t="str">
        <f t="shared" si="0"/>
        <v>A-1Cambio de Dueño y DeudorLey PreferencialResidencialUsadaApartamentoCOPA000000005000.00</v>
      </c>
      <c r="K21" s="1047">
        <v>5000</v>
      </c>
      <c r="L21" s="1047">
        <v>120000</v>
      </c>
      <c r="M21" s="1050">
        <v>100</v>
      </c>
      <c r="N21" s="1046">
        <v>30</v>
      </c>
      <c r="O21" s="1050">
        <v>0</v>
      </c>
      <c r="P21" s="1050">
        <v>8.56</v>
      </c>
      <c r="Q21" s="319"/>
    </row>
    <row r="22" spans="1:17" s="416" customFormat="1" x14ac:dyDescent="0.25">
      <c r="A22" s="1741"/>
      <c r="B22" s="412">
        <v>21</v>
      </c>
      <c r="C22" s="595" t="s">
        <v>967</v>
      </c>
      <c r="D22" s="413" t="s">
        <v>28</v>
      </c>
      <c r="E22" s="413" t="s">
        <v>9</v>
      </c>
      <c r="F22" s="413" t="s">
        <v>11</v>
      </c>
      <c r="G22" s="413" t="s">
        <v>24</v>
      </c>
      <c r="H22" s="413" t="s">
        <v>25</v>
      </c>
      <c r="I22" s="1066" t="s">
        <v>173</v>
      </c>
      <c r="J22" s="414" t="str">
        <f t="shared" si="0"/>
        <v>A-1Cambio de Dueño y DeudorLey PreferencialResidencialUsadaApartamentoFERIA000000005000.00</v>
      </c>
      <c r="K22" s="1047">
        <v>5000</v>
      </c>
      <c r="L22" s="1047">
        <v>120000</v>
      </c>
      <c r="M22" s="1050">
        <v>100</v>
      </c>
      <c r="N22" s="1046">
        <v>30</v>
      </c>
      <c r="O22" s="1050">
        <v>0</v>
      </c>
      <c r="P22" s="1050">
        <v>4.28</v>
      </c>
      <c r="Q22" s="319"/>
    </row>
    <row r="23" spans="1:17" s="416" customFormat="1" x14ac:dyDescent="0.25">
      <c r="A23" s="1741"/>
      <c r="B23" s="415">
        <v>22</v>
      </c>
      <c r="C23" s="595" t="s">
        <v>967</v>
      </c>
      <c r="D23" s="413" t="s">
        <v>28</v>
      </c>
      <c r="E23" s="413" t="s">
        <v>9</v>
      </c>
      <c r="F23" s="413" t="s">
        <v>11</v>
      </c>
      <c r="G23" s="413" t="s">
        <v>24</v>
      </c>
      <c r="H23" s="413" t="s">
        <v>22</v>
      </c>
      <c r="I23" s="1066" t="s">
        <v>567</v>
      </c>
      <c r="J23" s="414" t="str">
        <f t="shared" si="0"/>
        <v>A-1Cambio de Dueño y DeudorLey PreferencialResidencialUsadaCasaBG000000005000.00</v>
      </c>
      <c r="K23" s="1047">
        <v>5000</v>
      </c>
      <c r="L23" s="1047">
        <v>120000</v>
      </c>
      <c r="M23" s="1050">
        <v>100</v>
      </c>
      <c r="N23" s="1046">
        <v>30</v>
      </c>
      <c r="O23" s="1050">
        <v>0</v>
      </c>
      <c r="P23" s="1050">
        <v>8.56</v>
      </c>
      <c r="Q23" s="319"/>
    </row>
    <row r="24" spans="1:17" s="416" customFormat="1" x14ac:dyDescent="0.25">
      <c r="A24" s="1741"/>
      <c r="B24" s="415">
        <v>23</v>
      </c>
      <c r="C24" s="595" t="s">
        <v>967</v>
      </c>
      <c r="D24" s="413" t="s">
        <v>28</v>
      </c>
      <c r="E24" s="413" t="s">
        <v>9</v>
      </c>
      <c r="F24" s="413" t="s">
        <v>11</v>
      </c>
      <c r="G24" s="413" t="s">
        <v>24</v>
      </c>
      <c r="H24" s="413" t="s">
        <v>22</v>
      </c>
      <c r="I24" s="1066" t="s">
        <v>913</v>
      </c>
      <c r="J24" s="414" t="str">
        <f t="shared" si="0"/>
        <v>A-1Cambio de Dueño y DeudorLey PreferencialResidencialUsadaCasaCOPA000000005000.00</v>
      </c>
      <c r="K24" s="1047">
        <v>5000</v>
      </c>
      <c r="L24" s="1047">
        <v>120000</v>
      </c>
      <c r="M24" s="1050">
        <v>100</v>
      </c>
      <c r="N24" s="1046">
        <v>30</v>
      </c>
      <c r="O24" s="1050">
        <v>0</v>
      </c>
      <c r="P24" s="1050">
        <v>8.56</v>
      </c>
      <c r="Q24" s="319"/>
    </row>
    <row r="25" spans="1:17" s="416" customFormat="1" x14ac:dyDescent="0.25">
      <c r="A25" s="1741"/>
      <c r="B25" s="415">
        <v>24</v>
      </c>
      <c r="C25" s="595" t="s">
        <v>967</v>
      </c>
      <c r="D25" s="413" t="s">
        <v>28</v>
      </c>
      <c r="E25" s="413" t="s">
        <v>9</v>
      </c>
      <c r="F25" s="413" t="s">
        <v>11</v>
      </c>
      <c r="G25" s="413" t="s">
        <v>24</v>
      </c>
      <c r="H25" s="413" t="s">
        <v>22</v>
      </c>
      <c r="I25" s="1066" t="s">
        <v>173</v>
      </c>
      <c r="J25" s="414" t="str">
        <f t="shared" si="0"/>
        <v>A-1Cambio de Dueño y DeudorLey PreferencialResidencialUsadaCasaFERIA000000005000.00</v>
      </c>
      <c r="K25" s="1047">
        <v>5000</v>
      </c>
      <c r="L25" s="1047">
        <v>120000</v>
      </c>
      <c r="M25" s="1050">
        <v>100</v>
      </c>
      <c r="N25" s="1046">
        <v>30</v>
      </c>
      <c r="O25" s="1050">
        <v>0</v>
      </c>
      <c r="P25" s="1050">
        <v>4.28</v>
      </c>
      <c r="Q25" s="319"/>
    </row>
    <row r="26" spans="1:17" s="416" customFormat="1" x14ac:dyDescent="0.25">
      <c r="A26" s="1741"/>
      <c r="B26" s="415">
        <v>25</v>
      </c>
      <c r="C26" s="595" t="s">
        <v>967</v>
      </c>
      <c r="D26" s="413" t="s">
        <v>30</v>
      </c>
      <c r="E26" s="413" t="s">
        <v>17</v>
      </c>
      <c r="F26" s="413" t="s">
        <v>11</v>
      </c>
      <c r="G26" s="413" t="s">
        <v>24</v>
      </c>
      <c r="H26" s="413" t="s">
        <v>25</v>
      </c>
      <c r="I26" s="1066" t="s">
        <v>567</v>
      </c>
      <c r="J26" s="414" t="str">
        <f t="shared" si="0"/>
        <v>A-1Cambio de DueñoIndividualResidencialUsadaApartamentoBG000000005000.00</v>
      </c>
      <c r="K26" s="1047">
        <v>5000</v>
      </c>
      <c r="L26" s="1047">
        <v>50000000</v>
      </c>
      <c r="M26" s="1050">
        <v>100</v>
      </c>
      <c r="N26" s="1046">
        <v>30</v>
      </c>
      <c r="O26" s="1050">
        <v>0</v>
      </c>
      <c r="P26" s="1050">
        <v>8.56</v>
      </c>
      <c r="Q26" s="319"/>
    </row>
    <row r="27" spans="1:17" s="416" customFormat="1" x14ac:dyDescent="0.25">
      <c r="A27" s="1741"/>
      <c r="B27" s="412">
        <v>26</v>
      </c>
      <c r="C27" s="595" t="s">
        <v>967</v>
      </c>
      <c r="D27" s="413" t="s">
        <v>30</v>
      </c>
      <c r="E27" s="413" t="s">
        <v>17</v>
      </c>
      <c r="F27" s="413" t="s">
        <v>11</v>
      </c>
      <c r="G27" s="413" t="s">
        <v>24</v>
      </c>
      <c r="H27" s="413" t="s">
        <v>25</v>
      </c>
      <c r="I27" s="1066" t="s">
        <v>913</v>
      </c>
      <c r="J27" s="414" t="str">
        <f t="shared" si="0"/>
        <v>A-1Cambio de DueñoIndividualResidencialUsadaApartamentoCOPA000000005000.00</v>
      </c>
      <c r="K27" s="1047">
        <v>5000</v>
      </c>
      <c r="L27" s="1047">
        <v>50000000</v>
      </c>
      <c r="M27" s="1050">
        <v>100</v>
      </c>
      <c r="N27" s="1046">
        <v>30</v>
      </c>
      <c r="O27" s="1050">
        <v>0</v>
      </c>
      <c r="P27" s="1050">
        <v>8.56</v>
      </c>
      <c r="Q27" s="319"/>
    </row>
    <row r="28" spans="1:17" x14ac:dyDescent="0.25">
      <c r="A28" s="1741"/>
      <c r="B28" s="415">
        <v>27</v>
      </c>
      <c r="C28" s="595" t="s">
        <v>967</v>
      </c>
      <c r="D28" s="413" t="s">
        <v>30</v>
      </c>
      <c r="E28" s="413" t="s">
        <v>17</v>
      </c>
      <c r="F28" s="413" t="s">
        <v>11</v>
      </c>
      <c r="G28" s="413" t="s">
        <v>24</v>
      </c>
      <c r="H28" s="413" t="s">
        <v>25</v>
      </c>
      <c r="I28" s="1066" t="s">
        <v>173</v>
      </c>
      <c r="J28" s="414" t="str">
        <f t="shared" si="0"/>
        <v>A-1Cambio de DueñoIndividualResidencialUsadaApartamentoFERIA000000005000.00</v>
      </c>
      <c r="K28" s="1047">
        <v>5000</v>
      </c>
      <c r="L28" s="1047">
        <v>50000000</v>
      </c>
      <c r="M28" s="1050">
        <v>100</v>
      </c>
      <c r="N28" s="1046">
        <v>30</v>
      </c>
      <c r="O28" s="1050">
        <v>0</v>
      </c>
      <c r="P28" s="1050">
        <v>0</v>
      </c>
    </row>
    <row r="29" spans="1:17" x14ac:dyDescent="0.25">
      <c r="A29" s="1741"/>
      <c r="B29" s="415">
        <v>28</v>
      </c>
      <c r="C29" s="595" t="s">
        <v>967</v>
      </c>
      <c r="D29" s="413" t="s">
        <v>30</v>
      </c>
      <c r="E29" s="413" t="s">
        <v>17</v>
      </c>
      <c r="F29" s="413" t="s">
        <v>11</v>
      </c>
      <c r="G29" s="413" t="s">
        <v>24</v>
      </c>
      <c r="H29" s="413" t="s">
        <v>22</v>
      </c>
      <c r="I29" s="1066" t="s">
        <v>567</v>
      </c>
      <c r="J29" s="414" t="str">
        <f t="shared" si="0"/>
        <v>A-1Cambio de DueñoIndividualResidencialUsadaCasaBG000000005000.00</v>
      </c>
      <c r="K29" s="1047">
        <v>5000</v>
      </c>
      <c r="L29" s="1047">
        <v>50000000</v>
      </c>
      <c r="M29" s="1050">
        <v>100</v>
      </c>
      <c r="N29" s="1046">
        <v>30</v>
      </c>
      <c r="O29" s="1050">
        <v>0</v>
      </c>
      <c r="P29" s="1050">
        <v>8.56</v>
      </c>
    </row>
    <row r="30" spans="1:17" x14ac:dyDescent="0.25">
      <c r="A30" s="1741"/>
      <c r="B30" s="415">
        <v>29</v>
      </c>
      <c r="C30" s="595" t="s">
        <v>967</v>
      </c>
      <c r="D30" s="413" t="s">
        <v>30</v>
      </c>
      <c r="E30" s="413" t="s">
        <v>17</v>
      </c>
      <c r="F30" s="413" t="s">
        <v>11</v>
      </c>
      <c r="G30" s="413" t="s">
        <v>24</v>
      </c>
      <c r="H30" s="413" t="s">
        <v>22</v>
      </c>
      <c r="I30" s="1066" t="s">
        <v>913</v>
      </c>
      <c r="J30" s="414" t="str">
        <f t="shared" si="0"/>
        <v>A-1Cambio de DueñoIndividualResidencialUsadaCasaCOPA000000005000.00</v>
      </c>
      <c r="K30" s="1047">
        <v>5000</v>
      </c>
      <c r="L30" s="1047">
        <v>50000000</v>
      </c>
      <c r="M30" s="1050">
        <v>100</v>
      </c>
      <c r="N30" s="1046">
        <v>30</v>
      </c>
      <c r="O30" s="1050">
        <v>0</v>
      </c>
      <c r="P30" s="1050">
        <v>8.56</v>
      </c>
    </row>
    <row r="31" spans="1:17" x14ac:dyDescent="0.25">
      <c r="A31" s="1741"/>
      <c r="B31" s="415">
        <v>30</v>
      </c>
      <c r="C31" s="595" t="s">
        <v>967</v>
      </c>
      <c r="D31" s="413" t="s">
        <v>30</v>
      </c>
      <c r="E31" s="413" t="s">
        <v>17</v>
      </c>
      <c r="F31" s="413" t="s">
        <v>11</v>
      </c>
      <c r="G31" s="413" t="s">
        <v>24</v>
      </c>
      <c r="H31" s="413" t="s">
        <v>22</v>
      </c>
      <c r="I31" s="1066" t="s">
        <v>173</v>
      </c>
      <c r="J31" s="414" t="str">
        <f t="shared" si="0"/>
        <v>A-1Cambio de DueñoIndividualResidencialUsadaCasaFERIA000000005000.00</v>
      </c>
      <c r="K31" s="1047">
        <v>5000</v>
      </c>
      <c r="L31" s="1047">
        <v>50000000</v>
      </c>
      <c r="M31" s="1050">
        <v>100</v>
      </c>
      <c r="N31" s="1046">
        <v>30</v>
      </c>
      <c r="O31" s="1050">
        <v>0</v>
      </c>
      <c r="P31" s="1050">
        <v>0</v>
      </c>
      <c r="Q31" s="416"/>
    </row>
    <row r="32" spans="1:17" x14ac:dyDescent="0.25">
      <c r="A32" s="1741"/>
      <c r="B32" s="412">
        <v>31</v>
      </c>
      <c r="C32" s="595" t="s">
        <v>967</v>
      </c>
      <c r="D32" s="413" t="s">
        <v>30</v>
      </c>
      <c r="E32" s="413" t="s">
        <v>9</v>
      </c>
      <c r="F32" s="413" t="s">
        <v>11</v>
      </c>
      <c r="G32" s="413" t="s">
        <v>24</v>
      </c>
      <c r="H32" s="413" t="s">
        <v>25</v>
      </c>
      <c r="I32" s="1066" t="s">
        <v>567</v>
      </c>
      <c r="J32" s="414" t="str">
        <f t="shared" si="0"/>
        <v>A-1Cambio de DueñoLey PreferencialResidencialUsadaApartamentoBG000000005000.00</v>
      </c>
      <c r="K32" s="1047">
        <v>5000</v>
      </c>
      <c r="L32" s="1047">
        <v>120000</v>
      </c>
      <c r="M32" s="1050">
        <v>100</v>
      </c>
      <c r="N32" s="1046">
        <v>30</v>
      </c>
      <c r="O32" s="1050">
        <v>0</v>
      </c>
      <c r="P32" s="1050">
        <v>8.56</v>
      </c>
      <c r="Q32" s="416"/>
    </row>
    <row r="33" spans="1:17" x14ac:dyDescent="0.25">
      <c r="A33" s="1741"/>
      <c r="B33" s="415">
        <v>32</v>
      </c>
      <c r="C33" s="595" t="s">
        <v>967</v>
      </c>
      <c r="D33" s="413" t="s">
        <v>30</v>
      </c>
      <c r="E33" s="413" t="s">
        <v>9</v>
      </c>
      <c r="F33" s="413" t="s">
        <v>11</v>
      </c>
      <c r="G33" s="413" t="s">
        <v>24</v>
      </c>
      <c r="H33" s="413" t="s">
        <v>25</v>
      </c>
      <c r="I33" s="1066" t="s">
        <v>913</v>
      </c>
      <c r="J33" s="414" t="str">
        <f t="shared" si="0"/>
        <v>A-1Cambio de DueñoLey PreferencialResidencialUsadaApartamentoCOPA000000005000.00</v>
      </c>
      <c r="K33" s="1047">
        <v>5000</v>
      </c>
      <c r="L33" s="1047">
        <v>120000</v>
      </c>
      <c r="M33" s="1050">
        <v>100</v>
      </c>
      <c r="N33" s="1046">
        <v>30</v>
      </c>
      <c r="O33" s="1050">
        <v>0</v>
      </c>
      <c r="P33" s="1050">
        <v>8.56</v>
      </c>
    </row>
    <row r="34" spans="1:17" x14ac:dyDescent="0.25">
      <c r="A34" s="1741"/>
      <c r="B34" s="415">
        <v>33</v>
      </c>
      <c r="C34" s="595" t="s">
        <v>967</v>
      </c>
      <c r="D34" s="413" t="s">
        <v>30</v>
      </c>
      <c r="E34" s="413" t="s">
        <v>9</v>
      </c>
      <c r="F34" s="413" t="s">
        <v>11</v>
      </c>
      <c r="G34" s="413" t="s">
        <v>24</v>
      </c>
      <c r="H34" s="413" t="s">
        <v>25</v>
      </c>
      <c r="I34" s="1066" t="s">
        <v>173</v>
      </c>
      <c r="J34" s="414" t="str">
        <f t="shared" si="0"/>
        <v>A-1Cambio de DueñoLey PreferencialResidencialUsadaApartamentoFERIA000000005000.00</v>
      </c>
      <c r="K34" s="1047">
        <v>5000</v>
      </c>
      <c r="L34" s="1047">
        <v>120000</v>
      </c>
      <c r="M34" s="1050">
        <v>100</v>
      </c>
      <c r="N34" s="1046">
        <v>30</v>
      </c>
      <c r="O34" s="1050">
        <v>0</v>
      </c>
      <c r="P34" s="1050">
        <v>4.28</v>
      </c>
      <c r="Q34" s="416"/>
    </row>
    <row r="35" spans="1:17" x14ac:dyDescent="0.25">
      <c r="A35" s="1741"/>
      <c r="B35" s="415">
        <v>34</v>
      </c>
      <c r="C35" s="595" t="s">
        <v>967</v>
      </c>
      <c r="D35" s="413" t="s">
        <v>30</v>
      </c>
      <c r="E35" s="413" t="s">
        <v>9</v>
      </c>
      <c r="F35" s="413" t="s">
        <v>11</v>
      </c>
      <c r="G35" s="413" t="s">
        <v>24</v>
      </c>
      <c r="H35" s="413" t="s">
        <v>22</v>
      </c>
      <c r="I35" s="1066" t="s">
        <v>567</v>
      </c>
      <c r="J35" s="414" t="str">
        <f t="shared" si="0"/>
        <v>A-1Cambio de DueñoLey PreferencialResidencialUsadaCasaBG000000005000.00</v>
      </c>
      <c r="K35" s="1047">
        <v>5000</v>
      </c>
      <c r="L35" s="1047">
        <v>120000</v>
      </c>
      <c r="M35" s="1050">
        <v>100</v>
      </c>
      <c r="N35" s="1046">
        <v>30</v>
      </c>
      <c r="O35" s="1050">
        <v>0</v>
      </c>
      <c r="P35" s="1050">
        <v>8.56</v>
      </c>
      <c r="Q35" s="416"/>
    </row>
    <row r="36" spans="1:17" x14ac:dyDescent="0.25">
      <c r="A36" s="1741"/>
      <c r="B36" s="415">
        <v>35</v>
      </c>
      <c r="C36" s="595" t="s">
        <v>967</v>
      </c>
      <c r="D36" s="413" t="s">
        <v>30</v>
      </c>
      <c r="E36" s="413" t="s">
        <v>9</v>
      </c>
      <c r="F36" s="413" t="s">
        <v>11</v>
      </c>
      <c r="G36" s="413" t="s">
        <v>24</v>
      </c>
      <c r="H36" s="413" t="s">
        <v>22</v>
      </c>
      <c r="I36" s="1066" t="s">
        <v>913</v>
      </c>
      <c r="J36" s="414" t="str">
        <f t="shared" si="0"/>
        <v>A-1Cambio de DueñoLey PreferencialResidencialUsadaCasaCOPA000000005000.00</v>
      </c>
      <c r="K36" s="1047">
        <v>5000</v>
      </c>
      <c r="L36" s="1047">
        <v>120000</v>
      </c>
      <c r="M36" s="1050">
        <v>100</v>
      </c>
      <c r="N36" s="1046">
        <v>30</v>
      </c>
      <c r="O36" s="1050">
        <v>0</v>
      </c>
      <c r="P36" s="1050">
        <v>8.56</v>
      </c>
    </row>
    <row r="37" spans="1:17" x14ac:dyDescent="0.25">
      <c r="A37" s="1741"/>
      <c r="B37" s="412">
        <v>36</v>
      </c>
      <c r="C37" s="595" t="s">
        <v>967</v>
      </c>
      <c r="D37" s="413" t="s">
        <v>30</v>
      </c>
      <c r="E37" s="413" t="s">
        <v>9</v>
      </c>
      <c r="F37" s="413" t="s">
        <v>11</v>
      </c>
      <c r="G37" s="413" t="s">
        <v>24</v>
      </c>
      <c r="H37" s="413" t="s">
        <v>22</v>
      </c>
      <c r="I37" s="1066" t="s">
        <v>173</v>
      </c>
      <c r="J37" s="414" t="str">
        <f t="shared" si="0"/>
        <v>A-1Cambio de DueñoLey PreferencialResidencialUsadaCasaFERIA000000005000.00</v>
      </c>
      <c r="K37" s="1047">
        <v>5000</v>
      </c>
      <c r="L37" s="1047">
        <v>120000</v>
      </c>
      <c r="M37" s="1050">
        <v>100</v>
      </c>
      <c r="N37" s="1046">
        <v>30</v>
      </c>
      <c r="O37" s="1050">
        <v>0</v>
      </c>
      <c r="P37" s="1050">
        <v>4.28</v>
      </c>
      <c r="Q37" s="416"/>
    </row>
    <row r="38" spans="1:17" x14ac:dyDescent="0.25">
      <c r="A38" s="1741"/>
      <c r="B38" s="415">
        <v>37</v>
      </c>
      <c r="C38" s="595" t="s">
        <v>967</v>
      </c>
      <c r="D38" s="413" t="s">
        <v>31</v>
      </c>
      <c r="E38" s="413" t="s">
        <v>17</v>
      </c>
      <c r="F38" s="413" t="s">
        <v>11</v>
      </c>
      <c r="G38" s="413" t="s">
        <v>24</v>
      </c>
      <c r="H38" s="413" t="s">
        <v>25</v>
      </c>
      <c r="I38" s="1066" t="s">
        <v>567</v>
      </c>
      <c r="J38" s="414" t="str">
        <f t="shared" si="0"/>
        <v>A-1Cambio de Fiador SolidarioIndividualResidencialUsadaApartamentoBG000000005000.00</v>
      </c>
      <c r="K38" s="1047">
        <v>5000</v>
      </c>
      <c r="L38" s="1047">
        <v>50000000</v>
      </c>
      <c r="M38" s="1050">
        <v>100</v>
      </c>
      <c r="N38" s="1046">
        <v>30</v>
      </c>
      <c r="O38" s="1050">
        <v>0</v>
      </c>
      <c r="P38" s="1050">
        <v>8.56</v>
      </c>
      <c r="Q38" s="416"/>
    </row>
    <row r="39" spans="1:17" x14ac:dyDescent="0.25">
      <c r="A39" s="1741"/>
      <c r="B39" s="415">
        <v>38</v>
      </c>
      <c r="C39" s="595" t="s">
        <v>967</v>
      </c>
      <c r="D39" s="413" t="s">
        <v>31</v>
      </c>
      <c r="E39" s="413" t="s">
        <v>17</v>
      </c>
      <c r="F39" s="413" t="s">
        <v>11</v>
      </c>
      <c r="G39" s="413" t="s">
        <v>24</v>
      </c>
      <c r="H39" s="413" t="s">
        <v>25</v>
      </c>
      <c r="I39" s="1066" t="s">
        <v>913</v>
      </c>
      <c r="J39" s="414" t="str">
        <f t="shared" si="0"/>
        <v>A-1Cambio de Fiador SolidarioIndividualResidencialUsadaApartamentoCOPA000000005000.00</v>
      </c>
      <c r="K39" s="1047">
        <v>5000</v>
      </c>
      <c r="L39" s="1047">
        <v>50000000</v>
      </c>
      <c r="M39" s="1050">
        <v>100</v>
      </c>
      <c r="N39" s="1046">
        <v>30</v>
      </c>
      <c r="O39" s="1050">
        <v>0</v>
      </c>
      <c r="P39" s="1050">
        <v>8.56</v>
      </c>
    </row>
    <row r="40" spans="1:17" x14ac:dyDescent="0.25">
      <c r="A40" s="1741"/>
      <c r="B40" s="415">
        <v>39</v>
      </c>
      <c r="C40" s="595" t="s">
        <v>967</v>
      </c>
      <c r="D40" s="413" t="s">
        <v>31</v>
      </c>
      <c r="E40" s="413" t="s">
        <v>17</v>
      </c>
      <c r="F40" s="413" t="s">
        <v>11</v>
      </c>
      <c r="G40" s="413" t="s">
        <v>24</v>
      </c>
      <c r="H40" s="413" t="s">
        <v>25</v>
      </c>
      <c r="I40" s="1066" t="s">
        <v>173</v>
      </c>
      <c r="J40" s="414" t="str">
        <f t="shared" si="0"/>
        <v>A-1Cambio de Fiador SolidarioIndividualResidencialUsadaApartamentoFERIA000000005000.00</v>
      </c>
      <c r="K40" s="1047">
        <v>5000</v>
      </c>
      <c r="L40" s="1047">
        <v>50000000</v>
      </c>
      <c r="M40" s="1050">
        <v>100</v>
      </c>
      <c r="N40" s="1046">
        <v>30</v>
      </c>
      <c r="O40" s="1050">
        <v>0</v>
      </c>
      <c r="P40" s="1050">
        <v>0</v>
      </c>
      <c r="Q40" s="416"/>
    </row>
    <row r="41" spans="1:17" x14ac:dyDescent="0.25">
      <c r="A41" s="1741"/>
      <c r="B41" s="415">
        <v>40</v>
      </c>
      <c r="C41" s="595" t="s">
        <v>967</v>
      </c>
      <c r="D41" s="413" t="s">
        <v>31</v>
      </c>
      <c r="E41" s="413" t="s">
        <v>17</v>
      </c>
      <c r="F41" s="413" t="s">
        <v>11</v>
      </c>
      <c r="G41" s="413" t="s">
        <v>24</v>
      </c>
      <c r="H41" s="413" t="s">
        <v>22</v>
      </c>
      <c r="I41" s="1066" t="s">
        <v>567</v>
      </c>
      <c r="J41" s="414" t="str">
        <f t="shared" si="0"/>
        <v>A-1Cambio de Fiador SolidarioIndividualResidencialUsadaCasaBG000000005000.00</v>
      </c>
      <c r="K41" s="1047">
        <v>5000</v>
      </c>
      <c r="L41" s="1047">
        <v>50000000</v>
      </c>
      <c r="M41" s="1050">
        <v>100</v>
      </c>
      <c r="N41" s="1046">
        <v>30</v>
      </c>
      <c r="O41" s="1050">
        <v>0</v>
      </c>
      <c r="P41" s="1050">
        <v>8.56</v>
      </c>
    </row>
    <row r="42" spans="1:17" x14ac:dyDescent="0.25">
      <c r="A42" s="1741"/>
      <c r="B42" s="412">
        <v>41</v>
      </c>
      <c r="C42" s="595" t="s">
        <v>967</v>
      </c>
      <c r="D42" s="413" t="s">
        <v>31</v>
      </c>
      <c r="E42" s="413" t="s">
        <v>17</v>
      </c>
      <c r="F42" s="413" t="s">
        <v>11</v>
      </c>
      <c r="G42" s="413" t="s">
        <v>24</v>
      </c>
      <c r="H42" s="413" t="s">
        <v>22</v>
      </c>
      <c r="I42" s="1066" t="s">
        <v>913</v>
      </c>
      <c r="J42" s="414" t="str">
        <f t="shared" si="0"/>
        <v>A-1Cambio de Fiador SolidarioIndividualResidencialUsadaCasaCOPA000000005000.00</v>
      </c>
      <c r="K42" s="1047">
        <v>5000</v>
      </c>
      <c r="L42" s="1047">
        <v>50000000</v>
      </c>
      <c r="M42" s="1050">
        <v>100</v>
      </c>
      <c r="N42" s="1046">
        <v>30</v>
      </c>
      <c r="O42" s="1050">
        <v>0</v>
      </c>
      <c r="P42" s="1050">
        <v>8.56</v>
      </c>
    </row>
    <row r="43" spans="1:17" x14ac:dyDescent="0.25">
      <c r="A43" s="1741"/>
      <c r="B43" s="415">
        <v>42</v>
      </c>
      <c r="C43" s="595" t="s">
        <v>967</v>
      </c>
      <c r="D43" s="413" t="s">
        <v>31</v>
      </c>
      <c r="E43" s="413" t="s">
        <v>17</v>
      </c>
      <c r="F43" s="413" t="s">
        <v>11</v>
      </c>
      <c r="G43" s="413" t="s">
        <v>24</v>
      </c>
      <c r="H43" s="413" t="s">
        <v>22</v>
      </c>
      <c r="I43" s="1066" t="s">
        <v>173</v>
      </c>
      <c r="J43" s="414" t="str">
        <f t="shared" si="0"/>
        <v>A-1Cambio de Fiador SolidarioIndividualResidencialUsadaCasaFERIA000000005000.00</v>
      </c>
      <c r="K43" s="1047">
        <v>5000</v>
      </c>
      <c r="L43" s="1047">
        <v>50000000</v>
      </c>
      <c r="M43" s="1050">
        <v>100</v>
      </c>
      <c r="N43" s="1046">
        <v>30</v>
      </c>
      <c r="O43" s="1050">
        <v>0</v>
      </c>
      <c r="P43" s="1050">
        <v>0</v>
      </c>
    </row>
    <row r="44" spans="1:17" x14ac:dyDescent="0.25">
      <c r="A44" s="1741"/>
      <c r="B44" s="415">
        <v>43</v>
      </c>
      <c r="C44" s="595" t="s">
        <v>967</v>
      </c>
      <c r="D44" s="413" t="s">
        <v>31</v>
      </c>
      <c r="E44" s="413" t="s">
        <v>9</v>
      </c>
      <c r="F44" s="413" t="s">
        <v>11</v>
      </c>
      <c r="G44" s="413" t="s">
        <v>24</v>
      </c>
      <c r="H44" s="413" t="s">
        <v>25</v>
      </c>
      <c r="I44" s="1066" t="s">
        <v>567</v>
      </c>
      <c r="J44" s="414" t="str">
        <f t="shared" si="0"/>
        <v>A-1Cambio de Fiador SolidarioLey PreferencialResidencialUsadaApartamentoBG000000005000.00</v>
      </c>
      <c r="K44" s="1047">
        <v>5000</v>
      </c>
      <c r="L44" s="1047">
        <v>120000</v>
      </c>
      <c r="M44" s="1050">
        <v>100</v>
      </c>
      <c r="N44" s="1046">
        <v>30</v>
      </c>
      <c r="O44" s="1050">
        <v>0</v>
      </c>
      <c r="P44" s="1050">
        <v>8.56</v>
      </c>
    </row>
    <row r="45" spans="1:17" x14ac:dyDescent="0.25">
      <c r="A45" s="1741"/>
      <c r="B45" s="415">
        <v>44</v>
      </c>
      <c r="C45" s="595" t="s">
        <v>967</v>
      </c>
      <c r="D45" s="413" t="s">
        <v>31</v>
      </c>
      <c r="E45" s="413" t="s">
        <v>9</v>
      </c>
      <c r="F45" s="413" t="s">
        <v>11</v>
      </c>
      <c r="G45" s="413" t="s">
        <v>24</v>
      </c>
      <c r="H45" s="413" t="s">
        <v>25</v>
      </c>
      <c r="I45" s="1066" t="s">
        <v>913</v>
      </c>
      <c r="J45" s="414" t="str">
        <f t="shared" si="0"/>
        <v>A-1Cambio de Fiador SolidarioLey PreferencialResidencialUsadaApartamentoCOPA000000005000.00</v>
      </c>
      <c r="K45" s="1047">
        <v>5000</v>
      </c>
      <c r="L45" s="1047">
        <v>120000</v>
      </c>
      <c r="M45" s="1050">
        <v>100</v>
      </c>
      <c r="N45" s="1046">
        <v>30</v>
      </c>
      <c r="O45" s="1050">
        <v>0</v>
      </c>
      <c r="P45" s="1050">
        <v>8.56</v>
      </c>
    </row>
    <row r="46" spans="1:17" x14ac:dyDescent="0.25">
      <c r="A46" s="1741"/>
      <c r="B46" s="415">
        <v>45</v>
      </c>
      <c r="C46" s="595" t="s">
        <v>967</v>
      </c>
      <c r="D46" s="413" t="s">
        <v>31</v>
      </c>
      <c r="E46" s="413" t="s">
        <v>9</v>
      </c>
      <c r="F46" s="413" t="s">
        <v>11</v>
      </c>
      <c r="G46" s="413" t="s">
        <v>24</v>
      </c>
      <c r="H46" s="413" t="s">
        <v>25</v>
      </c>
      <c r="I46" s="1066" t="s">
        <v>173</v>
      </c>
      <c r="J46" s="414" t="str">
        <f t="shared" si="0"/>
        <v>A-1Cambio de Fiador SolidarioLey PreferencialResidencialUsadaApartamentoFERIA000000005000.00</v>
      </c>
      <c r="K46" s="1047">
        <v>5000</v>
      </c>
      <c r="L46" s="1047">
        <v>120000</v>
      </c>
      <c r="M46" s="1050">
        <v>100</v>
      </c>
      <c r="N46" s="1046">
        <v>30</v>
      </c>
      <c r="O46" s="1050">
        <v>0</v>
      </c>
      <c r="P46" s="1050">
        <v>4.28</v>
      </c>
    </row>
    <row r="47" spans="1:17" x14ac:dyDescent="0.25">
      <c r="A47" s="1741"/>
      <c r="B47" s="412">
        <v>46</v>
      </c>
      <c r="C47" s="595" t="s">
        <v>967</v>
      </c>
      <c r="D47" s="413" t="s">
        <v>31</v>
      </c>
      <c r="E47" s="413" t="s">
        <v>9</v>
      </c>
      <c r="F47" s="413" t="s">
        <v>11</v>
      </c>
      <c r="G47" s="413" t="s">
        <v>24</v>
      </c>
      <c r="H47" s="413" t="s">
        <v>22</v>
      </c>
      <c r="I47" s="1066" t="s">
        <v>567</v>
      </c>
      <c r="J47" s="414" t="str">
        <f t="shared" si="0"/>
        <v>A-1Cambio de Fiador SolidarioLey PreferencialResidencialUsadaCasaBG000000005000.00</v>
      </c>
      <c r="K47" s="1047">
        <v>5000</v>
      </c>
      <c r="L47" s="1047">
        <v>120000</v>
      </c>
      <c r="M47" s="1050">
        <v>100</v>
      </c>
      <c r="N47" s="1046">
        <v>30</v>
      </c>
      <c r="O47" s="1050">
        <v>0</v>
      </c>
      <c r="P47" s="1050">
        <v>8.56</v>
      </c>
    </row>
    <row r="48" spans="1:17" x14ac:dyDescent="0.25">
      <c r="A48" s="1741"/>
      <c r="B48" s="415">
        <v>47</v>
      </c>
      <c r="C48" s="595" t="s">
        <v>967</v>
      </c>
      <c r="D48" s="413" t="s">
        <v>31</v>
      </c>
      <c r="E48" s="413" t="s">
        <v>9</v>
      </c>
      <c r="F48" s="413" t="s">
        <v>11</v>
      </c>
      <c r="G48" s="413" t="s">
        <v>24</v>
      </c>
      <c r="H48" s="413" t="s">
        <v>22</v>
      </c>
      <c r="I48" s="1066" t="s">
        <v>913</v>
      </c>
      <c r="J48" s="414" t="str">
        <f t="shared" si="0"/>
        <v>A-1Cambio de Fiador SolidarioLey PreferencialResidencialUsadaCasaCOPA000000005000.00</v>
      </c>
      <c r="K48" s="1047">
        <v>5000</v>
      </c>
      <c r="L48" s="1047">
        <v>120000</v>
      </c>
      <c r="M48" s="1050">
        <v>100</v>
      </c>
      <c r="N48" s="1046">
        <v>30</v>
      </c>
      <c r="O48" s="1050">
        <v>0</v>
      </c>
      <c r="P48" s="1050">
        <v>8.56</v>
      </c>
    </row>
    <row r="49" spans="1:16" x14ac:dyDescent="0.25">
      <c r="A49" s="1741"/>
      <c r="B49" s="415">
        <v>48</v>
      </c>
      <c r="C49" s="595" t="s">
        <v>967</v>
      </c>
      <c r="D49" s="413" t="s">
        <v>31</v>
      </c>
      <c r="E49" s="413" t="s">
        <v>9</v>
      </c>
      <c r="F49" s="413" t="s">
        <v>11</v>
      </c>
      <c r="G49" s="413" t="s">
        <v>24</v>
      </c>
      <c r="H49" s="413" t="s">
        <v>22</v>
      </c>
      <c r="I49" s="1066" t="s">
        <v>173</v>
      </c>
      <c r="J49" s="414" t="str">
        <f t="shared" si="0"/>
        <v>A-1Cambio de Fiador SolidarioLey PreferencialResidencialUsadaCasaFERIA000000005000.00</v>
      </c>
      <c r="K49" s="1047">
        <v>5000</v>
      </c>
      <c r="L49" s="1047">
        <v>120000</v>
      </c>
      <c r="M49" s="1050">
        <v>100</v>
      </c>
      <c r="N49" s="1046">
        <v>30</v>
      </c>
      <c r="O49" s="1050">
        <v>0</v>
      </c>
      <c r="P49" s="1050">
        <v>4.28</v>
      </c>
    </row>
    <row r="50" spans="1:16" x14ac:dyDescent="0.25">
      <c r="A50" s="1741"/>
      <c r="B50" s="415">
        <v>49</v>
      </c>
      <c r="C50" s="1374" t="s">
        <v>967</v>
      </c>
      <c r="D50" s="413" t="s">
        <v>16</v>
      </c>
      <c r="E50" s="413" t="s">
        <v>17</v>
      </c>
      <c r="F50" s="413" t="s">
        <v>27</v>
      </c>
      <c r="G50" s="413" t="s">
        <v>24</v>
      </c>
      <c r="H50" s="413" t="s">
        <v>25</v>
      </c>
      <c r="I50" s="1066" t="s">
        <v>567</v>
      </c>
      <c r="J50" s="414" t="str">
        <f t="shared" si="0"/>
        <v>A-1Casa CashIndividualRefinanciamientoUsadaApartamentoBG000000030000.00</v>
      </c>
      <c r="K50" s="1047">
        <v>30000</v>
      </c>
      <c r="L50" s="1047">
        <v>250000</v>
      </c>
      <c r="M50" s="1050">
        <v>85</v>
      </c>
      <c r="N50" s="1046">
        <v>20</v>
      </c>
      <c r="O50" s="1050">
        <v>6.5</v>
      </c>
      <c r="P50" s="1050">
        <v>0</v>
      </c>
    </row>
    <row r="51" spans="1:16" x14ac:dyDescent="0.25">
      <c r="A51" s="1741"/>
      <c r="B51" s="415">
        <v>50</v>
      </c>
      <c r="C51" s="1374" t="s">
        <v>967</v>
      </c>
      <c r="D51" s="413" t="s">
        <v>16</v>
      </c>
      <c r="E51" s="413" t="s">
        <v>17</v>
      </c>
      <c r="F51" s="413" t="s">
        <v>27</v>
      </c>
      <c r="G51" s="413" t="s">
        <v>24</v>
      </c>
      <c r="H51" s="413" t="s">
        <v>25</v>
      </c>
      <c r="I51" s="1066" t="s">
        <v>567</v>
      </c>
      <c r="J51" s="414" t="str">
        <f t="shared" si="0"/>
        <v>A-1Casa CashIndividualRefinanciamientoUsadaApartamentoBG000000250000.01</v>
      </c>
      <c r="K51" s="1047">
        <v>250000.01</v>
      </c>
      <c r="L51" s="1047">
        <v>500000</v>
      </c>
      <c r="M51" s="1050">
        <v>85</v>
      </c>
      <c r="N51" s="1046">
        <v>20</v>
      </c>
      <c r="O51" s="1050">
        <v>6.5</v>
      </c>
      <c r="P51" s="1050">
        <v>0</v>
      </c>
    </row>
    <row r="52" spans="1:16" x14ac:dyDescent="0.25">
      <c r="A52" s="1741"/>
      <c r="B52" s="412">
        <v>51</v>
      </c>
      <c r="C52" s="1374" t="s">
        <v>967</v>
      </c>
      <c r="D52" s="413" t="s">
        <v>16</v>
      </c>
      <c r="E52" s="413" t="s">
        <v>17</v>
      </c>
      <c r="F52" s="413" t="s">
        <v>27</v>
      </c>
      <c r="G52" s="413" t="s">
        <v>24</v>
      </c>
      <c r="H52" s="413" t="s">
        <v>25</v>
      </c>
      <c r="I52" s="1066" t="s">
        <v>567</v>
      </c>
      <c r="J52" s="414" t="str">
        <f t="shared" si="0"/>
        <v>A-1Casa CashIndividualRefinanciamientoUsadaApartamentoBG000000500000.01</v>
      </c>
      <c r="K52" s="1047">
        <v>500000.01</v>
      </c>
      <c r="L52" s="1047">
        <v>99999999</v>
      </c>
      <c r="M52" s="1050">
        <v>70</v>
      </c>
      <c r="N52" s="1046">
        <v>20</v>
      </c>
      <c r="O52" s="1050">
        <v>6.5</v>
      </c>
      <c r="P52" s="1050">
        <v>0</v>
      </c>
    </row>
    <row r="53" spans="1:16" x14ac:dyDescent="0.25">
      <c r="A53" s="1741"/>
      <c r="B53" s="415">
        <v>52</v>
      </c>
      <c r="C53" s="595" t="s">
        <v>967</v>
      </c>
      <c r="D53" s="413" t="s">
        <v>16</v>
      </c>
      <c r="E53" s="413" t="s">
        <v>17</v>
      </c>
      <c r="F53" s="413" t="s">
        <v>27</v>
      </c>
      <c r="G53" s="413" t="s">
        <v>24</v>
      </c>
      <c r="H53" s="413" t="s">
        <v>25</v>
      </c>
      <c r="I53" s="1066" t="s">
        <v>913</v>
      </c>
      <c r="J53" s="414" t="str">
        <f t="shared" si="0"/>
        <v>A-1Casa CashIndividualRefinanciamientoUsadaApartamentoCOPA000000030000.00</v>
      </c>
      <c r="K53" s="1047">
        <v>30000</v>
      </c>
      <c r="L53" s="1047">
        <v>250000</v>
      </c>
      <c r="M53" s="1050">
        <v>90</v>
      </c>
      <c r="N53" s="1046">
        <v>20</v>
      </c>
      <c r="O53" s="1050">
        <v>6.25</v>
      </c>
      <c r="P53" s="1050">
        <v>0</v>
      </c>
    </row>
    <row r="54" spans="1:16" x14ac:dyDescent="0.25">
      <c r="A54" s="1741"/>
      <c r="B54" s="415">
        <v>53</v>
      </c>
      <c r="C54" s="595" t="s">
        <v>967</v>
      </c>
      <c r="D54" s="413" t="s">
        <v>16</v>
      </c>
      <c r="E54" s="413" t="s">
        <v>17</v>
      </c>
      <c r="F54" s="413" t="s">
        <v>27</v>
      </c>
      <c r="G54" s="413" t="s">
        <v>24</v>
      </c>
      <c r="H54" s="413" t="s">
        <v>25</v>
      </c>
      <c r="I54" s="1066" t="s">
        <v>913</v>
      </c>
      <c r="J54" s="414" t="str">
        <f t="shared" si="0"/>
        <v>A-1Casa CashIndividualRefinanciamientoUsadaApartamentoCOPA000000250000.01</v>
      </c>
      <c r="K54" s="1047">
        <v>250000.01</v>
      </c>
      <c r="L54" s="1047">
        <v>500000</v>
      </c>
      <c r="M54" s="1050">
        <v>80</v>
      </c>
      <c r="N54" s="1046">
        <v>20</v>
      </c>
      <c r="O54" s="1050">
        <v>6</v>
      </c>
      <c r="P54" s="1050">
        <v>0</v>
      </c>
    </row>
    <row r="55" spans="1:16" x14ac:dyDescent="0.25">
      <c r="A55" s="1741"/>
      <c r="B55" s="415">
        <v>54</v>
      </c>
      <c r="C55" s="595" t="s">
        <v>967</v>
      </c>
      <c r="D55" s="413" t="s">
        <v>16</v>
      </c>
      <c r="E55" s="413" t="s">
        <v>17</v>
      </c>
      <c r="F55" s="413" t="s">
        <v>27</v>
      </c>
      <c r="G55" s="413" t="s">
        <v>24</v>
      </c>
      <c r="H55" s="413" t="s">
        <v>25</v>
      </c>
      <c r="I55" s="1066" t="s">
        <v>913</v>
      </c>
      <c r="J55" s="414" t="str">
        <f t="shared" si="0"/>
        <v>A-1Casa CashIndividualRefinanciamientoUsadaApartamentoCOPA000000500000.01</v>
      </c>
      <c r="K55" s="1047">
        <v>500000.01</v>
      </c>
      <c r="L55" s="1047">
        <v>99999999</v>
      </c>
      <c r="M55" s="1050">
        <v>70</v>
      </c>
      <c r="N55" s="1046">
        <v>20</v>
      </c>
      <c r="O55" s="1050">
        <v>6</v>
      </c>
      <c r="P55" s="1050">
        <v>0</v>
      </c>
    </row>
    <row r="56" spans="1:16" x14ac:dyDescent="0.25">
      <c r="A56" s="1741"/>
      <c r="B56" s="415">
        <v>55</v>
      </c>
      <c r="C56" s="595" t="s">
        <v>967</v>
      </c>
      <c r="D56" s="413" t="s">
        <v>16</v>
      </c>
      <c r="E56" s="413" t="s">
        <v>17</v>
      </c>
      <c r="F56" s="413" t="s">
        <v>27</v>
      </c>
      <c r="G56" s="413" t="s">
        <v>24</v>
      </c>
      <c r="H56" s="413" t="s">
        <v>25</v>
      </c>
      <c r="I56" s="1066" t="s">
        <v>173</v>
      </c>
      <c r="J56" s="414" t="str">
        <f t="shared" si="0"/>
        <v>A-1Casa CashIndividualRefinanciamientoUsadaApartamentoFERIA000000030000.00</v>
      </c>
      <c r="K56" s="1047">
        <v>30000</v>
      </c>
      <c r="L56" s="1047">
        <v>250000</v>
      </c>
      <c r="M56" s="1050">
        <v>90</v>
      </c>
      <c r="N56" s="1046">
        <v>20</v>
      </c>
      <c r="O56" s="1050">
        <v>6.5</v>
      </c>
      <c r="P56" s="1050">
        <v>0</v>
      </c>
    </row>
    <row r="57" spans="1:16" x14ac:dyDescent="0.25">
      <c r="A57" s="1741"/>
      <c r="B57" s="412">
        <v>56</v>
      </c>
      <c r="C57" s="595" t="s">
        <v>967</v>
      </c>
      <c r="D57" s="413" t="s">
        <v>16</v>
      </c>
      <c r="E57" s="413" t="s">
        <v>17</v>
      </c>
      <c r="F57" s="413" t="s">
        <v>27</v>
      </c>
      <c r="G57" s="413" t="s">
        <v>24</v>
      </c>
      <c r="H57" s="413" t="s">
        <v>25</v>
      </c>
      <c r="I57" s="1066" t="s">
        <v>173</v>
      </c>
      <c r="J57" s="414" t="str">
        <f t="shared" si="0"/>
        <v>A-1Casa CashIndividualRefinanciamientoUsadaApartamentoFERIA000000250000.01</v>
      </c>
      <c r="K57" s="1047">
        <v>250000.01</v>
      </c>
      <c r="L57" s="1047">
        <v>500000</v>
      </c>
      <c r="M57" s="1050">
        <v>90</v>
      </c>
      <c r="N57" s="1046">
        <v>20</v>
      </c>
      <c r="O57" s="1050">
        <v>6.5</v>
      </c>
      <c r="P57" s="1050">
        <v>0</v>
      </c>
    </row>
    <row r="58" spans="1:16" x14ac:dyDescent="0.25">
      <c r="A58" s="1741"/>
      <c r="B58" s="415">
        <v>57</v>
      </c>
      <c r="C58" s="595" t="s">
        <v>967</v>
      </c>
      <c r="D58" s="413" t="s">
        <v>16</v>
      </c>
      <c r="E58" s="413" t="s">
        <v>17</v>
      </c>
      <c r="F58" s="413" t="s">
        <v>27</v>
      </c>
      <c r="G58" s="413" t="s">
        <v>24</v>
      </c>
      <c r="H58" s="413" t="s">
        <v>25</v>
      </c>
      <c r="I58" s="1066" t="s">
        <v>173</v>
      </c>
      <c r="J58" s="414" t="str">
        <f t="shared" si="0"/>
        <v>A-1Casa CashIndividualRefinanciamientoUsadaApartamentoFERIA000000500000.01</v>
      </c>
      <c r="K58" s="1047">
        <v>500000.01</v>
      </c>
      <c r="L58" s="1047">
        <v>99999999</v>
      </c>
      <c r="M58" s="1050">
        <v>90</v>
      </c>
      <c r="N58" s="1046">
        <v>20</v>
      </c>
      <c r="O58" s="1050">
        <v>6.5</v>
      </c>
      <c r="P58" s="1050">
        <v>0</v>
      </c>
    </row>
    <row r="59" spans="1:16" x14ac:dyDescent="0.25">
      <c r="A59" s="1741"/>
      <c r="B59" s="415">
        <v>58</v>
      </c>
      <c r="C59" s="1374" t="s">
        <v>967</v>
      </c>
      <c r="D59" s="413" t="s">
        <v>16</v>
      </c>
      <c r="E59" s="413" t="s">
        <v>17</v>
      </c>
      <c r="F59" s="413" t="s">
        <v>27</v>
      </c>
      <c r="G59" s="413" t="s">
        <v>24</v>
      </c>
      <c r="H59" s="413" t="s">
        <v>22</v>
      </c>
      <c r="I59" s="1066" t="s">
        <v>567</v>
      </c>
      <c r="J59" s="414" t="str">
        <f t="shared" si="0"/>
        <v>A-1Casa CashIndividualRefinanciamientoUsadaCasaBG000000030000.00</v>
      </c>
      <c r="K59" s="1047">
        <v>30000</v>
      </c>
      <c r="L59" s="1047">
        <v>250000</v>
      </c>
      <c r="M59" s="1050">
        <v>85</v>
      </c>
      <c r="N59" s="1046">
        <v>20</v>
      </c>
      <c r="O59" s="1050">
        <v>6.5</v>
      </c>
      <c r="P59" s="1050">
        <v>0</v>
      </c>
    </row>
    <row r="60" spans="1:16" x14ac:dyDescent="0.25">
      <c r="A60" s="1741"/>
      <c r="B60" s="415">
        <v>59</v>
      </c>
      <c r="C60" s="1374" t="s">
        <v>967</v>
      </c>
      <c r="D60" s="413" t="s">
        <v>16</v>
      </c>
      <c r="E60" s="413" t="s">
        <v>17</v>
      </c>
      <c r="F60" s="413" t="s">
        <v>27</v>
      </c>
      <c r="G60" s="413" t="s">
        <v>24</v>
      </c>
      <c r="H60" s="413" t="s">
        <v>22</v>
      </c>
      <c r="I60" s="1066" t="s">
        <v>567</v>
      </c>
      <c r="J60" s="414" t="str">
        <f t="shared" si="0"/>
        <v>A-1Casa CashIndividualRefinanciamientoUsadaCasaBG000000250000.01</v>
      </c>
      <c r="K60" s="1047">
        <v>250000.01</v>
      </c>
      <c r="L60" s="1047">
        <v>500000</v>
      </c>
      <c r="M60" s="1050">
        <v>85</v>
      </c>
      <c r="N60" s="1046">
        <v>20</v>
      </c>
      <c r="O60" s="1050">
        <v>6.5</v>
      </c>
      <c r="P60" s="1050">
        <v>0</v>
      </c>
    </row>
    <row r="61" spans="1:16" x14ac:dyDescent="0.25">
      <c r="A61" s="1741"/>
      <c r="B61" s="415">
        <v>60</v>
      </c>
      <c r="C61" s="1374" t="s">
        <v>967</v>
      </c>
      <c r="D61" s="413" t="s">
        <v>16</v>
      </c>
      <c r="E61" s="413" t="s">
        <v>17</v>
      </c>
      <c r="F61" s="413" t="s">
        <v>27</v>
      </c>
      <c r="G61" s="413" t="s">
        <v>24</v>
      </c>
      <c r="H61" s="413" t="s">
        <v>22</v>
      </c>
      <c r="I61" s="1066" t="s">
        <v>567</v>
      </c>
      <c r="J61" s="414" t="str">
        <f t="shared" si="0"/>
        <v>A-1Casa CashIndividualRefinanciamientoUsadaCasaBG000000500000.01</v>
      </c>
      <c r="K61" s="1047">
        <v>500000.01</v>
      </c>
      <c r="L61" s="1047">
        <v>99999999</v>
      </c>
      <c r="M61" s="1050">
        <v>70</v>
      </c>
      <c r="N61" s="1046">
        <v>20</v>
      </c>
      <c r="O61" s="1050">
        <v>6.5</v>
      </c>
      <c r="P61" s="1050">
        <v>0</v>
      </c>
    </row>
    <row r="62" spans="1:16" x14ac:dyDescent="0.25">
      <c r="A62" s="1741"/>
      <c r="B62" s="412">
        <v>61</v>
      </c>
      <c r="C62" s="595" t="s">
        <v>967</v>
      </c>
      <c r="D62" s="413" t="s">
        <v>16</v>
      </c>
      <c r="E62" s="413" t="s">
        <v>17</v>
      </c>
      <c r="F62" s="413" t="s">
        <v>27</v>
      </c>
      <c r="G62" s="413" t="s">
        <v>24</v>
      </c>
      <c r="H62" s="413" t="s">
        <v>22</v>
      </c>
      <c r="I62" s="1066" t="s">
        <v>913</v>
      </c>
      <c r="J62" s="414" t="str">
        <f t="shared" si="0"/>
        <v>A-1Casa CashIndividualRefinanciamientoUsadaCasaCOPA000000030000.00</v>
      </c>
      <c r="K62" s="1047">
        <v>30000</v>
      </c>
      <c r="L62" s="1047">
        <v>250000</v>
      </c>
      <c r="M62" s="1050">
        <v>90</v>
      </c>
      <c r="N62" s="1046">
        <v>20</v>
      </c>
      <c r="O62" s="1050">
        <v>6.25</v>
      </c>
      <c r="P62" s="1050">
        <v>0</v>
      </c>
    </row>
    <row r="63" spans="1:16" x14ac:dyDescent="0.25">
      <c r="A63" s="1741"/>
      <c r="B63" s="415">
        <v>62</v>
      </c>
      <c r="C63" s="595" t="s">
        <v>967</v>
      </c>
      <c r="D63" s="413" t="s">
        <v>16</v>
      </c>
      <c r="E63" s="413" t="s">
        <v>17</v>
      </c>
      <c r="F63" s="413" t="s">
        <v>27</v>
      </c>
      <c r="G63" s="413" t="s">
        <v>24</v>
      </c>
      <c r="H63" s="413" t="s">
        <v>22</v>
      </c>
      <c r="I63" s="1066" t="s">
        <v>913</v>
      </c>
      <c r="J63" s="414" t="str">
        <f t="shared" si="0"/>
        <v>A-1Casa CashIndividualRefinanciamientoUsadaCasaCOPA000000250000.01</v>
      </c>
      <c r="K63" s="1047">
        <v>250000.01</v>
      </c>
      <c r="L63" s="1047">
        <v>500000</v>
      </c>
      <c r="M63" s="1050">
        <v>80</v>
      </c>
      <c r="N63" s="1046">
        <v>20</v>
      </c>
      <c r="O63" s="1050">
        <v>6</v>
      </c>
      <c r="P63" s="1050">
        <v>0</v>
      </c>
    </row>
    <row r="64" spans="1:16" x14ac:dyDescent="0.25">
      <c r="A64" s="1741"/>
      <c r="B64" s="415">
        <v>63</v>
      </c>
      <c r="C64" s="595" t="s">
        <v>967</v>
      </c>
      <c r="D64" s="413" t="s">
        <v>16</v>
      </c>
      <c r="E64" s="413" t="s">
        <v>17</v>
      </c>
      <c r="F64" s="413" t="s">
        <v>27</v>
      </c>
      <c r="G64" s="413" t="s">
        <v>24</v>
      </c>
      <c r="H64" s="413" t="s">
        <v>22</v>
      </c>
      <c r="I64" s="1066" t="s">
        <v>913</v>
      </c>
      <c r="J64" s="414" t="str">
        <f t="shared" si="0"/>
        <v>A-1Casa CashIndividualRefinanciamientoUsadaCasaCOPA000000500000.01</v>
      </c>
      <c r="K64" s="1047">
        <v>500000.01</v>
      </c>
      <c r="L64" s="1047">
        <v>99999999</v>
      </c>
      <c r="M64" s="1050">
        <v>70</v>
      </c>
      <c r="N64" s="1046">
        <v>20</v>
      </c>
      <c r="O64" s="1050">
        <v>6</v>
      </c>
      <c r="P64" s="1050">
        <v>0</v>
      </c>
    </row>
    <row r="65" spans="1:16" x14ac:dyDescent="0.25">
      <c r="A65" s="1741"/>
      <c r="B65" s="415">
        <v>64</v>
      </c>
      <c r="C65" s="595" t="s">
        <v>967</v>
      </c>
      <c r="D65" s="413" t="s">
        <v>16</v>
      </c>
      <c r="E65" s="413" t="s">
        <v>17</v>
      </c>
      <c r="F65" s="413" t="s">
        <v>27</v>
      </c>
      <c r="G65" s="413" t="s">
        <v>24</v>
      </c>
      <c r="H65" s="413" t="s">
        <v>22</v>
      </c>
      <c r="I65" s="1066" t="s">
        <v>173</v>
      </c>
      <c r="J65" s="414" t="str">
        <f t="shared" si="0"/>
        <v>A-1Casa CashIndividualRefinanciamientoUsadaCasaFERIA000000030000.00</v>
      </c>
      <c r="K65" s="1047">
        <v>30000</v>
      </c>
      <c r="L65" s="1047">
        <v>250000</v>
      </c>
      <c r="M65" s="1050">
        <v>90</v>
      </c>
      <c r="N65" s="1046">
        <v>20</v>
      </c>
      <c r="O65" s="1050">
        <v>6.5</v>
      </c>
      <c r="P65" s="1050">
        <v>0</v>
      </c>
    </row>
    <row r="66" spans="1:16" x14ac:dyDescent="0.25">
      <c r="A66" s="1741"/>
      <c r="B66" s="415">
        <v>65</v>
      </c>
      <c r="C66" s="595" t="s">
        <v>967</v>
      </c>
      <c r="D66" s="413" t="s">
        <v>16</v>
      </c>
      <c r="E66" s="413" t="s">
        <v>17</v>
      </c>
      <c r="F66" s="413" t="s">
        <v>27</v>
      </c>
      <c r="G66" s="413" t="s">
        <v>24</v>
      </c>
      <c r="H66" s="413" t="s">
        <v>22</v>
      </c>
      <c r="I66" s="1066" t="s">
        <v>173</v>
      </c>
      <c r="J66" s="414" t="str">
        <f t="shared" ref="J66:J129" si="1">C66&amp;D66&amp;E66&amp;F66&amp;G66&amp;H66&amp;I66 &amp; REPT("0",15-LEN(K66 &amp; IF(IFERROR(FIND(".",K66&amp;""),0)=0,".00","")))&amp;K66 &amp; IF(IFERROR(FIND(".",K66&amp;""),0)=0,".00","")</f>
        <v>A-1Casa CashIndividualRefinanciamientoUsadaCasaFERIA000000250000.01</v>
      </c>
      <c r="K66" s="1047">
        <v>250000.01</v>
      </c>
      <c r="L66" s="1047">
        <v>500000</v>
      </c>
      <c r="M66" s="1050">
        <v>90</v>
      </c>
      <c r="N66" s="1046">
        <v>20</v>
      </c>
      <c r="O66" s="1050">
        <v>6.5</v>
      </c>
      <c r="P66" s="1050">
        <v>0</v>
      </c>
    </row>
    <row r="67" spans="1:16" x14ac:dyDescent="0.25">
      <c r="A67" s="1741"/>
      <c r="B67" s="412">
        <v>66</v>
      </c>
      <c r="C67" s="595" t="s">
        <v>967</v>
      </c>
      <c r="D67" s="413" t="s">
        <v>16</v>
      </c>
      <c r="E67" s="413" t="s">
        <v>17</v>
      </c>
      <c r="F67" s="413" t="s">
        <v>27</v>
      </c>
      <c r="G67" s="413" t="s">
        <v>24</v>
      </c>
      <c r="H67" s="413" t="s">
        <v>22</v>
      </c>
      <c r="I67" s="1066" t="s">
        <v>173</v>
      </c>
      <c r="J67" s="414" t="str">
        <f t="shared" si="1"/>
        <v>A-1Casa CashIndividualRefinanciamientoUsadaCasaFERIA000000500000.01</v>
      </c>
      <c r="K67" s="1047">
        <v>500000.01</v>
      </c>
      <c r="L67" s="1047">
        <v>99999999</v>
      </c>
      <c r="M67" s="1050">
        <v>90</v>
      </c>
      <c r="N67" s="1046">
        <v>20</v>
      </c>
      <c r="O67" s="1050">
        <v>6.5</v>
      </c>
      <c r="P67" s="1050">
        <v>0</v>
      </c>
    </row>
    <row r="68" spans="1:16" x14ac:dyDescent="0.25">
      <c r="A68" s="1741"/>
      <c r="B68" s="415">
        <v>67</v>
      </c>
      <c r="C68" s="1374" t="s">
        <v>967</v>
      </c>
      <c r="D68" s="413" t="s">
        <v>16</v>
      </c>
      <c r="E68" s="413" t="s">
        <v>17</v>
      </c>
      <c r="F68" s="413" t="s">
        <v>11</v>
      </c>
      <c r="G68" s="413" t="s">
        <v>24</v>
      </c>
      <c r="H68" s="413" t="s">
        <v>25</v>
      </c>
      <c r="I68" s="1066" t="s">
        <v>567</v>
      </c>
      <c r="J68" s="414" t="str">
        <f t="shared" si="1"/>
        <v>A-1Casa CashIndividualResidencialUsadaApartamentoBG000000030000.00</v>
      </c>
      <c r="K68" s="1047">
        <v>30000</v>
      </c>
      <c r="L68" s="1047">
        <v>250000</v>
      </c>
      <c r="M68" s="1050">
        <v>85</v>
      </c>
      <c r="N68" s="1046">
        <v>20</v>
      </c>
      <c r="O68" s="1050">
        <v>6.5</v>
      </c>
      <c r="P68" s="1050">
        <v>0</v>
      </c>
    </row>
    <row r="69" spans="1:16" x14ac:dyDescent="0.25">
      <c r="A69" s="1741"/>
      <c r="B69" s="415">
        <v>68</v>
      </c>
      <c r="C69" s="1374" t="s">
        <v>967</v>
      </c>
      <c r="D69" s="413" t="s">
        <v>16</v>
      </c>
      <c r="E69" s="413" t="s">
        <v>17</v>
      </c>
      <c r="F69" s="413" t="s">
        <v>11</v>
      </c>
      <c r="G69" s="413" t="s">
        <v>24</v>
      </c>
      <c r="H69" s="413" t="s">
        <v>25</v>
      </c>
      <c r="I69" s="1066" t="s">
        <v>567</v>
      </c>
      <c r="J69" s="414" t="str">
        <f t="shared" si="1"/>
        <v>A-1Casa CashIndividualResidencialUsadaApartamentoBG000000250000.01</v>
      </c>
      <c r="K69" s="1047">
        <v>250000.01</v>
      </c>
      <c r="L69" s="1047">
        <v>500000</v>
      </c>
      <c r="M69" s="1050">
        <v>85</v>
      </c>
      <c r="N69" s="1046">
        <v>20</v>
      </c>
      <c r="O69" s="1050">
        <v>6.5</v>
      </c>
      <c r="P69" s="1050">
        <v>0</v>
      </c>
    </row>
    <row r="70" spans="1:16" x14ac:dyDescent="0.25">
      <c r="A70" s="1741"/>
      <c r="B70" s="415">
        <v>69</v>
      </c>
      <c r="C70" s="1374" t="s">
        <v>967</v>
      </c>
      <c r="D70" s="413" t="s">
        <v>16</v>
      </c>
      <c r="E70" s="413" t="s">
        <v>17</v>
      </c>
      <c r="F70" s="413" t="s">
        <v>11</v>
      </c>
      <c r="G70" s="413" t="s">
        <v>24</v>
      </c>
      <c r="H70" s="413" t="s">
        <v>25</v>
      </c>
      <c r="I70" s="1066" t="s">
        <v>567</v>
      </c>
      <c r="J70" s="414" t="str">
        <f t="shared" si="1"/>
        <v>A-1Casa CashIndividualResidencialUsadaApartamentoBG000000500000.01</v>
      </c>
      <c r="K70" s="1047">
        <v>500000.01</v>
      </c>
      <c r="L70" s="1047">
        <v>99999999</v>
      </c>
      <c r="M70" s="1050">
        <v>70</v>
      </c>
      <c r="N70" s="1046">
        <v>20</v>
      </c>
      <c r="O70" s="1050">
        <v>6.5</v>
      </c>
      <c r="P70" s="1050">
        <v>0</v>
      </c>
    </row>
    <row r="71" spans="1:16" x14ac:dyDescent="0.25">
      <c r="A71" s="1741"/>
      <c r="B71" s="415">
        <v>70</v>
      </c>
      <c r="C71" s="595" t="s">
        <v>967</v>
      </c>
      <c r="D71" s="413" t="s">
        <v>16</v>
      </c>
      <c r="E71" s="413" t="s">
        <v>17</v>
      </c>
      <c r="F71" s="413" t="s">
        <v>11</v>
      </c>
      <c r="G71" s="413" t="s">
        <v>24</v>
      </c>
      <c r="H71" s="413" t="s">
        <v>25</v>
      </c>
      <c r="I71" s="1066" t="s">
        <v>913</v>
      </c>
      <c r="J71" s="414" t="str">
        <f t="shared" si="1"/>
        <v>A-1Casa CashIndividualResidencialUsadaApartamentoCOPA000000030000.00</v>
      </c>
      <c r="K71" s="1047">
        <v>30000</v>
      </c>
      <c r="L71" s="1047">
        <v>250000</v>
      </c>
      <c r="M71" s="1050">
        <v>90</v>
      </c>
      <c r="N71" s="1046">
        <v>20</v>
      </c>
      <c r="O71" s="1050">
        <v>6.25</v>
      </c>
      <c r="P71" s="1050">
        <v>0</v>
      </c>
    </row>
    <row r="72" spans="1:16" x14ac:dyDescent="0.25">
      <c r="A72" s="1741"/>
      <c r="B72" s="412">
        <v>71</v>
      </c>
      <c r="C72" s="595" t="s">
        <v>967</v>
      </c>
      <c r="D72" s="413" t="s">
        <v>16</v>
      </c>
      <c r="E72" s="413" t="s">
        <v>17</v>
      </c>
      <c r="F72" s="413" t="s">
        <v>11</v>
      </c>
      <c r="G72" s="413" t="s">
        <v>24</v>
      </c>
      <c r="H72" s="413" t="s">
        <v>25</v>
      </c>
      <c r="I72" s="1066" t="s">
        <v>913</v>
      </c>
      <c r="J72" s="414" t="str">
        <f t="shared" si="1"/>
        <v>A-1Casa CashIndividualResidencialUsadaApartamentoCOPA000000250000.01</v>
      </c>
      <c r="K72" s="1047">
        <v>250000.01</v>
      </c>
      <c r="L72" s="1047">
        <v>500000</v>
      </c>
      <c r="M72" s="1050">
        <v>80</v>
      </c>
      <c r="N72" s="1046">
        <v>20</v>
      </c>
      <c r="O72" s="1050">
        <v>6</v>
      </c>
      <c r="P72" s="1050">
        <v>0</v>
      </c>
    </row>
    <row r="73" spans="1:16" x14ac:dyDescent="0.25">
      <c r="A73" s="1741"/>
      <c r="B73" s="415">
        <v>72</v>
      </c>
      <c r="C73" s="595" t="s">
        <v>967</v>
      </c>
      <c r="D73" s="413" t="s">
        <v>16</v>
      </c>
      <c r="E73" s="413" t="s">
        <v>17</v>
      </c>
      <c r="F73" s="413" t="s">
        <v>11</v>
      </c>
      <c r="G73" s="413" t="s">
        <v>24</v>
      </c>
      <c r="H73" s="413" t="s">
        <v>25</v>
      </c>
      <c r="I73" s="1066" t="s">
        <v>913</v>
      </c>
      <c r="J73" s="414" t="str">
        <f t="shared" si="1"/>
        <v>A-1Casa CashIndividualResidencialUsadaApartamentoCOPA000000500000.01</v>
      </c>
      <c r="K73" s="1047">
        <v>500000.01</v>
      </c>
      <c r="L73" s="1047">
        <v>99999999</v>
      </c>
      <c r="M73" s="1050">
        <v>70</v>
      </c>
      <c r="N73" s="1046">
        <v>20</v>
      </c>
      <c r="O73" s="1050">
        <v>6</v>
      </c>
      <c r="P73" s="1050">
        <v>0</v>
      </c>
    </row>
    <row r="74" spans="1:16" x14ac:dyDescent="0.25">
      <c r="A74" s="1741"/>
      <c r="B74" s="415">
        <v>73</v>
      </c>
      <c r="C74" s="595" t="s">
        <v>967</v>
      </c>
      <c r="D74" s="413" t="s">
        <v>16</v>
      </c>
      <c r="E74" s="413" t="s">
        <v>17</v>
      </c>
      <c r="F74" s="413" t="s">
        <v>11</v>
      </c>
      <c r="G74" s="413" t="s">
        <v>24</v>
      </c>
      <c r="H74" s="413" t="s">
        <v>25</v>
      </c>
      <c r="I74" s="1066" t="s">
        <v>173</v>
      </c>
      <c r="J74" s="414" t="str">
        <f t="shared" si="1"/>
        <v>A-1Casa CashIndividualResidencialUsadaApartamentoFERIA000000030000.00</v>
      </c>
      <c r="K74" s="1047">
        <v>30000</v>
      </c>
      <c r="L74" s="1047">
        <v>250000</v>
      </c>
      <c r="M74" s="1050">
        <v>90</v>
      </c>
      <c r="N74" s="1046">
        <v>20</v>
      </c>
      <c r="O74" s="1050">
        <v>6.5</v>
      </c>
      <c r="P74" s="1050">
        <v>0</v>
      </c>
    </row>
    <row r="75" spans="1:16" x14ac:dyDescent="0.25">
      <c r="A75" s="1741"/>
      <c r="B75" s="415">
        <v>74</v>
      </c>
      <c r="C75" s="595" t="s">
        <v>967</v>
      </c>
      <c r="D75" s="413" t="s">
        <v>16</v>
      </c>
      <c r="E75" s="413" t="s">
        <v>17</v>
      </c>
      <c r="F75" s="413" t="s">
        <v>11</v>
      </c>
      <c r="G75" s="413" t="s">
        <v>24</v>
      </c>
      <c r="H75" s="413" t="s">
        <v>25</v>
      </c>
      <c r="I75" s="1066" t="s">
        <v>173</v>
      </c>
      <c r="J75" s="414" t="str">
        <f t="shared" si="1"/>
        <v>A-1Casa CashIndividualResidencialUsadaApartamentoFERIA000000250000.01</v>
      </c>
      <c r="K75" s="1047">
        <v>250000.01</v>
      </c>
      <c r="L75" s="1047">
        <v>500000</v>
      </c>
      <c r="M75" s="1050">
        <v>90</v>
      </c>
      <c r="N75" s="1046">
        <v>20</v>
      </c>
      <c r="O75" s="1050">
        <v>6.5</v>
      </c>
      <c r="P75" s="1050">
        <v>0</v>
      </c>
    </row>
    <row r="76" spans="1:16" x14ac:dyDescent="0.25">
      <c r="A76" s="1741"/>
      <c r="B76" s="415">
        <v>75</v>
      </c>
      <c r="C76" s="595" t="s">
        <v>967</v>
      </c>
      <c r="D76" s="413" t="s">
        <v>16</v>
      </c>
      <c r="E76" s="413" t="s">
        <v>17</v>
      </c>
      <c r="F76" s="413" t="s">
        <v>11</v>
      </c>
      <c r="G76" s="413" t="s">
        <v>24</v>
      </c>
      <c r="H76" s="413" t="s">
        <v>25</v>
      </c>
      <c r="I76" s="1066" t="s">
        <v>173</v>
      </c>
      <c r="J76" s="414" t="str">
        <f t="shared" si="1"/>
        <v>A-1Casa CashIndividualResidencialUsadaApartamentoFERIA000000500000.01</v>
      </c>
      <c r="K76" s="1047">
        <v>500000.01</v>
      </c>
      <c r="L76" s="1047">
        <v>99999999</v>
      </c>
      <c r="M76" s="1050">
        <v>90</v>
      </c>
      <c r="N76" s="1046">
        <v>20</v>
      </c>
      <c r="O76" s="1050">
        <v>6.5</v>
      </c>
      <c r="P76" s="1050">
        <v>0</v>
      </c>
    </row>
    <row r="77" spans="1:16" x14ac:dyDescent="0.25">
      <c r="A77" s="1741"/>
      <c r="B77" s="412">
        <v>76</v>
      </c>
      <c r="C77" s="1374" t="s">
        <v>967</v>
      </c>
      <c r="D77" s="413" t="s">
        <v>16</v>
      </c>
      <c r="E77" s="413" t="s">
        <v>17</v>
      </c>
      <c r="F77" s="413" t="s">
        <v>11</v>
      </c>
      <c r="G77" s="413" t="s">
        <v>24</v>
      </c>
      <c r="H77" s="413" t="s">
        <v>22</v>
      </c>
      <c r="I77" s="1066" t="s">
        <v>567</v>
      </c>
      <c r="J77" s="414" t="str">
        <f t="shared" si="1"/>
        <v>A-1Casa CashIndividualResidencialUsadaCasaBG000000030000.00</v>
      </c>
      <c r="K77" s="1047">
        <v>30000</v>
      </c>
      <c r="L77" s="1047">
        <v>250000</v>
      </c>
      <c r="M77" s="1050">
        <v>85</v>
      </c>
      <c r="N77" s="1046">
        <v>20</v>
      </c>
      <c r="O77" s="1050">
        <v>6.5</v>
      </c>
      <c r="P77" s="1050">
        <v>0</v>
      </c>
    </row>
    <row r="78" spans="1:16" x14ac:dyDescent="0.25">
      <c r="A78" s="1741"/>
      <c r="B78" s="415">
        <v>77</v>
      </c>
      <c r="C78" s="1374" t="s">
        <v>967</v>
      </c>
      <c r="D78" s="413" t="s">
        <v>16</v>
      </c>
      <c r="E78" s="413" t="s">
        <v>17</v>
      </c>
      <c r="F78" s="413" t="s">
        <v>11</v>
      </c>
      <c r="G78" s="413" t="s">
        <v>24</v>
      </c>
      <c r="H78" s="413" t="s">
        <v>22</v>
      </c>
      <c r="I78" s="1066" t="s">
        <v>567</v>
      </c>
      <c r="J78" s="414" t="str">
        <f t="shared" si="1"/>
        <v>A-1Casa CashIndividualResidencialUsadaCasaBG000000250000.01</v>
      </c>
      <c r="K78" s="1047">
        <v>250000.01</v>
      </c>
      <c r="L78" s="1047">
        <v>500000</v>
      </c>
      <c r="M78" s="1050">
        <v>85</v>
      </c>
      <c r="N78" s="1046">
        <v>20</v>
      </c>
      <c r="O78" s="1050">
        <v>6.5</v>
      </c>
      <c r="P78" s="1050">
        <v>0</v>
      </c>
    </row>
    <row r="79" spans="1:16" x14ac:dyDescent="0.25">
      <c r="A79" s="1741"/>
      <c r="B79" s="415">
        <v>78</v>
      </c>
      <c r="C79" s="1374" t="s">
        <v>967</v>
      </c>
      <c r="D79" s="413" t="s">
        <v>16</v>
      </c>
      <c r="E79" s="413" t="s">
        <v>17</v>
      </c>
      <c r="F79" s="413" t="s">
        <v>11</v>
      </c>
      <c r="G79" s="413" t="s">
        <v>24</v>
      </c>
      <c r="H79" s="413" t="s">
        <v>22</v>
      </c>
      <c r="I79" s="1066" t="s">
        <v>567</v>
      </c>
      <c r="J79" s="414" t="str">
        <f t="shared" si="1"/>
        <v>A-1Casa CashIndividualResidencialUsadaCasaBG000000500000.01</v>
      </c>
      <c r="K79" s="1047">
        <v>500000.01</v>
      </c>
      <c r="L79" s="1047">
        <v>99999999</v>
      </c>
      <c r="M79" s="1050">
        <v>70</v>
      </c>
      <c r="N79" s="1046">
        <v>20</v>
      </c>
      <c r="O79" s="1050">
        <v>6.5</v>
      </c>
      <c r="P79" s="1050">
        <v>0</v>
      </c>
    </row>
    <row r="80" spans="1:16" x14ac:dyDescent="0.25">
      <c r="A80" s="1741"/>
      <c r="B80" s="415">
        <v>79</v>
      </c>
      <c r="C80" s="595" t="s">
        <v>967</v>
      </c>
      <c r="D80" s="413" t="s">
        <v>16</v>
      </c>
      <c r="E80" s="413" t="s">
        <v>17</v>
      </c>
      <c r="F80" s="413" t="s">
        <v>11</v>
      </c>
      <c r="G80" s="413" t="s">
        <v>24</v>
      </c>
      <c r="H80" s="413" t="s">
        <v>22</v>
      </c>
      <c r="I80" s="1066" t="s">
        <v>913</v>
      </c>
      <c r="J80" s="414" t="str">
        <f t="shared" si="1"/>
        <v>A-1Casa CashIndividualResidencialUsadaCasaCOPA000000030000.00</v>
      </c>
      <c r="K80" s="1047">
        <v>30000</v>
      </c>
      <c r="L80" s="1047">
        <v>250000</v>
      </c>
      <c r="M80" s="1050">
        <v>90</v>
      </c>
      <c r="N80" s="1046">
        <v>20</v>
      </c>
      <c r="O80" s="1050">
        <v>6.25</v>
      </c>
      <c r="P80" s="1050">
        <v>0</v>
      </c>
    </row>
    <row r="81" spans="1:16" x14ac:dyDescent="0.25">
      <c r="A81" s="1741"/>
      <c r="B81" s="415">
        <v>80</v>
      </c>
      <c r="C81" s="595" t="s">
        <v>967</v>
      </c>
      <c r="D81" s="413" t="s">
        <v>16</v>
      </c>
      <c r="E81" s="413" t="s">
        <v>17</v>
      </c>
      <c r="F81" s="413" t="s">
        <v>11</v>
      </c>
      <c r="G81" s="413" t="s">
        <v>24</v>
      </c>
      <c r="H81" s="413" t="s">
        <v>22</v>
      </c>
      <c r="I81" s="1066" t="s">
        <v>913</v>
      </c>
      <c r="J81" s="414" t="str">
        <f t="shared" si="1"/>
        <v>A-1Casa CashIndividualResidencialUsadaCasaCOPA000000250000.01</v>
      </c>
      <c r="K81" s="1047">
        <v>250000.01</v>
      </c>
      <c r="L81" s="1047">
        <v>500000</v>
      </c>
      <c r="M81" s="1050">
        <v>80</v>
      </c>
      <c r="N81" s="1046">
        <v>20</v>
      </c>
      <c r="O81" s="1050">
        <v>6</v>
      </c>
      <c r="P81" s="1050">
        <v>0</v>
      </c>
    </row>
    <row r="82" spans="1:16" x14ac:dyDescent="0.25">
      <c r="A82" s="1741"/>
      <c r="B82" s="412">
        <v>81</v>
      </c>
      <c r="C82" s="595" t="s">
        <v>967</v>
      </c>
      <c r="D82" s="413" t="s">
        <v>16</v>
      </c>
      <c r="E82" s="413" t="s">
        <v>17</v>
      </c>
      <c r="F82" s="413" t="s">
        <v>11</v>
      </c>
      <c r="G82" s="413" t="s">
        <v>24</v>
      </c>
      <c r="H82" s="413" t="s">
        <v>22</v>
      </c>
      <c r="I82" s="1066" t="s">
        <v>913</v>
      </c>
      <c r="J82" s="414" t="str">
        <f t="shared" si="1"/>
        <v>A-1Casa CashIndividualResidencialUsadaCasaCOPA000000500000.01</v>
      </c>
      <c r="K82" s="1047">
        <v>500000.01</v>
      </c>
      <c r="L82" s="1047">
        <v>99999999</v>
      </c>
      <c r="M82" s="1050">
        <v>70</v>
      </c>
      <c r="N82" s="1046">
        <v>20</v>
      </c>
      <c r="O82" s="1050">
        <v>6</v>
      </c>
      <c r="P82" s="1050">
        <v>0</v>
      </c>
    </row>
    <row r="83" spans="1:16" x14ac:dyDescent="0.25">
      <c r="A83" s="1741"/>
      <c r="B83" s="415">
        <v>82</v>
      </c>
      <c r="C83" s="595" t="s">
        <v>967</v>
      </c>
      <c r="D83" s="413" t="s">
        <v>16</v>
      </c>
      <c r="E83" s="413" t="s">
        <v>17</v>
      </c>
      <c r="F83" s="413" t="s">
        <v>11</v>
      </c>
      <c r="G83" s="413" t="s">
        <v>24</v>
      </c>
      <c r="H83" s="413" t="s">
        <v>22</v>
      </c>
      <c r="I83" s="1066" t="s">
        <v>173</v>
      </c>
      <c r="J83" s="414" t="str">
        <f t="shared" si="1"/>
        <v>A-1Casa CashIndividualResidencialUsadaCasaFERIA000000030000.00</v>
      </c>
      <c r="K83" s="1047">
        <v>30000</v>
      </c>
      <c r="L83" s="1047">
        <v>250000</v>
      </c>
      <c r="M83" s="1050">
        <v>90</v>
      </c>
      <c r="N83" s="1046">
        <v>20</v>
      </c>
      <c r="O83" s="1050">
        <v>6.5</v>
      </c>
      <c r="P83" s="1050">
        <v>0</v>
      </c>
    </row>
    <row r="84" spans="1:16" x14ac:dyDescent="0.25">
      <c r="A84" s="1741"/>
      <c r="B84" s="415">
        <v>83</v>
      </c>
      <c r="C84" s="595" t="s">
        <v>967</v>
      </c>
      <c r="D84" s="413" t="s">
        <v>16</v>
      </c>
      <c r="E84" s="413" t="s">
        <v>17</v>
      </c>
      <c r="F84" s="413" t="s">
        <v>11</v>
      </c>
      <c r="G84" s="413" t="s">
        <v>24</v>
      </c>
      <c r="H84" s="413" t="s">
        <v>22</v>
      </c>
      <c r="I84" s="1066" t="s">
        <v>173</v>
      </c>
      <c r="J84" s="414" t="str">
        <f t="shared" si="1"/>
        <v>A-1Casa CashIndividualResidencialUsadaCasaFERIA000000250000.01</v>
      </c>
      <c r="K84" s="1047">
        <v>250000.01</v>
      </c>
      <c r="L84" s="1047">
        <v>500000</v>
      </c>
      <c r="M84" s="1050">
        <v>90</v>
      </c>
      <c r="N84" s="1046">
        <v>20</v>
      </c>
      <c r="O84" s="1050">
        <v>6.5</v>
      </c>
      <c r="P84" s="1050">
        <v>0</v>
      </c>
    </row>
    <row r="85" spans="1:16" x14ac:dyDescent="0.25">
      <c r="A85" s="1741"/>
      <c r="B85" s="415">
        <v>84</v>
      </c>
      <c r="C85" s="595" t="s">
        <v>967</v>
      </c>
      <c r="D85" s="413" t="s">
        <v>16</v>
      </c>
      <c r="E85" s="413" t="s">
        <v>17</v>
      </c>
      <c r="F85" s="413" t="s">
        <v>11</v>
      </c>
      <c r="G85" s="413" t="s">
        <v>24</v>
      </c>
      <c r="H85" s="413" t="s">
        <v>22</v>
      </c>
      <c r="I85" s="1066" t="s">
        <v>173</v>
      </c>
      <c r="J85" s="414" t="str">
        <f t="shared" si="1"/>
        <v>A-1Casa CashIndividualResidencialUsadaCasaFERIA000000500000.01</v>
      </c>
      <c r="K85" s="1047">
        <v>500000.01</v>
      </c>
      <c r="L85" s="1047">
        <v>99999999</v>
      </c>
      <c r="M85" s="1050">
        <v>90</v>
      </c>
      <c r="N85" s="1046">
        <v>20</v>
      </c>
      <c r="O85" s="1050">
        <v>6.5</v>
      </c>
      <c r="P85" s="1050">
        <v>0</v>
      </c>
    </row>
    <row r="86" spans="1:16" x14ac:dyDescent="0.25">
      <c r="A86" s="1741"/>
      <c r="B86" s="415">
        <v>85</v>
      </c>
      <c r="C86" s="1374" t="s">
        <v>967</v>
      </c>
      <c r="D86" s="413" t="s">
        <v>16</v>
      </c>
      <c r="E86" s="413" t="s">
        <v>17</v>
      </c>
      <c r="F86" s="413" t="s">
        <v>20</v>
      </c>
      <c r="G86" s="413" t="s">
        <v>24</v>
      </c>
      <c r="H86" s="413" t="s">
        <v>25</v>
      </c>
      <c r="I86" s="1066" t="s">
        <v>567</v>
      </c>
      <c r="J86" s="414" t="str">
        <f t="shared" si="1"/>
        <v>A-1Casa CashIndividualSegunda HipotecaUsadaApartamentoBG000000030000.00</v>
      </c>
      <c r="K86" s="1047">
        <v>30000</v>
      </c>
      <c r="L86" s="1047">
        <v>250000</v>
      </c>
      <c r="M86" s="1050">
        <v>85</v>
      </c>
      <c r="N86" s="1046">
        <v>20</v>
      </c>
      <c r="O86" s="1050">
        <v>6.5</v>
      </c>
      <c r="P86" s="1050">
        <v>0</v>
      </c>
    </row>
    <row r="87" spans="1:16" x14ac:dyDescent="0.25">
      <c r="A87" s="1741"/>
      <c r="B87" s="412">
        <v>86</v>
      </c>
      <c r="C87" s="1374" t="s">
        <v>967</v>
      </c>
      <c r="D87" s="413" t="s">
        <v>16</v>
      </c>
      <c r="E87" s="413" t="s">
        <v>17</v>
      </c>
      <c r="F87" s="413" t="s">
        <v>20</v>
      </c>
      <c r="G87" s="413" t="s">
        <v>24</v>
      </c>
      <c r="H87" s="413" t="s">
        <v>25</v>
      </c>
      <c r="I87" s="1066" t="s">
        <v>567</v>
      </c>
      <c r="J87" s="414" t="str">
        <f t="shared" si="1"/>
        <v>A-1Casa CashIndividualSegunda HipotecaUsadaApartamentoBG000000250000.01</v>
      </c>
      <c r="K87" s="1047">
        <v>250000.01</v>
      </c>
      <c r="L87" s="1047">
        <v>500000</v>
      </c>
      <c r="M87" s="1050">
        <v>85</v>
      </c>
      <c r="N87" s="1046">
        <v>20</v>
      </c>
      <c r="O87" s="1050">
        <v>6.5</v>
      </c>
      <c r="P87" s="1050">
        <v>0</v>
      </c>
    </row>
    <row r="88" spans="1:16" x14ac:dyDescent="0.25">
      <c r="A88" s="1741"/>
      <c r="B88" s="415">
        <v>87</v>
      </c>
      <c r="C88" s="1374" t="s">
        <v>967</v>
      </c>
      <c r="D88" s="413" t="s">
        <v>16</v>
      </c>
      <c r="E88" s="413" t="s">
        <v>17</v>
      </c>
      <c r="F88" s="413" t="s">
        <v>20</v>
      </c>
      <c r="G88" s="413" t="s">
        <v>24</v>
      </c>
      <c r="H88" s="413" t="s">
        <v>25</v>
      </c>
      <c r="I88" s="1066" t="s">
        <v>567</v>
      </c>
      <c r="J88" s="414" t="str">
        <f t="shared" si="1"/>
        <v>A-1Casa CashIndividualSegunda HipotecaUsadaApartamentoBG000000500000.01</v>
      </c>
      <c r="K88" s="1047">
        <v>500000.01</v>
      </c>
      <c r="L88" s="1047">
        <v>99999999</v>
      </c>
      <c r="M88" s="1050">
        <v>70</v>
      </c>
      <c r="N88" s="1046">
        <v>20</v>
      </c>
      <c r="O88" s="1050">
        <v>6.5</v>
      </c>
      <c r="P88" s="1050">
        <v>0</v>
      </c>
    </row>
    <row r="89" spans="1:16" x14ac:dyDescent="0.25">
      <c r="A89" s="1741"/>
      <c r="B89" s="415">
        <v>88</v>
      </c>
      <c r="C89" s="595" t="s">
        <v>967</v>
      </c>
      <c r="D89" s="413" t="s">
        <v>16</v>
      </c>
      <c r="E89" s="413" t="s">
        <v>17</v>
      </c>
      <c r="F89" s="413" t="s">
        <v>20</v>
      </c>
      <c r="G89" s="413" t="s">
        <v>24</v>
      </c>
      <c r="H89" s="413" t="s">
        <v>25</v>
      </c>
      <c r="I89" s="1066" t="s">
        <v>913</v>
      </c>
      <c r="J89" s="414" t="str">
        <f t="shared" si="1"/>
        <v>A-1Casa CashIndividualSegunda HipotecaUsadaApartamentoCOPA000000030000.00</v>
      </c>
      <c r="K89" s="1047">
        <v>30000</v>
      </c>
      <c r="L89" s="1047">
        <v>250000</v>
      </c>
      <c r="M89" s="1050">
        <v>90</v>
      </c>
      <c r="N89" s="1046">
        <v>20</v>
      </c>
      <c r="O89" s="1050">
        <v>6.25</v>
      </c>
      <c r="P89" s="1050">
        <v>0</v>
      </c>
    </row>
    <row r="90" spans="1:16" x14ac:dyDescent="0.25">
      <c r="A90" s="1741"/>
      <c r="B90" s="415">
        <v>89</v>
      </c>
      <c r="C90" s="595" t="s">
        <v>967</v>
      </c>
      <c r="D90" s="413" t="s">
        <v>16</v>
      </c>
      <c r="E90" s="413" t="s">
        <v>17</v>
      </c>
      <c r="F90" s="413" t="s">
        <v>20</v>
      </c>
      <c r="G90" s="413" t="s">
        <v>24</v>
      </c>
      <c r="H90" s="413" t="s">
        <v>25</v>
      </c>
      <c r="I90" s="1066" t="s">
        <v>913</v>
      </c>
      <c r="J90" s="414" t="str">
        <f t="shared" si="1"/>
        <v>A-1Casa CashIndividualSegunda HipotecaUsadaApartamentoCOPA000000250000.01</v>
      </c>
      <c r="K90" s="1047">
        <v>250000.01</v>
      </c>
      <c r="L90" s="1047">
        <v>500000</v>
      </c>
      <c r="M90" s="1050">
        <v>80</v>
      </c>
      <c r="N90" s="1046">
        <v>20</v>
      </c>
      <c r="O90" s="1050">
        <v>6</v>
      </c>
      <c r="P90" s="1050">
        <v>0</v>
      </c>
    </row>
    <row r="91" spans="1:16" x14ac:dyDescent="0.25">
      <c r="A91" s="1741"/>
      <c r="B91" s="415">
        <v>90</v>
      </c>
      <c r="C91" s="595" t="s">
        <v>967</v>
      </c>
      <c r="D91" s="413" t="s">
        <v>16</v>
      </c>
      <c r="E91" s="413" t="s">
        <v>17</v>
      </c>
      <c r="F91" s="413" t="s">
        <v>20</v>
      </c>
      <c r="G91" s="413" t="s">
        <v>24</v>
      </c>
      <c r="H91" s="413" t="s">
        <v>25</v>
      </c>
      <c r="I91" s="1066" t="s">
        <v>913</v>
      </c>
      <c r="J91" s="414" t="str">
        <f t="shared" si="1"/>
        <v>A-1Casa CashIndividualSegunda HipotecaUsadaApartamentoCOPA000000500000.01</v>
      </c>
      <c r="K91" s="1047">
        <v>500000.01</v>
      </c>
      <c r="L91" s="1047">
        <v>99999999</v>
      </c>
      <c r="M91" s="1050">
        <v>70</v>
      </c>
      <c r="N91" s="1046">
        <v>20</v>
      </c>
      <c r="O91" s="1050">
        <v>6</v>
      </c>
      <c r="P91" s="1050">
        <v>0</v>
      </c>
    </row>
    <row r="92" spans="1:16" x14ac:dyDescent="0.25">
      <c r="A92" s="1741"/>
      <c r="B92" s="412">
        <v>91</v>
      </c>
      <c r="C92" s="595" t="s">
        <v>967</v>
      </c>
      <c r="D92" s="413" t="s">
        <v>16</v>
      </c>
      <c r="E92" s="413" t="s">
        <v>17</v>
      </c>
      <c r="F92" s="413" t="s">
        <v>20</v>
      </c>
      <c r="G92" s="413" t="s">
        <v>24</v>
      </c>
      <c r="H92" s="413" t="s">
        <v>25</v>
      </c>
      <c r="I92" s="1066" t="s">
        <v>173</v>
      </c>
      <c r="J92" s="414" t="str">
        <f t="shared" si="1"/>
        <v>A-1Casa CashIndividualSegunda HipotecaUsadaApartamentoFERIA000000030000.00</v>
      </c>
      <c r="K92" s="1047">
        <v>30000</v>
      </c>
      <c r="L92" s="1047">
        <v>250000</v>
      </c>
      <c r="M92" s="1050">
        <v>90</v>
      </c>
      <c r="N92" s="1046">
        <v>20</v>
      </c>
      <c r="O92" s="1050">
        <v>6.5</v>
      </c>
      <c r="P92" s="1050">
        <v>0</v>
      </c>
    </row>
    <row r="93" spans="1:16" x14ac:dyDescent="0.25">
      <c r="A93" s="1741"/>
      <c r="B93" s="415">
        <v>92</v>
      </c>
      <c r="C93" s="595" t="s">
        <v>967</v>
      </c>
      <c r="D93" s="413" t="s">
        <v>16</v>
      </c>
      <c r="E93" s="413" t="s">
        <v>17</v>
      </c>
      <c r="F93" s="413" t="s">
        <v>20</v>
      </c>
      <c r="G93" s="413" t="s">
        <v>24</v>
      </c>
      <c r="H93" s="413" t="s">
        <v>25</v>
      </c>
      <c r="I93" s="1066" t="s">
        <v>173</v>
      </c>
      <c r="J93" s="414" t="str">
        <f t="shared" si="1"/>
        <v>A-1Casa CashIndividualSegunda HipotecaUsadaApartamentoFERIA000000250000.01</v>
      </c>
      <c r="K93" s="1047">
        <v>250000.01</v>
      </c>
      <c r="L93" s="1047">
        <v>500000</v>
      </c>
      <c r="M93" s="1050">
        <v>90</v>
      </c>
      <c r="N93" s="1046">
        <v>20</v>
      </c>
      <c r="O93" s="1050">
        <v>6.5</v>
      </c>
      <c r="P93" s="1050">
        <v>0</v>
      </c>
    </row>
    <row r="94" spans="1:16" x14ac:dyDescent="0.25">
      <c r="A94" s="1741"/>
      <c r="B94" s="415">
        <v>93</v>
      </c>
      <c r="C94" s="595" t="s">
        <v>967</v>
      </c>
      <c r="D94" s="413" t="s">
        <v>16</v>
      </c>
      <c r="E94" s="413" t="s">
        <v>17</v>
      </c>
      <c r="F94" s="413" t="s">
        <v>20</v>
      </c>
      <c r="G94" s="413" t="s">
        <v>24</v>
      </c>
      <c r="H94" s="413" t="s">
        <v>25</v>
      </c>
      <c r="I94" s="1066" t="s">
        <v>173</v>
      </c>
      <c r="J94" s="414" t="str">
        <f t="shared" si="1"/>
        <v>A-1Casa CashIndividualSegunda HipotecaUsadaApartamentoFERIA000000500000.01</v>
      </c>
      <c r="K94" s="1047">
        <v>500000.01</v>
      </c>
      <c r="L94" s="1047">
        <v>99999999</v>
      </c>
      <c r="M94" s="1050">
        <v>90</v>
      </c>
      <c r="N94" s="1046">
        <v>20</v>
      </c>
      <c r="O94" s="1050">
        <v>6.5</v>
      </c>
      <c r="P94" s="1050">
        <v>0</v>
      </c>
    </row>
    <row r="95" spans="1:16" x14ac:dyDescent="0.25">
      <c r="A95" s="1741"/>
      <c r="B95" s="415">
        <v>94</v>
      </c>
      <c r="C95" s="1374" t="s">
        <v>967</v>
      </c>
      <c r="D95" s="413" t="s">
        <v>16</v>
      </c>
      <c r="E95" s="413" t="s">
        <v>17</v>
      </c>
      <c r="F95" s="413" t="s">
        <v>20</v>
      </c>
      <c r="G95" s="413" t="s">
        <v>24</v>
      </c>
      <c r="H95" s="413" t="s">
        <v>22</v>
      </c>
      <c r="I95" s="1066" t="s">
        <v>567</v>
      </c>
      <c r="J95" s="414" t="str">
        <f t="shared" si="1"/>
        <v>A-1Casa CashIndividualSegunda HipotecaUsadaCasaBG000000030000.00</v>
      </c>
      <c r="K95" s="1047">
        <v>30000</v>
      </c>
      <c r="L95" s="1047">
        <v>250000</v>
      </c>
      <c r="M95" s="1050">
        <v>85</v>
      </c>
      <c r="N95" s="1046">
        <v>20</v>
      </c>
      <c r="O95" s="1050">
        <v>6.5</v>
      </c>
      <c r="P95" s="1050">
        <v>0</v>
      </c>
    </row>
    <row r="96" spans="1:16" x14ac:dyDescent="0.25">
      <c r="B96" s="415">
        <v>95</v>
      </c>
      <c r="C96" s="1374" t="s">
        <v>967</v>
      </c>
      <c r="D96" s="413" t="s">
        <v>16</v>
      </c>
      <c r="E96" s="413" t="s">
        <v>17</v>
      </c>
      <c r="F96" s="413" t="s">
        <v>20</v>
      </c>
      <c r="G96" s="413" t="s">
        <v>24</v>
      </c>
      <c r="H96" s="413" t="s">
        <v>22</v>
      </c>
      <c r="I96" s="1066" t="s">
        <v>567</v>
      </c>
      <c r="J96" s="414" t="str">
        <f t="shared" si="1"/>
        <v>A-1Casa CashIndividualSegunda HipotecaUsadaCasaBG000000250000.01</v>
      </c>
      <c r="K96" s="1047">
        <v>250000.01</v>
      </c>
      <c r="L96" s="1047">
        <v>500000</v>
      </c>
      <c r="M96" s="1050">
        <v>85</v>
      </c>
      <c r="N96" s="1046">
        <v>20</v>
      </c>
      <c r="O96" s="1050">
        <v>6.5</v>
      </c>
      <c r="P96" s="1050">
        <v>0</v>
      </c>
    </row>
    <row r="97" spans="2:16" x14ac:dyDescent="0.25">
      <c r="B97" s="412">
        <v>96</v>
      </c>
      <c r="C97" s="1374" t="s">
        <v>967</v>
      </c>
      <c r="D97" s="413" t="s">
        <v>16</v>
      </c>
      <c r="E97" s="413" t="s">
        <v>17</v>
      </c>
      <c r="F97" s="413" t="s">
        <v>20</v>
      </c>
      <c r="G97" s="413" t="s">
        <v>24</v>
      </c>
      <c r="H97" s="413" t="s">
        <v>22</v>
      </c>
      <c r="I97" s="1066" t="s">
        <v>567</v>
      </c>
      <c r="J97" s="414" t="str">
        <f t="shared" si="1"/>
        <v>A-1Casa CashIndividualSegunda HipotecaUsadaCasaBG000000500000.01</v>
      </c>
      <c r="K97" s="1047">
        <v>500000.01</v>
      </c>
      <c r="L97" s="1047">
        <v>99999999</v>
      </c>
      <c r="M97" s="1050">
        <v>70</v>
      </c>
      <c r="N97" s="1046">
        <v>20</v>
      </c>
      <c r="O97" s="1050">
        <v>6.5</v>
      </c>
      <c r="P97" s="1050">
        <v>0</v>
      </c>
    </row>
    <row r="98" spans="2:16" x14ac:dyDescent="0.25">
      <c r="B98" s="415">
        <v>97</v>
      </c>
      <c r="C98" s="595" t="s">
        <v>967</v>
      </c>
      <c r="D98" s="413" t="s">
        <v>16</v>
      </c>
      <c r="E98" s="413" t="s">
        <v>17</v>
      </c>
      <c r="F98" s="413" t="s">
        <v>20</v>
      </c>
      <c r="G98" s="413" t="s">
        <v>24</v>
      </c>
      <c r="H98" s="413" t="s">
        <v>22</v>
      </c>
      <c r="I98" s="1066" t="s">
        <v>913</v>
      </c>
      <c r="J98" s="414" t="str">
        <f t="shared" si="1"/>
        <v>A-1Casa CashIndividualSegunda HipotecaUsadaCasaCOPA000000030000.00</v>
      </c>
      <c r="K98" s="1047">
        <v>30000</v>
      </c>
      <c r="L98" s="1047">
        <v>250000</v>
      </c>
      <c r="M98" s="1050">
        <v>90</v>
      </c>
      <c r="N98" s="1046">
        <v>20</v>
      </c>
      <c r="O98" s="1050">
        <v>6.25</v>
      </c>
      <c r="P98" s="1050">
        <v>0</v>
      </c>
    </row>
    <row r="99" spans="2:16" x14ac:dyDescent="0.25">
      <c r="B99" s="415">
        <v>98</v>
      </c>
      <c r="C99" s="595" t="s">
        <v>967</v>
      </c>
      <c r="D99" s="413" t="s">
        <v>16</v>
      </c>
      <c r="E99" s="413" t="s">
        <v>17</v>
      </c>
      <c r="F99" s="413" t="s">
        <v>20</v>
      </c>
      <c r="G99" s="413" t="s">
        <v>24</v>
      </c>
      <c r="H99" s="413" t="s">
        <v>22</v>
      </c>
      <c r="I99" s="1066" t="s">
        <v>913</v>
      </c>
      <c r="J99" s="414" t="str">
        <f t="shared" si="1"/>
        <v>A-1Casa CashIndividualSegunda HipotecaUsadaCasaCOPA000000250000.01</v>
      </c>
      <c r="K99" s="1047">
        <v>250000.01</v>
      </c>
      <c r="L99" s="1047">
        <v>500000</v>
      </c>
      <c r="M99" s="1050">
        <v>80</v>
      </c>
      <c r="N99" s="1046">
        <v>20</v>
      </c>
      <c r="O99" s="1050">
        <v>6</v>
      </c>
      <c r="P99" s="1050">
        <v>0</v>
      </c>
    </row>
    <row r="100" spans="2:16" x14ac:dyDescent="0.25">
      <c r="B100" s="415">
        <v>99</v>
      </c>
      <c r="C100" s="595" t="s">
        <v>967</v>
      </c>
      <c r="D100" s="413" t="s">
        <v>16</v>
      </c>
      <c r="E100" s="413" t="s">
        <v>17</v>
      </c>
      <c r="F100" s="413" t="s">
        <v>20</v>
      </c>
      <c r="G100" s="413" t="s">
        <v>24</v>
      </c>
      <c r="H100" s="413" t="s">
        <v>22</v>
      </c>
      <c r="I100" s="1066" t="s">
        <v>913</v>
      </c>
      <c r="J100" s="414" t="str">
        <f t="shared" si="1"/>
        <v>A-1Casa CashIndividualSegunda HipotecaUsadaCasaCOPA000000500000.01</v>
      </c>
      <c r="K100" s="1047">
        <v>500000.01</v>
      </c>
      <c r="L100" s="1047">
        <v>99999999</v>
      </c>
      <c r="M100" s="1050">
        <v>70</v>
      </c>
      <c r="N100" s="1046">
        <v>20</v>
      </c>
      <c r="O100" s="1050">
        <v>6</v>
      </c>
      <c r="P100" s="1050">
        <v>0</v>
      </c>
    </row>
    <row r="101" spans="2:16" x14ac:dyDescent="0.25">
      <c r="B101" s="415">
        <v>100</v>
      </c>
      <c r="C101" s="595" t="s">
        <v>967</v>
      </c>
      <c r="D101" s="413" t="s">
        <v>16</v>
      </c>
      <c r="E101" s="413" t="s">
        <v>17</v>
      </c>
      <c r="F101" s="413" t="s">
        <v>20</v>
      </c>
      <c r="G101" s="413" t="s">
        <v>24</v>
      </c>
      <c r="H101" s="413" t="s">
        <v>22</v>
      </c>
      <c r="I101" s="1066" t="s">
        <v>173</v>
      </c>
      <c r="J101" s="414" t="str">
        <f t="shared" si="1"/>
        <v>A-1Casa CashIndividualSegunda HipotecaUsadaCasaFERIA000000030000.00</v>
      </c>
      <c r="K101" s="1047">
        <v>30000</v>
      </c>
      <c r="L101" s="1047">
        <v>250000</v>
      </c>
      <c r="M101" s="1050">
        <v>90</v>
      </c>
      <c r="N101" s="1046">
        <v>20</v>
      </c>
      <c r="O101" s="1050">
        <v>6.5</v>
      </c>
      <c r="P101" s="1050">
        <v>0</v>
      </c>
    </row>
    <row r="102" spans="2:16" x14ac:dyDescent="0.25">
      <c r="B102" s="412">
        <v>101</v>
      </c>
      <c r="C102" s="595" t="s">
        <v>967</v>
      </c>
      <c r="D102" s="413" t="s">
        <v>16</v>
      </c>
      <c r="E102" s="413" t="s">
        <v>17</v>
      </c>
      <c r="F102" s="413" t="s">
        <v>20</v>
      </c>
      <c r="G102" s="413" t="s">
        <v>24</v>
      </c>
      <c r="H102" s="413" t="s">
        <v>22</v>
      </c>
      <c r="I102" s="1066" t="s">
        <v>173</v>
      </c>
      <c r="J102" s="414" t="str">
        <f t="shared" si="1"/>
        <v>A-1Casa CashIndividualSegunda HipotecaUsadaCasaFERIA000000250000.01</v>
      </c>
      <c r="K102" s="1047">
        <v>250000.01</v>
      </c>
      <c r="L102" s="1047">
        <v>500000</v>
      </c>
      <c r="M102" s="1050">
        <v>90</v>
      </c>
      <c r="N102" s="1046">
        <v>20</v>
      </c>
      <c r="O102" s="1050">
        <v>6.5</v>
      </c>
      <c r="P102" s="1050">
        <v>0</v>
      </c>
    </row>
    <row r="103" spans="2:16" x14ac:dyDescent="0.25">
      <c r="B103" s="415">
        <v>102</v>
      </c>
      <c r="C103" s="595" t="s">
        <v>967</v>
      </c>
      <c r="D103" s="413" t="s">
        <v>16</v>
      </c>
      <c r="E103" s="413" t="s">
        <v>17</v>
      </c>
      <c r="F103" s="413" t="s">
        <v>20</v>
      </c>
      <c r="G103" s="413" t="s">
        <v>24</v>
      </c>
      <c r="H103" s="413" t="s">
        <v>22</v>
      </c>
      <c r="I103" s="1066" t="s">
        <v>173</v>
      </c>
      <c r="J103" s="414" t="str">
        <f t="shared" si="1"/>
        <v>A-1Casa CashIndividualSegunda HipotecaUsadaCasaFERIA000000500000.01</v>
      </c>
      <c r="K103" s="1047">
        <v>500000.01</v>
      </c>
      <c r="L103" s="1047">
        <v>99999999</v>
      </c>
      <c r="M103" s="1050">
        <v>90</v>
      </c>
      <c r="N103" s="1046">
        <v>20</v>
      </c>
      <c r="O103" s="1050">
        <v>6.5</v>
      </c>
      <c r="P103" s="1050">
        <v>0</v>
      </c>
    </row>
    <row r="104" spans="2:16" x14ac:dyDescent="0.25">
      <c r="B104" s="415">
        <v>103</v>
      </c>
      <c r="C104" s="595" t="s">
        <v>967</v>
      </c>
      <c r="D104" s="413" t="s">
        <v>8</v>
      </c>
      <c r="E104" s="413" t="s">
        <v>762</v>
      </c>
      <c r="F104" s="413" t="s">
        <v>11</v>
      </c>
      <c r="G104" s="413" t="s">
        <v>21</v>
      </c>
      <c r="H104" s="413" t="s">
        <v>25</v>
      </c>
      <c r="I104" s="1066" t="s">
        <v>567</v>
      </c>
      <c r="J104" s="414" t="str">
        <f t="shared" si="1"/>
        <v>A-1Compra de ViviendaCasco AntiguoResidencialNuevaApartamentoBG000000030000.00</v>
      </c>
      <c r="K104" s="1047">
        <v>30000</v>
      </c>
      <c r="L104" s="1047">
        <v>99999999</v>
      </c>
      <c r="M104" s="1050">
        <v>80</v>
      </c>
      <c r="N104" s="1046">
        <v>30</v>
      </c>
      <c r="O104" s="1050">
        <v>3.5</v>
      </c>
      <c r="P104" s="1050">
        <v>8.56</v>
      </c>
    </row>
    <row r="105" spans="2:16" x14ac:dyDescent="0.25">
      <c r="B105" s="415">
        <v>104</v>
      </c>
      <c r="C105" s="595" t="s">
        <v>967</v>
      </c>
      <c r="D105" s="413" t="s">
        <v>8</v>
      </c>
      <c r="E105" s="413" t="s">
        <v>762</v>
      </c>
      <c r="F105" s="413" t="s">
        <v>11</v>
      </c>
      <c r="G105" s="413" t="s">
        <v>21</v>
      </c>
      <c r="H105" s="413" t="s">
        <v>25</v>
      </c>
      <c r="I105" s="1066" t="s">
        <v>913</v>
      </c>
      <c r="J105" s="414" t="str">
        <f t="shared" si="1"/>
        <v>A-1Compra de ViviendaCasco AntiguoResidencialNuevaApartamentoCOPA000000030000.00</v>
      </c>
      <c r="K105" s="1047">
        <v>30000</v>
      </c>
      <c r="L105" s="1047">
        <v>99999999</v>
      </c>
      <c r="M105" s="1050">
        <v>80</v>
      </c>
      <c r="N105" s="1046">
        <v>30</v>
      </c>
      <c r="O105" s="1050">
        <v>3.25</v>
      </c>
      <c r="P105" s="1050">
        <v>8.56</v>
      </c>
    </row>
    <row r="106" spans="2:16" x14ac:dyDescent="0.25">
      <c r="B106" s="415">
        <v>105</v>
      </c>
      <c r="C106" s="595" t="s">
        <v>967</v>
      </c>
      <c r="D106" s="413" t="s">
        <v>8</v>
      </c>
      <c r="E106" s="413" t="s">
        <v>762</v>
      </c>
      <c r="F106" s="413" t="s">
        <v>11</v>
      </c>
      <c r="G106" s="413" t="s">
        <v>21</v>
      </c>
      <c r="H106" s="413" t="s">
        <v>25</v>
      </c>
      <c r="I106" s="1066" t="s">
        <v>173</v>
      </c>
      <c r="J106" s="414" t="str">
        <f t="shared" si="1"/>
        <v>A-1Compra de ViviendaCasco AntiguoResidencialNuevaApartamentoFERIA000000030000.00</v>
      </c>
      <c r="K106" s="1047">
        <v>30000</v>
      </c>
      <c r="L106" s="1047">
        <v>99999999</v>
      </c>
      <c r="M106" s="1050">
        <v>80</v>
      </c>
      <c r="N106" s="1046">
        <v>30</v>
      </c>
      <c r="O106" s="1050">
        <v>3.5</v>
      </c>
      <c r="P106" s="1050">
        <v>4.28</v>
      </c>
    </row>
    <row r="107" spans="2:16" x14ac:dyDescent="0.25">
      <c r="B107" s="412">
        <v>106</v>
      </c>
      <c r="C107" s="595" t="s">
        <v>967</v>
      </c>
      <c r="D107" s="413" t="s">
        <v>8</v>
      </c>
      <c r="E107" s="413" t="s">
        <v>762</v>
      </c>
      <c r="F107" s="413" t="s">
        <v>11</v>
      </c>
      <c r="G107" s="413" t="s">
        <v>21</v>
      </c>
      <c r="H107" s="413" t="s">
        <v>22</v>
      </c>
      <c r="I107" s="1066" t="s">
        <v>567</v>
      </c>
      <c r="J107" s="414" t="str">
        <f t="shared" si="1"/>
        <v>A-1Compra de ViviendaCasco AntiguoResidencialNuevaCasaBG000000030000.00</v>
      </c>
      <c r="K107" s="1047">
        <v>30000</v>
      </c>
      <c r="L107" s="1047">
        <v>99999999</v>
      </c>
      <c r="M107" s="1050">
        <v>80</v>
      </c>
      <c r="N107" s="1046">
        <v>30</v>
      </c>
      <c r="O107" s="1050">
        <v>3.5</v>
      </c>
      <c r="P107" s="1050">
        <v>8.56</v>
      </c>
    </row>
    <row r="108" spans="2:16" x14ac:dyDescent="0.25">
      <c r="B108" s="415">
        <v>107</v>
      </c>
      <c r="C108" s="595" t="s">
        <v>967</v>
      </c>
      <c r="D108" s="413" t="s">
        <v>8</v>
      </c>
      <c r="E108" s="413" t="s">
        <v>762</v>
      </c>
      <c r="F108" s="413" t="s">
        <v>11</v>
      </c>
      <c r="G108" s="413" t="s">
        <v>21</v>
      </c>
      <c r="H108" s="413" t="s">
        <v>22</v>
      </c>
      <c r="I108" s="1066" t="s">
        <v>913</v>
      </c>
      <c r="J108" s="414" t="str">
        <f t="shared" si="1"/>
        <v>A-1Compra de ViviendaCasco AntiguoResidencialNuevaCasaCOPA000000030000.00</v>
      </c>
      <c r="K108" s="1047">
        <v>30000</v>
      </c>
      <c r="L108" s="1047">
        <v>99999999</v>
      </c>
      <c r="M108" s="1050">
        <v>80</v>
      </c>
      <c r="N108" s="1046">
        <v>30</v>
      </c>
      <c r="O108" s="1050">
        <v>3.25</v>
      </c>
      <c r="P108" s="1050">
        <v>8.56</v>
      </c>
    </row>
    <row r="109" spans="2:16" x14ac:dyDescent="0.25">
      <c r="B109" s="415">
        <v>108</v>
      </c>
      <c r="C109" s="595" t="s">
        <v>967</v>
      </c>
      <c r="D109" s="413" t="s">
        <v>8</v>
      </c>
      <c r="E109" s="413" t="s">
        <v>762</v>
      </c>
      <c r="F109" s="413" t="s">
        <v>11</v>
      </c>
      <c r="G109" s="413" t="s">
        <v>21</v>
      </c>
      <c r="H109" s="413" t="s">
        <v>22</v>
      </c>
      <c r="I109" s="1066" t="s">
        <v>173</v>
      </c>
      <c r="J109" s="414" t="str">
        <f t="shared" si="1"/>
        <v>A-1Compra de ViviendaCasco AntiguoResidencialNuevaCasaFERIA000000030000.00</v>
      </c>
      <c r="K109" s="1047">
        <v>30000</v>
      </c>
      <c r="L109" s="1047">
        <v>99999999</v>
      </c>
      <c r="M109" s="1050">
        <v>80</v>
      </c>
      <c r="N109" s="1046">
        <v>30</v>
      </c>
      <c r="O109" s="1050">
        <v>3.5</v>
      </c>
      <c r="P109" s="1050">
        <v>4.28</v>
      </c>
    </row>
    <row r="110" spans="2:16" x14ac:dyDescent="0.25">
      <c r="B110" s="415">
        <v>109</v>
      </c>
      <c r="C110" s="595" t="s">
        <v>967</v>
      </c>
      <c r="D110" s="413" t="s">
        <v>8</v>
      </c>
      <c r="E110" s="413" t="s">
        <v>762</v>
      </c>
      <c r="F110" s="413" t="s">
        <v>11</v>
      </c>
      <c r="G110" s="413" t="s">
        <v>24</v>
      </c>
      <c r="H110" s="413" t="s">
        <v>25</v>
      </c>
      <c r="I110" s="1066" t="s">
        <v>567</v>
      </c>
      <c r="J110" s="414" t="str">
        <f t="shared" si="1"/>
        <v>A-1Compra de ViviendaCasco AntiguoResidencialUsadaApartamentoBG000000030000.00</v>
      </c>
      <c r="K110" s="1047">
        <v>30000</v>
      </c>
      <c r="L110" s="1047">
        <v>99999999</v>
      </c>
      <c r="M110" s="1050">
        <v>80</v>
      </c>
      <c r="N110" s="1046">
        <v>30</v>
      </c>
      <c r="O110" s="1050">
        <v>3.5</v>
      </c>
      <c r="P110" s="1050">
        <v>8.56</v>
      </c>
    </row>
    <row r="111" spans="2:16" x14ac:dyDescent="0.25">
      <c r="B111" s="415">
        <v>110</v>
      </c>
      <c r="C111" s="595" t="s">
        <v>967</v>
      </c>
      <c r="D111" s="413" t="s">
        <v>8</v>
      </c>
      <c r="E111" s="413" t="s">
        <v>762</v>
      </c>
      <c r="F111" s="413" t="s">
        <v>11</v>
      </c>
      <c r="G111" s="413" t="s">
        <v>24</v>
      </c>
      <c r="H111" s="413" t="s">
        <v>25</v>
      </c>
      <c r="I111" s="1066" t="s">
        <v>913</v>
      </c>
      <c r="J111" s="414" t="str">
        <f t="shared" si="1"/>
        <v>A-1Compra de ViviendaCasco AntiguoResidencialUsadaApartamentoCOPA000000030000.00</v>
      </c>
      <c r="K111" s="1047">
        <v>30000</v>
      </c>
      <c r="L111" s="1047">
        <v>99999999</v>
      </c>
      <c r="M111" s="1050">
        <v>80</v>
      </c>
      <c r="N111" s="1046">
        <v>30</v>
      </c>
      <c r="O111" s="1050">
        <v>3.25</v>
      </c>
      <c r="P111" s="1050">
        <v>8.56</v>
      </c>
    </row>
    <row r="112" spans="2:16" x14ac:dyDescent="0.25">
      <c r="B112" s="412">
        <v>111</v>
      </c>
      <c r="C112" s="595" t="s">
        <v>967</v>
      </c>
      <c r="D112" s="413" t="s">
        <v>8</v>
      </c>
      <c r="E112" s="413" t="s">
        <v>762</v>
      </c>
      <c r="F112" s="413" t="s">
        <v>11</v>
      </c>
      <c r="G112" s="413" t="s">
        <v>24</v>
      </c>
      <c r="H112" s="413" t="s">
        <v>25</v>
      </c>
      <c r="I112" s="1066" t="s">
        <v>173</v>
      </c>
      <c r="J112" s="414" t="str">
        <f t="shared" si="1"/>
        <v>A-1Compra de ViviendaCasco AntiguoResidencialUsadaApartamentoFERIA000000030000.00</v>
      </c>
      <c r="K112" s="1047">
        <v>30000</v>
      </c>
      <c r="L112" s="1047">
        <v>99999999</v>
      </c>
      <c r="M112" s="1050">
        <v>80</v>
      </c>
      <c r="N112" s="1046">
        <v>30</v>
      </c>
      <c r="O112" s="1050">
        <v>3.5</v>
      </c>
      <c r="P112" s="1050">
        <v>4.28</v>
      </c>
    </row>
    <row r="113" spans="2:16" x14ac:dyDescent="0.25">
      <c r="B113" s="415">
        <v>112</v>
      </c>
      <c r="C113" s="595" t="s">
        <v>967</v>
      </c>
      <c r="D113" s="413" t="s">
        <v>8</v>
      </c>
      <c r="E113" s="413" t="s">
        <v>762</v>
      </c>
      <c r="F113" s="413" t="s">
        <v>11</v>
      </c>
      <c r="G113" s="413" t="s">
        <v>24</v>
      </c>
      <c r="H113" s="413" t="s">
        <v>22</v>
      </c>
      <c r="I113" s="1066" t="s">
        <v>567</v>
      </c>
      <c r="J113" s="414" t="str">
        <f t="shared" si="1"/>
        <v>A-1Compra de ViviendaCasco AntiguoResidencialUsadaCasaBG000000030000.00</v>
      </c>
      <c r="K113" s="1047">
        <v>30000</v>
      </c>
      <c r="L113" s="1047">
        <v>99999999</v>
      </c>
      <c r="M113" s="1050">
        <v>80</v>
      </c>
      <c r="N113" s="1046">
        <v>30</v>
      </c>
      <c r="O113" s="1050">
        <v>3.5</v>
      </c>
      <c r="P113" s="1050">
        <v>8.56</v>
      </c>
    </row>
    <row r="114" spans="2:16" x14ac:dyDescent="0.25">
      <c r="B114" s="415">
        <v>113</v>
      </c>
      <c r="C114" s="595" t="s">
        <v>967</v>
      </c>
      <c r="D114" s="413" t="s">
        <v>8</v>
      </c>
      <c r="E114" s="413" t="s">
        <v>762</v>
      </c>
      <c r="F114" s="413" t="s">
        <v>11</v>
      </c>
      <c r="G114" s="413" t="s">
        <v>24</v>
      </c>
      <c r="H114" s="413" t="s">
        <v>22</v>
      </c>
      <c r="I114" s="1066" t="s">
        <v>913</v>
      </c>
      <c r="J114" s="414" t="str">
        <f t="shared" si="1"/>
        <v>A-1Compra de ViviendaCasco AntiguoResidencialUsadaCasaCOPA000000030000.00</v>
      </c>
      <c r="K114" s="1047">
        <v>30000</v>
      </c>
      <c r="L114" s="1047">
        <v>99999999</v>
      </c>
      <c r="M114" s="1050">
        <v>80</v>
      </c>
      <c r="N114" s="1046">
        <v>30</v>
      </c>
      <c r="O114" s="1050">
        <v>3.25</v>
      </c>
      <c r="P114" s="1050">
        <v>8.56</v>
      </c>
    </row>
    <row r="115" spans="2:16" x14ac:dyDescent="0.25">
      <c r="B115" s="415">
        <v>114</v>
      </c>
      <c r="C115" s="595" t="s">
        <v>967</v>
      </c>
      <c r="D115" s="413" t="s">
        <v>8</v>
      </c>
      <c r="E115" s="413" t="s">
        <v>762</v>
      </c>
      <c r="F115" s="413" t="s">
        <v>11</v>
      </c>
      <c r="G115" s="413" t="s">
        <v>24</v>
      </c>
      <c r="H115" s="413" t="s">
        <v>22</v>
      </c>
      <c r="I115" s="1066" t="s">
        <v>173</v>
      </c>
      <c r="J115" s="414" t="str">
        <f t="shared" si="1"/>
        <v>A-1Compra de ViviendaCasco AntiguoResidencialUsadaCasaFERIA000000030000.00</v>
      </c>
      <c r="K115" s="1047">
        <v>30000</v>
      </c>
      <c r="L115" s="1047">
        <v>99999999</v>
      </c>
      <c r="M115" s="1050">
        <v>80</v>
      </c>
      <c r="N115" s="1046">
        <v>30</v>
      </c>
      <c r="O115" s="1050">
        <v>3.5</v>
      </c>
      <c r="P115" s="1050">
        <v>4.28</v>
      </c>
    </row>
    <row r="116" spans="2:16" x14ac:dyDescent="0.25">
      <c r="B116" s="415">
        <v>115</v>
      </c>
      <c r="C116" s="1374" t="s">
        <v>967</v>
      </c>
      <c r="D116" s="413" t="s">
        <v>8</v>
      </c>
      <c r="E116" s="413" t="s">
        <v>17</v>
      </c>
      <c r="F116" s="413" t="s">
        <v>752</v>
      </c>
      <c r="G116" s="413" t="s">
        <v>24</v>
      </c>
      <c r="H116" s="413" t="s">
        <v>25</v>
      </c>
      <c r="I116" s="1066" t="s">
        <v>567</v>
      </c>
      <c r="J116" s="414" t="str">
        <f t="shared" si="1"/>
        <v>A-1Compra de ViviendaIndividualReposeído (BG)UsadaApartamentoBG000000030000.00</v>
      </c>
      <c r="K116" s="1047">
        <v>30000</v>
      </c>
      <c r="L116" s="1047">
        <v>250000</v>
      </c>
      <c r="M116" s="1050">
        <v>90</v>
      </c>
      <c r="N116" s="1046">
        <v>25</v>
      </c>
      <c r="O116" s="1050">
        <v>6</v>
      </c>
      <c r="P116" s="1050">
        <v>8.56</v>
      </c>
    </row>
    <row r="117" spans="2:16" x14ac:dyDescent="0.25">
      <c r="B117" s="412">
        <v>116</v>
      </c>
      <c r="C117" s="1374" t="s">
        <v>967</v>
      </c>
      <c r="D117" s="413" t="s">
        <v>8</v>
      </c>
      <c r="E117" s="413" t="s">
        <v>17</v>
      </c>
      <c r="F117" s="413" t="s">
        <v>752</v>
      </c>
      <c r="G117" s="413" t="s">
        <v>24</v>
      </c>
      <c r="H117" s="413" t="s">
        <v>25</v>
      </c>
      <c r="I117" s="1066" t="s">
        <v>567</v>
      </c>
      <c r="J117" s="414" t="str">
        <f t="shared" si="1"/>
        <v>A-1Compra de ViviendaIndividualReposeído (BG)UsadaApartamentoBG000000250000.01</v>
      </c>
      <c r="K117" s="1047">
        <v>250000.01</v>
      </c>
      <c r="L117" s="1047">
        <v>500000</v>
      </c>
      <c r="M117" s="1050">
        <v>90</v>
      </c>
      <c r="N117" s="1046">
        <v>25</v>
      </c>
      <c r="O117" s="1050">
        <v>6</v>
      </c>
      <c r="P117" s="1050">
        <v>8.56</v>
      </c>
    </row>
    <row r="118" spans="2:16" x14ac:dyDescent="0.25">
      <c r="B118" s="415">
        <v>117</v>
      </c>
      <c r="C118" s="1374" t="s">
        <v>967</v>
      </c>
      <c r="D118" s="413" t="s">
        <v>8</v>
      </c>
      <c r="E118" s="413" t="s">
        <v>17</v>
      </c>
      <c r="F118" s="413" t="s">
        <v>752</v>
      </c>
      <c r="G118" s="413" t="s">
        <v>24</v>
      </c>
      <c r="H118" s="413" t="s">
        <v>25</v>
      </c>
      <c r="I118" s="1066" t="s">
        <v>567</v>
      </c>
      <c r="J118" s="414" t="str">
        <f t="shared" si="1"/>
        <v>A-1Compra de ViviendaIndividualReposeído (BG)UsadaApartamentoBG000000500000.01</v>
      </c>
      <c r="K118" s="1047">
        <v>500000.01</v>
      </c>
      <c r="L118" s="1047">
        <v>99999999</v>
      </c>
      <c r="M118" s="1050">
        <v>90</v>
      </c>
      <c r="N118" s="1046">
        <v>25</v>
      </c>
      <c r="O118" s="1050">
        <v>6</v>
      </c>
      <c r="P118" s="1050">
        <v>8.56</v>
      </c>
    </row>
    <row r="119" spans="2:16" x14ac:dyDescent="0.25">
      <c r="B119" s="415">
        <v>118</v>
      </c>
      <c r="C119" s="595" t="s">
        <v>967</v>
      </c>
      <c r="D119" s="413" t="s">
        <v>8</v>
      </c>
      <c r="E119" s="413" t="s">
        <v>17</v>
      </c>
      <c r="F119" s="413" t="s">
        <v>752</v>
      </c>
      <c r="G119" s="413" t="s">
        <v>24</v>
      </c>
      <c r="H119" s="413" t="s">
        <v>25</v>
      </c>
      <c r="I119" s="1066" t="s">
        <v>913</v>
      </c>
      <c r="J119" s="414" t="str">
        <f t="shared" si="1"/>
        <v>A-1Compra de ViviendaIndividualReposeído (BG)UsadaApartamentoCOPA000000030000.00</v>
      </c>
      <c r="K119" s="1047">
        <v>30000</v>
      </c>
      <c r="L119" s="1047">
        <v>250000</v>
      </c>
      <c r="M119" s="1050">
        <v>98</v>
      </c>
      <c r="N119" s="1046">
        <v>30</v>
      </c>
      <c r="O119" s="1050">
        <v>5.5</v>
      </c>
      <c r="P119" s="1050">
        <v>8.56</v>
      </c>
    </row>
    <row r="120" spans="2:16" x14ac:dyDescent="0.25">
      <c r="B120" s="415">
        <v>119</v>
      </c>
      <c r="C120" s="595" t="s">
        <v>967</v>
      </c>
      <c r="D120" s="413" t="s">
        <v>8</v>
      </c>
      <c r="E120" s="413" t="s">
        <v>17</v>
      </c>
      <c r="F120" s="413" t="s">
        <v>752</v>
      </c>
      <c r="G120" s="413" t="s">
        <v>24</v>
      </c>
      <c r="H120" s="413" t="s">
        <v>25</v>
      </c>
      <c r="I120" s="1066" t="s">
        <v>913</v>
      </c>
      <c r="J120" s="414" t="str">
        <f t="shared" si="1"/>
        <v>A-1Compra de ViviendaIndividualReposeído (BG)UsadaApartamentoCOPA000000250000.01</v>
      </c>
      <c r="K120" s="1047">
        <v>250000.01</v>
      </c>
      <c r="L120" s="1047">
        <v>500000</v>
      </c>
      <c r="M120" s="1050">
        <v>90</v>
      </c>
      <c r="N120" s="1046">
        <v>30</v>
      </c>
      <c r="O120" s="1050">
        <v>5.5</v>
      </c>
      <c r="P120" s="1050">
        <v>8.56</v>
      </c>
    </row>
    <row r="121" spans="2:16" x14ac:dyDescent="0.25">
      <c r="B121" s="415">
        <v>120</v>
      </c>
      <c r="C121" s="595" t="s">
        <v>967</v>
      </c>
      <c r="D121" s="413" t="s">
        <v>8</v>
      </c>
      <c r="E121" s="413" t="s">
        <v>17</v>
      </c>
      <c r="F121" s="413" t="s">
        <v>752</v>
      </c>
      <c r="G121" s="413" t="s">
        <v>24</v>
      </c>
      <c r="H121" s="413" t="s">
        <v>25</v>
      </c>
      <c r="I121" s="1066" t="s">
        <v>913</v>
      </c>
      <c r="J121" s="414" t="str">
        <f t="shared" si="1"/>
        <v>A-1Compra de ViviendaIndividualReposeído (BG)UsadaApartamentoCOPA000000500000.01</v>
      </c>
      <c r="K121" s="1047">
        <v>500000.01</v>
      </c>
      <c r="L121" s="1047">
        <v>99999999</v>
      </c>
      <c r="M121" s="1050">
        <v>70</v>
      </c>
      <c r="N121" s="1046">
        <v>30</v>
      </c>
      <c r="O121" s="1050">
        <v>5.25</v>
      </c>
      <c r="P121" s="1050">
        <v>8.56</v>
      </c>
    </row>
    <row r="122" spans="2:16" x14ac:dyDescent="0.25">
      <c r="B122" s="412">
        <v>121</v>
      </c>
      <c r="C122" s="595" t="s">
        <v>967</v>
      </c>
      <c r="D122" s="413" t="s">
        <v>8</v>
      </c>
      <c r="E122" s="413" t="s">
        <v>17</v>
      </c>
      <c r="F122" s="413" t="s">
        <v>752</v>
      </c>
      <c r="G122" s="413" t="s">
        <v>24</v>
      </c>
      <c r="H122" s="413" t="s">
        <v>25</v>
      </c>
      <c r="I122" s="1066" t="s">
        <v>173</v>
      </c>
      <c r="J122" s="414" t="str">
        <f t="shared" si="1"/>
        <v>A-1Compra de ViviendaIndividualReposeído (BG)UsadaApartamentoFERIA000000030000.00</v>
      </c>
      <c r="K122" s="1047">
        <v>30000</v>
      </c>
      <c r="L122" s="1047">
        <v>250000</v>
      </c>
      <c r="M122" s="1050">
        <v>98</v>
      </c>
      <c r="N122" s="1046">
        <v>30</v>
      </c>
      <c r="O122" s="1050">
        <v>6</v>
      </c>
      <c r="P122" s="1050">
        <v>8.56</v>
      </c>
    </row>
    <row r="123" spans="2:16" x14ac:dyDescent="0.25">
      <c r="B123" s="415">
        <v>122</v>
      </c>
      <c r="C123" s="595" t="s">
        <v>967</v>
      </c>
      <c r="D123" s="413" t="s">
        <v>8</v>
      </c>
      <c r="E123" s="413" t="s">
        <v>17</v>
      </c>
      <c r="F123" s="413" t="s">
        <v>752</v>
      </c>
      <c r="G123" s="413" t="s">
        <v>24</v>
      </c>
      <c r="H123" s="413" t="s">
        <v>25</v>
      </c>
      <c r="I123" s="1066" t="s">
        <v>173</v>
      </c>
      <c r="J123" s="414" t="str">
        <f t="shared" si="1"/>
        <v>A-1Compra de ViviendaIndividualReposeído (BG)UsadaApartamentoFERIA000000250000.01</v>
      </c>
      <c r="K123" s="1047">
        <v>250000.01</v>
      </c>
      <c r="L123" s="1047">
        <v>500000</v>
      </c>
      <c r="M123" s="1050">
        <v>95</v>
      </c>
      <c r="N123" s="1046">
        <v>30</v>
      </c>
      <c r="O123" s="1050">
        <v>6</v>
      </c>
      <c r="P123" s="1050">
        <v>8.56</v>
      </c>
    </row>
    <row r="124" spans="2:16" x14ac:dyDescent="0.25">
      <c r="B124" s="415">
        <v>123</v>
      </c>
      <c r="C124" s="595" t="s">
        <v>967</v>
      </c>
      <c r="D124" s="413" t="s">
        <v>8</v>
      </c>
      <c r="E124" s="413" t="s">
        <v>17</v>
      </c>
      <c r="F124" s="413" t="s">
        <v>752</v>
      </c>
      <c r="G124" s="413" t="s">
        <v>24</v>
      </c>
      <c r="H124" s="413" t="s">
        <v>25</v>
      </c>
      <c r="I124" s="1066" t="s">
        <v>173</v>
      </c>
      <c r="J124" s="414" t="str">
        <f t="shared" si="1"/>
        <v>A-1Compra de ViviendaIndividualReposeído (BG)UsadaApartamentoFERIA000000500000.01</v>
      </c>
      <c r="K124" s="1047">
        <v>500000.01</v>
      </c>
      <c r="L124" s="1047">
        <v>99999999</v>
      </c>
      <c r="M124" s="1050">
        <v>95</v>
      </c>
      <c r="N124" s="1046">
        <v>30</v>
      </c>
      <c r="O124" s="1050">
        <v>6</v>
      </c>
      <c r="P124" s="1050">
        <v>8.56</v>
      </c>
    </row>
    <row r="125" spans="2:16" x14ac:dyDescent="0.25">
      <c r="B125" s="415">
        <v>124</v>
      </c>
      <c r="C125" s="1374" t="s">
        <v>967</v>
      </c>
      <c r="D125" s="413" t="s">
        <v>8</v>
      </c>
      <c r="E125" s="413" t="s">
        <v>17</v>
      </c>
      <c r="F125" s="413" t="s">
        <v>752</v>
      </c>
      <c r="G125" s="413" t="s">
        <v>24</v>
      </c>
      <c r="H125" s="413" t="s">
        <v>22</v>
      </c>
      <c r="I125" s="1066" t="s">
        <v>567</v>
      </c>
      <c r="J125" s="414" t="str">
        <f t="shared" si="1"/>
        <v>A-1Compra de ViviendaIndividualReposeído (BG)UsadaCasaBG000000030000.00</v>
      </c>
      <c r="K125" s="1047">
        <v>30000</v>
      </c>
      <c r="L125" s="1047">
        <v>250000</v>
      </c>
      <c r="M125" s="1050">
        <v>90</v>
      </c>
      <c r="N125" s="1046">
        <v>25</v>
      </c>
      <c r="O125" s="1050">
        <v>6</v>
      </c>
      <c r="P125" s="1050">
        <v>8.56</v>
      </c>
    </row>
    <row r="126" spans="2:16" x14ac:dyDescent="0.25">
      <c r="B126" s="415">
        <v>125</v>
      </c>
      <c r="C126" s="1374" t="s">
        <v>967</v>
      </c>
      <c r="D126" s="413" t="s">
        <v>8</v>
      </c>
      <c r="E126" s="413" t="s">
        <v>17</v>
      </c>
      <c r="F126" s="413" t="s">
        <v>752</v>
      </c>
      <c r="G126" s="413" t="s">
        <v>24</v>
      </c>
      <c r="H126" s="413" t="s">
        <v>22</v>
      </c>
      <c r="I126" s="1066" t="s">
        <v>567</v>
      </c>
      <c r="J126" s="414" t="str">
        <f t="shared" si="1"/>
        <v>A-1Compra de ViviendaIndividualReposeído (BG)UsadaCasaBG000000250000.01</v>
      </c>
      <c r="K126" s="1047">
        <v>250000.01</v>
      </c>
      <c r="L126" s="1047">
        <v>500000</v>
      </c>
      <c r="M126" s="1050">
        <v>90</v>
      </c>
      <c r="N126" s="1046">
        <v>25</v>
      </c>
      <c r="O126" s="1050">
        <v>6</v>
      </c>
      <c r="P126" s="1050">
        <v>8.56</v>
      </c>
    </row>
    <row r="127" spans="2:16" x14ac:dyDescent="0.25">
      <c r="B127" s="412">
        <v>126</v>
      </c>
      <c r="C127" s="1374" t="s">
        <v>967</v>
      </c>
      <c r="D127" s="413" t="s">
        <v>8</v>
      </c>
      <c r="E127" s="413" t="s">
        <v>17</v>
      </c>
      <c r="F127" s="413" t="s">
        <v>752</v>
      </c>
      <c r="G127" s="413" t="s">
        <v>24</v>
      </c>
      <c r="H127" s="413" t="s">
        <v>22</v>
      </c>
      <c r="I127" s="1066" t="s">
        <v>567</v>
      </c>
      <c r="J127" s="414" t="str">
        <f t="shared" si="1"/>
        <v>A-1Compra de ViviendaIndividualReposeído (BG)UsadaCasaBG000000500000.01</v>
      </c>
      <c r="K127" s="1047">
        <v>500000.01</v>
      </c>
      <c r="L127" s="1047">
        <v>99999999</v>
      </c>
      <c r="M127" s="1050">
        <v>90</v>
      </c>
      <c r="N127" s="1046">
        <v>25</v>
      </c>
      <c r="O127" s="1050">
        <v>6</v>
      </c>
      <c r="P127" s="1050">
        <v>8.56</v>
      </c>
    </row>
    <row r="128" spans="2:16" x14ac:dyDescent="0.25">
      <c r="B128" s="415">
        <v>127</v>
      </c>
      <c r="C128" s="595" t="s">
        <v>967</v>
      </c>
      <c r="D128" s="413" t="s">
        <v>8</v>
      </c>
      <c r="E128" s="413" t="s">
        <v>17</v>
      </c>
      <c r="F128" s="413" t="s">
        <v>752</v>
      </c>
      <c r="G128" s="413" t="s">
        <v>24</v>
      </c>
      <c r="H128" s="413" t="s">
        <v>22</v>
      </c>
      <c r="I128" s="1066" t="s">
        <v>913</v>
      </c>
      <c r="J128" s="414" t="str">
        <f t="shared" si="1"/>
        <v>A-1Compra de ViviendaIndividualReposeído (BG)UsadaCasaCOPA000000030000.00</v>
      </c>
      <c r="K128" s="1047">
        <v>30000</v>
      </c>
      <c r="L128" s="1047">
        <v>250000</v>
      </c>
      <c r="M128" s="1050">
        <v>98</v>
      </c>
      <c r="N128" s="1046">
        <v>30</v>
      </c>
      <c r="O128" s="1050">
        <v>5.5</v>
      </c>
      <c r="P128" s="1050">
        <v>8.56</v>
      </c>
    </row>
    <row r="129" spans="2:16" x14ac:dyDescent="0.25">
      <c r="B129" s="415">
        <v>128</v>
      </c>
      <c r="C129" s="595" t="s">
        <v>967</v>
      </c>
      <c r="D129" s="413" t="s">
        <v>8</v>
      </c>
      <c r="E129" s="413" t="s">
        <v>17</v>
      </c>
      <c r="F129" s="413" t="s">
        <v>752</v>
      </c>
      <c r="G129" s="413" t="s">
        <v>24</v>
      </c>
      <c r="H129" s="413" t="s">
        <v>22</v>
      </c>
      <c r="I129" s="1066" t="s">
        <v>913</v>
      </c>
      <c r="J129" s="414" t="str">
        <f t="shared" si="1"/>
        <v>A-1Compra de ViviendaIndividualReposeído (BG)UsadaCasaCOPA000000250000.01</v>
      </c>
      <c r="K129" s="1047">
        <v>250000.01</v>
      </c>
      <c r="L129" s="1047">
        <v>500000</v>
      </c>
      <c r="M129" s="1050">
        <v>90</v>
      </c>
      <c r="N129" s="1046">
        <v>30</v>
      </c>
      <c r="O129" s="1050">
        <v>5.5</v>
      </c>
      <c r="P129" s="1050">
        <v>8.56</v>
      </c>
    </row>
    <row r="130" spans="2:16" x14ac:dyDescent="0.25">
      <c r="B130" s="415">
        <v>129</v>
      </c>
      <c r="C130" s="595" t="s">
        <v>967</v>
      </c>
      <c r="D130" s="413" t="s">
        <v>8</v>
      </c>
      <c r="E130" s="413" t="s">
        <v>17</v>
      </c>
      <c r="F130" s="413" t="s">
        <v>752</v>
      </c>
      <c r="G130" s="413" t="s">
        <v>24</v>
      </c>
      <c r="H130" s="413" t="s">
        <v>22</v>
      </c>
      <c r="I130" s="1066" t="s">
        <v>913</v>
      </c>
      <c r="J130" s="414" t="str">
        <f t="shared" ref="J130:J193" si="2">C130&amp;D130&amp;E130&amp;F130&amp;G130&amp;H130&amp;I130 &amp; REPT("0",15-LEN(K130 &amp; IF(IFERROR(FIND(".",K130&amp;""),0)=0,".00","")))&amp;K130 &amp; IF(IFERROR(FIND(".",K130&amp;""),0)=0,".00","")</f>
        <v>A-1Compra de ViviendaIndividualReposeído (BG)UsadaCasaCOPA000000500000.01</v>
      </c>
      <c r="K130" s="1047">
        <v>500000.01</v>
      </c>
      <c r="L130" s="1047">
        <v>99999999</v>
      </c>
      <c r="M130" s="1050">
        <v>70</v>
      </c>
      <c r="N130" s="1046">
        <v>30</v>
      </c>
      <c r="O130" s="1050">
        <v>5.25</v>
      </c>
      <c r="P130" s="1050">
        <v>8.56</v>
      </c>
    </row>
    <row r="131" spans="2:16" x14ac:dyDescent="0.25">
      <c r="B131" s="415">
        <v>130</v>
      </c>
      <c r="C131" s="595" t="s">
        <v>967</v>
      </c>
      <c r="D131" s="413" t="s">
        <v>8</v>
      </c>
      <c r="E131" s="413" t="s">
        <v>17</v>
      </c>
      <c r="F131" s="413" t="s">
        <v>752</v>
      </c>
      <c r="G131" s="413" t="s">
        <v>24</v>
      </c>
      <c r="H131" s="413" t="s">
        <v>22</v>
      </c>
      <c r="I131" s="1066" t="s">
        <v>173</v>
      </c>
      <c r="J131" s="414" t="str">
        <f t="shared" si="2"/>
        <v>A-1Compra de ViviendaIndividualReposeído (BG)UsadaCasaFERIA000000030000.00</v>
      </c>
      <c r="K131" s="1047">
        <v>30000</v>
      </c>
      <c r="L131" s="1047">
        <v>250000</v>
      </c>
      <c r="M131" s="1050">
        <v>98</v>
      </c>
      <c r="N131" s="1046">
        <v>30</v>
      </c>
      <c r="O131" s="1050">
        <v>6</v>
      </c>
      <c r="P131" s="1050">
        <v>8.56</v>
      </c>
    </row>
    <row r="132" spans="2:16" x14ac:dyDescent="0.25">
      <c r="B132" s="412">
        <v>131</v>
      </c>
      <c r="C132" s="595" t="s">
        <v>967</v>
      </c>
      <c r="D132" s="413" t="s">
        <v>8</v>
      </c>
      <c r="E132" s="413" t="s">
        <v>17</v>
      </c>
      <c r="F132" s="413" t="s">
        <v>752</v>
      </c>
      <c r="G132" s="413" t="s">
        <v>24</v>
      </c>
      <c r="H132" s="413" t="s">
        <v>22</v>
      </c>
      <c r="I132" s="1066" t="s">
        <v>173</v>
      </c>
      <c r="J132" s="414" t="str">
        <f t="shared" si="2"/>
        <v>A-1Compra de ViviendaIndividualReposeído (BG)UsadaCasaFERIA000000250000.01</v>
      </c>
      <c r="K132" s="1047">
        <v>250000.01</v>
      </c>
      <c r="L132" s="1047">
        <v>500000</v>
      </c>
      <c r="M132" s="1050">
        <v>95</v>
      </c>
      <c r="N132" s="1046">
        <v>30</v>
      </c>
      <c r="O132" s="1050">
        <v>6</v>
      </c>
      <c r="P132" s="1050">
        <v>8.56</v>
      </c>
    </row>
    <row r="133" spans="2:16" x14ac:dyDescent="0.25">
      <c r="B133" s="415">
        <v>132</v>
      </c>
      <c r="C133" s="595" t="s">
        <v>967</v>
      </c>
      <c r="D133" s="413" t="s">
        <v>8</v>
      </c>
      <c r="E133" s="413" t="s">
        <v>17</v>
      </c>
      <c r="F133" s="413" t="s">
        <v>752</v>
      </c>
      <c r="G133" s="413" t="s">
        <v>24</v>
      </c>
      <c r="H133" s="413" t="s">
        <v>22</v>
      </c>
      <c r="I133" s="1066" t="s">
        <v>173</v>
      </c>
      <c r="J133" s="414" t="str">
        <f t="shared" si="2"/>
        <v>A-1Compra de ViviendaIndividualReposeído (BG)UsadaCasaFERIA000000500000.01</v>
      </c>
      <c r="K133" s="1047">
        <v>500000.01</v>
      </c>
      <c r="L133" s="1047">
        <v>99999999</v>
      </c>
      <c r="M133" s="1050">
        <v>95</v>
      </c>
      <c r="N133" s="1046">
        <v>30</v>
      </c>
      <c r="O133" s="1050">
        <v>6</v>
      </c>
      <c r="P133" s="1050">
        <v>8.56</v>
      </c>
    </row>
    <row r="134" spans="2:16" x14ac:dyDescent="0.25">
      <c r="B134" s="415">
        <v>133</v>
      </c>
      <c r="C134" s="1374" t="s">
        <v>967</v>
      </c>
      <c r="D134" s="413" t="s">
        <v>8</v>
      </c>
      <c r="E134" s="413" t="s">
        <v>17</v>
      </c>
      <c r="F134" s="413" t="s">
        <v>11</v>
      </c>
      <c r="G134" s="413" t="s">
        <v>21</v>
      </c>
      <c r="H134" s="413" t="s">
        <v>25</v>
      </c>
      <c r="I134" s="1066" t="s">
        <v>567</v>
      </c>
      <c r="J134" s="414" t="str">
        <f t="shared" si="2"/>
        <v>A-1Compra de ViviendaIndividualResidencialNuevaApartamentoBG000000030000.00</v>
      </c>
      <c r="K134" s="1047">
        <v>30000</v>
      </c>
      <c r="L134" s="1047">
        <v>100000</v>
      </c>
      <c r="M134" s="1050">
        <v>85</v>
      </c>
      <c r="N134" s="1046">
        <v>30</v>
      </c>
      <c r="O134" s="1050">
        <v>6</v>
      </c>
      <c r="P134" s="1050">
        <v>8.56</v>
      </c>
    </row>
    <row r="135" spans="2:16" x14ac:dyDescent="0.25">
      <c r="B135" s="415">
        <v>134</v>
      </c>
      <c r="C135" s="1374" t="s">
        <v>967</v>
      </c>
      <c r="D135" s="413" t="s">
        <v>8</v>
      </c>
      <c r="E135" s="413" t="s">
        <v>17</v>
      </c>
      <c r="F135" s="413" t="s">
        <v>11</v>
      </c>
      <c r="G135" s="413" t="s">
        <v>21</v>
      </c>
      <c r="H135" s="413" t="s">
        <v>25</v>
      </c>
      <c r="I135" s="1066" t="s">
        <v>567</v>
      </c>
      <c r="J135" s="414" t="str">
        <f t="shared" si="2"/>
        <v>A-1Compra de ViviendaIndividualResidencialNuevaApartamentoBG000000100000.01</v>
      </c>
      <c r="K135" s="1047">
        <v>100000.01</v>
      </c>
      <c r="L135" s="1047">
        <v>250000</v>
      </c>
      <c r="M135" s="1050">
        <v>85</v>
      </c>
      <c r="N135" s="1046">
        <v>30</v>
      </c>
      <c r="O135" s="1050">
        <v>6</v>
      </c>
      <c r="P135" s="1050">
        <v>8.56</v>
      </c>
    </row>
    <row r="136" spans="2:16" x14ac:dyDescent="0.25">
      <c r="B136" s="415">
        <v>135</v>
      </c>
      <c r="C136" s="1374" t="s">
        <v>967</v>
      </c>
      <c r="D136" s="413" t="s">
        <v>8</v>
      </c>
      <c r="E136" s="413" t="s">
        <v>17</v>
      </c>
      <c r="F136" s="413" t="s">
        <v>11</v>
      </c>
      <c r="G136" s="413" t="s">
        <v>21</v>
      </c>
      <c r="H136" s="413" t="s">
        <v>25</v>
      </c>
      <c r="I136" s="1066" t="s">
        <v>567</v>
      </c>
      <c r="J136" s="414" t="str">
        <f t="shared" si="2"/>
        <v>A-1Compra de ViviendaIndividualResidencialNuevaApartamentoBG000000250000.01</v>
      </c>
      <c r="K136" s="1047">
        <v>250000.01</v>
      </c>
      <c r="L136" s="1047">
        <v>600000</v>
      </c>
      <c r="M136" s="1050">
        <v>85</v>
      </c>
      <c r="N136" s="1046">
        <v>30</v>
      </c>
      <c r="O136" s="1050">
        <v>6</v>
      </c>
      <c r="P136" s="1050">
        <v>8.56</v>
      </c>
    </row>
    <row r="137" spans="2:16" x14ac:dyDescent="0.25">
      <c r="B137" s="412">
        <v>136</v>
      </c>
      <c r="C137" s="1374" t="s">
        <v>967</v>
      </c>
      <c r="D137" s="413" t="s">
        <v>8</v>
      </c>
      <c r="E137" s="413" t="s">
        <v>17</v>
      </c>
      <c r="F137" s="413" t="s">
        <v>11</v>
      </c>
      <c r="G137" s="413" t="s">
        <v>21</v>
      </c>
      <c r="H137" s="413" t="s">
        <v>25</v>
      </c>
      <c r="I137" s="1066" t="s">
        <v>567</v>
      </c>
      <c r="J137" s="414" t="str">
        <f t="shared" si="2"/>
        <v>A-1Compra de ViviendaIndividualResidencialNuevaApartamentoBG000000600000.01</v>
      </c>
      <c r="K137" s="1047">
        <v>600000.01</v>
      </c>
      <c r="L137" s="1047">
        <v>99999999</v>
      </c>
      <c r="M137" s="1050">
        <v>75</v>
      </c>
      <c r="N137" s="1046">
        <v>30</v>
      </c>
      <c r="O137" s="1050">
        <v>6</v>
      </c>
      <c r="P137" s="1050">
        <v>8.56</v>
      </c>
    </row>
    <row r="138" spans="2:16" x14ac:dyDescent="0.25">
      <c r="B138" s="415">
        <v>137</v>
      </c>
      <c r="C138" s="595" t="s">
        <v>967</v>
      </c>
      <c r="D138" s="413" t="s">
        <v>8</v>
      </c>
      <c r="E138" s="413" t="s">
        <v>17</v>
      </c>
      <c r="F138" s="413" t="s">
        <v>11</v>
      </c>
      <c r="G138" s="413" t="s">
        <v>21</v>
      </c>
      <c r="H138" s="413" t="s">
        <v>25</v>
      </c>
      <c r="I138" s="1066" t="s">
        <v>913</v>
      </c>
      <c r="J138" s="414" t="str">
        <f t="shared" si="2"/>
        <v>A-1Compra de ViviendaIndividualResidencialNuevaApartamentoCOPA000000030000.00</v>
      </c>
      <c r="K138" s="1047">
        <v>30000</v>
      </c>
      <c r="L138" s="1047">
        <v>100000</v>
      </c>
      <c r="M138" s="1050">
        <v>95</v>
      </c>
      <c r="N138" s="1046">
        <v>30</v>
      </c>
      <c r="O138" s="1050">
        <v>5.75</v>
      </c>
      <c r="P138" s="1050">
        <v>8.56</v>
      </c>
    </row>
    <row r="139" spans="2:16" x14ac:dyDescent="0.25">
      <c r="B139" s="415">
        <v>138</v>
      </c>
      <c r="C139" s="595" t="s">
        <v>967</v>
      </c>
      <c r="D139" s="413" t="s">
        <v>8</v>
      </c>
      <c r="E139" s="413" t="s">
        <v>17</v>
      </c>
      <c r="F139" s="413" t="s">
        <v>11</v>
      </c>
      <c r="G139" s="413" t="s">
        <v>21</v>
      </c>
      <c r="H139" s="413" t="s">
        <v>25</v>
      </c>
      <c r="I139" s="1066" t="s">
        <v>913</v>
      </c>
      <c r="J139" s="414" t="str">
        <f t="shared" si="2"/>
        <v>A-1Compra de ViviendaIndividualResidencialNuevaApartamentoCOPA000000100000.01</v>
      </c>
      <c r="K139" s="1047">
        <v>100000.01</v>
      </c>
      <c r="L139" s="1047">
        <v>200000</v>
      </c>
      <c r="M139" s="1050">
        <v>90</v>
      </c>
      <c r="N139" s="1046">
        <v>30</v>
      </c>
      <c r="O139" s="1050">
        <v>5.75</v>
      </c>
      <c r="P139" s="1050">
        <v>8.56</v>
      </c>
    </row>
    <row r="140" spans="2:16" x14ac:dyDescent="0.25">
      <c r="B140" s="415">
        <v>139</v>
      </c>
      <c r="C140" s="595" t="s">
        <v>967</v>
      </c>
      <c r="D140" s="413" t="s">
        <v>8</v>
      </c>
      <c r="E140" s="413" t="s">
        <v>17</v>
      </c>
      <c r="F140" s="413" t="s">
        <v>11</v>
      </c>
      <c r="G140" s="413" t="s">
        <v>21</v>
      </c>
      <c r="H140" s="413" t="s">
        <v>25</v>
      </c>
      <c r="I140" s="1066" t="s">
        <v>913</v>
      </c>
      <c r="J140" s="414" t="str">
        <f t="shared" si="2"/>
        <v>A-1Compra de ViviendaIndividualResidencialNuevaApartamentoCOPA000000200000.01</v>
      </c>
      <c r="K140" s="1047">
        <v>200000.01</v>
      </c>
      <c r="L140" s="1047">
        <v>600000</v>
      </c>
      <c r="M140" s="1050">
        <v>80</v>
      </c>
      <c r="N140" s="1046">
        <v>30</v>
      </c>
      <c r="O140" s="1050">
        <v>5.5</v>
      </c>
      <c r="P140" s="1050">
        <v>8.56</v>
      </c>
    </row>
    <row r="141" spans="2:16" x14ac:dyDescent="0.25">
      <c r="B141" s="415">
        <v>140</v>
      </c>
      <c r="C141" s="595" t="s">
        <v>967</v>
      </c>
      <c r="D141" s="413" t="s">
        <v>8</v>
      </c>
      <c r="E141" s="413" t="s">
        <v>17</v>
      </c>
      <c r="F141" s="413" t="s">
        <v>11</v>
      </c>
      <c r="G141" s="413" t="s">
        <v>21</v>
      </c>
      <c r="H141" s="413" t="s">
        <v>25</v>
      </c>
      <c r="I141" s="1066" t="s">
        <v>913</v>
      </c>
      <c r="J141" s="414" t="str">
        <f t="shared" si="2"/>
        <v>A-1Compra de ViviendaIndividualResidencialNuevaApartamentoCOPA000000600000.01</v>
      </c>
      <c r="K141" s="1047">
        <v>600000.01</v>
      </c>
      <c r="L141" s="1047">
        <v>99999999</v>
      </c>
      <c r="M141" s="1050">
        <v>70</v>
      </c>
      <c r="N141" s="1046">
        <v>30</v>
      </c>
      <c r="O141" s="1050">
        <v>5.25</v>
      </c>
      <c r="P141" s="1050">
        <v>8.56</v>
      </c>
    </row>
    <row r="142" spans="2:16" x14ac:dyDescent="0.25">
      <c r="B142" s="412">
        <v>141</v>
      </c>
      <c r="C142" s="595" t="s">
        <v>967</v>
      </c>
      <c r="D142" s="413" t="s">
        <v>8</v>
      </c>
      <c r="E142" s="413" t="s">
        <v>17</v>
      </c>
      <c r="F142" s="413" t="s">
        <v>11</v>
      </c>
      <c r="G142" s="413" t="s">
        <v>21</v>
      </c>
      <c r="H142" s="413" t="s">
        <v>25</v>
      </c>
      <c r="I142" s="1066" t="s">
        <v>173</v>
      </c>
      <c r="J142" s="414" t="str">
        <f t="shared" si="2"/>
        <v>A-1Compra de ViviendaIndividualResidencialNuevaApartamentoFERIA000000030000.00</v>
      </c>
      <c r="K142" s="1047">
        <v>30000</v>
      </c>
      <c r="L142" s="1047">
        <v>100000</v>
      </c>
      <c r="M142" s="1050">
        <v>95</v>
      </c>
      <c r="N142" s="1046">
        <v>30</v>
      </c>
      <c r="O142" s="1050">
        <v>6</v>
      </c>
      <c r="P142" s="1050">
        <v>8.56</v>
      </c>
    </row>
    <row r="143" spans="2:16" x14ac:dyDescent="0.25">
      <c r="B143" s="415">
        <v>142</v>
      </c>
      <c r="C143" s="595" t="s">
        <v>967</v>
      </c>
      <c r="D143" s="413" t="s">
        <v>8</v>
      </c>
      <c r="E143" s="413" t="s">
        <v>17</v>
      </c>
      <c r="F143" s="413" t="s">
        <v>11</v>
      </c>
      <c r="G143" s="413" t="s">
        <v>21</v>
      </c>
      <c r="H143" s="413" t="s">
        <v>25</v>
      </c>
      <c r="I143" s="1066" t="s">
        <v>173</v>
      </c>
      <c r="J143" s="414" t="str">
        <f t="shared" si="2"/>
        <v>A-1Compra de ViviendaIndividualResidencialNuevaApartamentoFERIA000000100000.01</v>
      </c>
      <c r="K143" s="1047">
        <v>100000.01</v>
      </c>
      <c r="L143" s="1047">
        <v>250000</v>
      </c>
      <c r="M143" s="1050">
        <v>90</v>
      </c>
      <c r="N143" s="1046">
        <v>30</v>
      </c>
      <c r="O143" s="1050">
        <v>6</v>
      </c>
      <c r="P143" s="1050">
        <v>8.56</v>
      </c>
    </row>
    <row r="144" spans="2:16" x14ac:dyDescent="0.25">
      <c r="B144" s="415">
        <v>143</v>
      </c>
      <c r="C144" s="595" t="s">
        <v>967</v>
      </c>
      <c r="D144" s="413" t="s">
        <v>8</v>
      </c>
      <c r="E144" s="413" t="s">
        <v>17</v>
      </c>
      <c r="F144" s="413" t="s">
        <v>11</v>
      </c>
      <c r="G144" s="413" t="s">
        <v>21</v>
      </c>
      <c r="H144" s="413" t="s">
        <v>25</v>
      </c>
      <c r="I144" s="1066" t="s">
        <v>173</v>
      </c>
      <c r="J144" s="414" t="str">
        <f t="shared" si="2"/>
        <v>A-1Compra de ViviendaIndividualResidencialNuevaApartamentoFERIA000000250000.01</v>
      </c>
      <c r="K144" s="1047">
        <v>250000.01</v>
      </c>
      <c r="L144" s="1047">
        <v>600000</v>
      </c>
      <c r="M144" s="1050">
        <v>80</v>
      </c>
      <c r="N144" s="1046">
        <v>30</v>
      </c>
      <c r="O144" s="1050">
        <v>6</v>
      </c>
      <c r="P144" s="1050">
        <v>8.56</v>
      </c>
    </row>
    <row r="145" spans="2:17" x14ac:dyDescent="0.25">
      <c r="B145" s="415">
        <v>144</v>
      </c>
      <c r="C145" s="595" t="s">
        <v>967</v>
      </c>
      <c r="D145" s="413" t="s">
        <v>8</v>
      </c>
      <c r="E145" s="413" t="s">
        <v>17</v>
      </c>
      <c r="F145" s="413" t="s">
        <v>11</v>
      </c>
      <c r="G145" s="413" t="s">
        <v>21</v>
      </c>
      <c r="H145" s="413" t="s">
        <v>25</v>
      </c>
      <c r="I145" s="1066" t="s">
        <v>173</v>
      </c>
      <c r="J145" s="414" t="str">
        <f t="shared" si="2"/>
        <v>A-1Compra de ViviendaIndividualResidencialNuevaApartamentoFERIA000000600000.01</v>
      </c>
      <c r="K145" s="1047">
        <v>600000.01</v>
      </c>
      <c r="L145" s="1047">
        <v>99999999</v>
      </c>
      <c r="M145" s="1050">
        <v>70</v>
      </c>
      <c r="N145" s="1046">
        <v>30</v>
      </c>
      <c r="O145" s="1050">
        <v>6</v>
      </c>
      <c r="P145" s="1050">
        <v>8.56</v>
      </c>
    </row>
    <row r="146" spans="2:17" x14ac:dyDescent="0.25">
      <c r="B146" s="415">
        <v>145</v>
      </c>
      <c r="C146" s="1374" t="s">
        <v>967</v>
      </c>
      <c r="D146" s="413" t="s">
        <v>8</v>
      </c>
      <c r="E146" s="413" t="s">
        <v>17</v>
      </c>
      <c r="F146" s="413" t="s">
        <v>11</v>
      </c>
      <c r="G146" s="413" t="s">
        <v>21</v>
      </c>
      <c r="H146" s="413" t="s">
        <v>22</v>
      </c>
      <c r="I146" s="1066" t="s">
        <v>567</v>
      </c>
      <c r="J146" s="414" t="str">
        <f t="shared" si="2"/>
        <v>A-1Compra de ViviendaIndividualResidencialNuevaCasaBG000000018000.00</v>
      </c>
      <c r="K146" s="1047">
        <v>18000</v>
      </c>
      <c r="L146" s="1047">
        <v>100000</v>
      </c>
      <c r="M146" s="1050">
        <v>85</v>
      </c>
      <c r="N146" s="1046">
        <v>30</v>
      </c>
      <c r="O146" s="1050">
        <v>6</v>
      </c>
      <c r="P146" s="1050">
        <v>8.56</v>
      </c>
    </row>
    <row r="147" spans="2:17" x14ac:dyDescent="0.25">
      <c r="B147" s="412">
        <v>146</v>
      </c>
      <c r="C147" s="1374" t="s">
        <v>967</v>
      </c>
      <c r="D147" s="413" t="s">
        <v>8</v>
      </c>
      <c r="E147" s="413" t="s">
        <v>17</v>
      </c>
      <c r="F147" s="413" t="s">
        <v>11</v>
      </c>
      <c r="G147" s="413" t="s">
        <v>21</v>
      </c>
      <c r="H147" s="413" t="s">
        <v>22</v>
      </c>
      <c r="I147" s="1066" t="s">
        <v>567</v>
      </c>
      <c r="J147" s="414" t="str">
        <f t="shared" si="2"/>
        <v>A-1Compra de ViviendaIndividualResidencialNuevaCasaBG000000100000.01</v>
      </c>
      <c r="K147" s="1047">
        <v>100000.01</v>
      </c>
      <c r="L147" s="1047">
        <v>250000</v>
      </c>
      <c r="M147" s="1050">
        <v>85</v>
      </c>
      <c r="N147" s="1046">
        <v>30</v>
      </c>
      <c r="O147" s="1050">
        <v>6</v>
      </c>
      <c r="P147" s="1050">
        <v>8.56</v>
      </c>
    </row>
    <row r="148" spans="2:17" x14ac:dyDescent="0.25">
      <c r="B148" s="415">
        <v>147</v>
      </c>
      <c r="C148" s="1374" t="s">
        <v>967</v>
      </c>
      <c r="D148" s="413" t="s">
        <v>8</v>
      </c>
      <c r="E148" s="413" t="s">
        <v>17</v>
      </c>
      <c r="F148" s="413" t="s">
        <v>11</v>
      </c>
      <c r="G148" s="413" t="s">
        <v>21</v>
      </c>
      <c r="H148" s="413" t="s">
        <v>22</v>
      </c>
      <c r="I148" s="1066" t="s">
        <v>567</v>
      </c>
      <c r="J148" s="414" t="str">
        <f t="shared" si="2"/>
        <v>A-1Compra de ViviendaIndividualResidencialNuevaCasaBG000000250000.01</v>
      </c>
      <c r="K148" s="1047">
        <v>250000.01</v>
      </c>
      <c r="L148" s="1047">
        <v>600000</v>
      </c>
      <c r="M148" s="1050">
        <v>85</v>
      </c>
      <c r="N148" s="1046">
        <v>30</v>
      </c>
      <c r="O148" s="1050">
        <v>6</v>
      </c>
      <c r="P148" s="1050">
        <v>8.56</v>
      </c>
    </row>
    <row r="149" spans="2:17" x14ac:dyDescent="0.25">
      <c r="B149" s="415">
        <v>148</v>
      </c>
      <c r="C149" s="1374" t="s">
        <v>967</v>
      </c>
      <c r="D149" s="413" t="s">
        <v>8</v>
      </c>
      <c r="E149" s="413" t="s">
        <v>17</v>
      </c>
      <c r="F149" s="413" t="s">
        <v>11</v>
      </c>
      <c r="G149" s="413" t="s">
        <v>21</v>
      </c>
      <c r="H149" s="413" t="s">
        <v>22</v>
      </c>
      <c r="I149" s="1066" t="s">
        <v>567</v>
      </c>
      <c r="J149" s="414" t="str">
        <f t="shared" si="2"/>
        <v>A-1Compra de ViviendaIndividualResidencialNuevaCasaBG000000600000.01</v>
      </c>
      <c r="K149" s="1047">
        <v>600000.01</v>
      </c>
      <c r="L149" s="1047">
        <v>99999999</v>
      </c>
      <c r="M149" s="1050">
        <v>75</v>
      </c>
      <c r="N149" s="1046">
        <v>30</v>
      </c>
      <c r="O149" s="1050">
        <v>6</v>
      </c>
      <c r="P149" s="1050">
        <v>8.56</v>
      </c>
    </row>
    <row r="150" spans="2:17" x14ac:dyDescent="0.25">
      <c r="B150" s="415">
        <v>149</v>
      </c>
      <c r="C150" s="595" t="s">
        <v>967</v>
      </c>
      <c r="D150" s="413" t="s">
        <v>8</v>
      </c>
      <c r="E150" s="413" t="s">
        <v>17</v>
      </c>
      <c r="F150" s="413" t="s">
        <v>11</v>
      </c>
      <c r="G150" s="413" t="s">
        <v>21</v>
      </c>
      <c r="H150" s="413" t="s">
        <v>22</v>
      </c>
      <c r="I150" s="1066" t="s">
        <v>913</v>
      </c>
      <c r="J150" s="414" t="str">
        <f t="shared" si="2"/>
        <v>A-1Compra de ViviendaIndividualResidencialNuevaCasaCOPA000000018000.00</v>
      </c>
      <c r="K150" s="1047">
        <v>18000</v>
      </c>
      <c r="L150" s="1047">
        <v>100000</v>
      </c>
      <c r="M150" s="1050">
        <v>95</v>
      </c>
      <c r="N150" s="1046">
        <v>30</v>
      </c>
      <c r="O150" s="1050">
        <v>5.75</v>
      </c>
      <c r="P150" s="1050">
        <v>8.56</v>
      </c>
    </row>
    <row r="151" spans="2:17" x14ac:dyDescent="0.25">
      <c r="B151" s="415">
        <v>150</v>
      </c>
      <c r="C151" s="595" t="s">
        <v>967</v>
      </c>
      <c r="D151" s="413" t="s">
        <v>8</v>
      </c>
      <c r="E151" s="413" t="s">
        <v>17</v>
      </c>
      <c r="F151" s="413" t="s">
        <v>11</v>
      </c>
      <c r="G151" s="413" t="s">
        <v>21</v>
      </c>
      <c r="H151" s="413" t="s">
        <v>22</v>
      </c>
      <c r="I151" s="1066" t="s">
        <v>913</v>
      </c>
      <c r="J151" s="414" t="str">
        <f t="shared" si="2"/>
        <v>A-1Compra de ViviendaIndividualResidencialNuevaCasaCOPA000000100000.01</v>
      </c>
      <c r="K151" s="1047">
        <v>100000.01</v>
      </c>
      <c r="L151" s="1047">
        <v>200000.01</v>
      </c>
      <c r="M151" s="1050">
        <v>90</v>
      </c>
      <c r="N151" s="1046">
        <v>30</v>
      </c>
      <c r="O151" s="1050">
        <v>5.75</v>
      </c>
      <c r="P151" s="1050">
        <v>8.56</v>
      </c>
    </row>
    <row r="152" spans="2:17" x14ac:dyDescent="0.25">
      <c r="B152" s="412">
        <v>151</v>
      </c>
      <c r="C152" s="595" t="s">
        <v>967</v>
      </c>
      <c r="D152" s="413" t="s">
        <v>8</v>
      </c>
      <c r="E152" s="413" t="s">
        <v>17</v>
      </c>
      <c r="F152" s="413" t="s">
        <v>11</v>
      </c>
      <c r="G152" s="413" t="s">
        <v>21</v>
      </c>
      <c r="H152" s="413" t="s">
        <v>22</v>
      </c>
      <c r="I152" s="1066" t="s">
        <v>913</v>
      </c>
      <c r="J152" s="414" t="str">
        <f t="shared" si="2"/>
        <v>A-1Compra de ViviendaIndividualResidencialNuevaCasaCOPA000000200000.01</v>
      </c>
      <c r="K152" s="1047">
        <v>200000.01</v>
      </c>
      <c r="L152" s="1047">
        <v>600000</v>
      </c>
      <c r="M152" s="1050">
        <v>80</v>
      </c>
      <c r="N152" s="1046">
        <v>30</v>
      </c>
      <c r="O152" s="1050">
        <v>5.5</v>
      </c>
      <c r="P152" s="1050">
        <v>8.56</v>
      </c>
    </row>
    <row r="153" spans="2:17" x14ac:dyDescent="0.25">
      <c r="B153" s="415">
        <v>152</v>
      </c>
      <c r="C153" s="595" t="s">
        <v>967</v>
      </c>
      <c r="D153" s="413" t="s">
        <v>8</v>
      </c>
      <c r="E153" s="413" t="s">
        <v>17</v>
      </c>
      <c r="F153" s="413" t="s">
        <v>11</v>
      </c>
      <c r="G153" s="413" t="s">
        <v>21</v>
      </c>
      <c r="H153" s="413" t="s">
        <v>22</v>
      </c>
      <c r="I153" s="1066" t="s">
        <v>913</v>
      </c>
      <c r="J153" s="414" t="str">
        <f t="shared" si="2"/>
        <v>A-1Compra de ViviendaIndividualResidencialNuevaCasaCOPA000000600000.01</v>
      </c>
      <c r="K153" s="1047">
        <v>600000.01</v>
      </c>
      <c r="L153" s="1047">
        <v>99999999</v>
      </c>
      <c r="M153" s="1050">
        <v>70</v>
      </c>
      <c r="N153" s="1046">
        <v>30</v>
      </c>
      <c r="O153" s="1050">
        <v>5.25</v>
      </c>
      <c r="P153" s="1050">
        <v>8.56</v>
      </c>
    </row>
    <row r="154" spans="2:17" x14ac:dyDescent="0.25">
      <c r="B154" s="415">
        <v>153</v>
      </c>
      <c r="C154" s="595" t="s">
        <v>967</v>
      </c>
      <c r="D154" s="413" t="s">
        <v>8</v>
      </c>
      <c r="E154" s="413" t="s">
        <v>17</v>
      </c>
      <c r="F154" s="413" t="s">
        <v>11</v>
      </c>
      <c r="G154" s="413" t="s">
        <v>21</v>
      </c>
      <c r="H154" s="413" t="s">
        <v>22</v>
      </c>
      <c r="I154" s="1066" t="s">
        <v>173</v>
      </c>
      <c r="J154" s="414" t="str">
        <f t="shared" si="2"/>
        <v>A-1Compra de ViviendaIndividualResidencialNuevaCasaFERIA000000000000.00</v>
      </c>
      <c r="K154" s="1051"/>
      <c r="L154" s="1051"/>
      <c r="M154" s="1052"/>
      <c r="N154" s="1052"/>
      <c r="O154" s="1050">
        <v>0</v>
      </c>
      <c r="P154" s="1050">
        <v>8.56</v>
      </c>
      <c r="Q154" s="319" t="s">
        <v>670</v>
      </c>
    </row>
    <row r="155" spans="2:17" x14ac:dyDescent="0.25">
      <c r="B155" s="415">
        <v>154</v>
      </c>
      <c r="C155" s="595" t="s">
        <v>967</v>
      </c>
      <c r="D155" s="413" t="s">
        <v>8</v>
      </c>
      <c r="E155" s="413" t="s">
        <v>17</v>
      </c>
      <c r="F155" s="413" t="s">
        <v>11</v>
      </c>
      <c r="G155" s="413" t="s">
        <v>21</v>
      </c>
      <c r="H155" s="413" t="s">
        <v>22</v>
      </c>
      <c r="I155" s="1066" t="s">
        <v>173</v>
      </c>
      <c r="J155" s="414" t="str">
        <f t="shared" si="2"/>
        <v>A-1Compra de ViviendaIndividualResidencialNuevaCasaFERIA000000018000.00</v>
      </c>
      <c r="K155" s="1047">
        <v>18000</v>
      </c>
      <c r="L155" s="1047">
        <v>100000</v>
      </c>
      <c r="M155" s="1050">
        <v>95</v>
      </c>
      <c r="N155" s="1046">
        <v>30</v>
      </c>
      <c r="O155" s="1050">
        <v>6</v>
      </c>
      <c r="P155" s="1050">
        <v>8.56</v>
      </c>
    </row>
    <row r="156" spans="2:17" x14ac:dyDescent="0.25">
      <c r="B156" s="415">
        <v>155</v>
      </c>
      <c r="C156" s="595" t="s">
        <v>967</v>
      </c>
      <c r="D156" s="413" t="s">
        <v>8</v>
      </c>
      <c r="E156" s="413" t="s">
        <v>17</v>
      </c>
      <c r="F156" s="413" t="s">
        <v>11</v>
      </c>
      <c r="G156" s="413" t="s">
        <v>21</v>
      </c>
      <c r="H156" s="413" t="s">
        <v>22</v>
      </c>
      <c r="I156" s="1066" t="s">
        <v>173</v>
      </c>
      <c r="J156" s="414" t="str">
        <f t="shared" si="2"/>
        <v>A-1Compra de ViviendaIndividualResidencialNuevaCasaFERIA000000100000.01</v>
      </c>
      <c r="K156" s="1047">
        <v>100000.01</v>
      </c>
      <c r="L156" s="1047">
        <v>250000</v>
      </c>
      <c r="M156" s="1050">
        <v>90</v>
      </c>
      <c r="N156" s="1046">
        <v>30</v>
      </c>
      <c r="O156" s="1050">
        <v>6</v>
      </c>
      <c r="P156" s="1050">
        <v>8.56</v>
      </c>
    </row>
    <row r="157" spans="2:17" x14ac:dyDescent="0.25">
      <c r="B157" s="412">
        <v>156</v>
      </c>
      <c r="C157" s="595" t="s">
        <v>967</v>
      </c>
      <c r="D157" s="413" t="s">
        <v>8</v>
      </c>
      <c r="E157" s="413" t="s">
        <v>17</v>
      </c>
      <c r="F157" s="413" t="s">
        <v>11</v>
      </c>
      <c r="G157" s="413" t="s">
        <v>21</v>
      </c>
      <c r="H157" s="413" t="s">
        <v>22</v>
      </c>
      <c r="I157" s="1066" t="s">
        <v>173</v>
      </c>
      <c r="J157" s="414" t="str">
        <f t="shared" si="2"/>
        <v>A-1Compra de ViviendaIndividualResidencialNuevaCasaFERIA000000250000.01</v>
      </c>
      <c r="K157" s="1047">
        <v>250000.01</v>
      </c>
      <c r="L157" s="1047">
        <v>600000</v>
      </c>
      <c r="M157" s="1050">
        <v>80</v>
      </c>
      <c r="N157" s="1046">
        <v>30</v>
      </c>
      <c r="O157" s="1050">
        <v>6</v>
      </c>
      <c r="P157" s="1050">
        <v>8.56</v>
      </c>
    </row>
    <row r="158" spans="2:17" x14ac:dyDescent="0.25">
      <c r="B158" s="415">
        <v>157</v>
      </c>
      <c r="C158" s="595" t="s">
        <v>967</v>
      </c>
      <c r="D158" s="413" t="s">
        <v>8</v>
      </c>
      <c r="E158" s="413" t="s">
        <v>17</v>
      </c>
      <c r="F158" s="413" t="s">
        <v>11</v>
      </c>
      <c r="G158" s="413" t="s">
        <v>21</v>
      </c>
      <c r="H158" s="413" t="s">
        <v>22</v>
      </c>
      <c r="I158" s="1066" t="s">
        <v>173</v>
      </c>
      <c r="J158" s="414" t="str">
        <f t="shared" si="2"/>
        <v>A-1Compra de ViviendaIndividualResidencialNuevaCasaFERIA000000600000.01</v>
      </c>
      <c r="K158" s="1047">
        <v>600000.01</v>
      </c>
      <c r="L158" s="1047">
        <v>99999999</v>
      </c>
      <c r="M158" s="1050">
        <v>70</v>
      </c>
      <c r="N158" s="1046">
        <v>30</v>
      </c>
      <c r="O158" s="1050">
        <v>6</v>
      </c>
      <c r="P158" s="1050">
        <v>8.56</v>
      </c>
    </row>
    <row r="159" spans="2:17" x14ac:dyDescent="0.25">
      <c r="B159" s="415">
        <v>158</v>
      </c>
      <c r="C159" s="1374" t="s">
        <v>967</v>
      </c>
      <c r="D159" s="413" t="s">
        <v>8</v>
      </c>
      <c r="E159" s="413" t="s">
        <v>17</v>
      </c>
      <c r="F159" s="413" t="s">
        <v>11</v>
      </c>
      <c r="G159" s="413" t="s">
        <v>24</v>
      </c>
      <c r="H159" s="413" t="s">
        <v>25</v>
      </c>
      <c r="I159" s="1066" t="s">
        <v>567</v>
      </c>
      <c r="J159" s="414" t="str">
        <f t="shared" si="2"/>
        <v>A-1Compra de ViviendaIndividualResidencialUsadaApartamentoBG000000030000.00</v>
      </c>
      <c r="K159" s="1047">
        <v>30000</v>
      </c>
      <c r="L159" s="1047">
        <v>200000</v>
      </c>
      <c r="M159" s="1050">
        <v>85</v>
      </c>
      <c r="N159" s="1046">
        <v>30</v>
      </c>
      <c r="O159" s="1050">
        <v>6</v>
      </c>
      <c r="P159" s="1050">
        <v>8.56</v>
      </c>
      <c r="Q159" s="416"/>
    </row>
    <row r="160" spans="2:17" x14ac:dyDescent="0.25">
      <c r="B160" s="415">
        <v>159</v>
      </c>
      <c r="C160" s="1374" t="s">
        <v>967</v>
      </c>
      <c r="D160" s="413" t="s">
        <v>8</v>
      </c>
      <c r="E160" s="413" t="s">
        <v>17</v>
      </c>
      <c r="F160" s="413" t="s">
        <v>11</v>
      </c>
      <c r="G160" s="413" t="s">
        <v>24</v>
      </c>
      <c r="H160" s="413" t="s">
        <v>25</v>
      </c>
      <c r="I160" s="1066" t="s">
        <v>567</v>
      </c>
      <c r="J160" s="414" t="str">
        <f t="shared" si="2"/>
        <v>A-1Compra de ViviendaIndividualResidencialUsadaApartamentoBG000000200000.01</v>
      </c>
      <c r="K160" s="1047">
        <v>200000.01</v>
      </c>
      <c r="L160" s="1047">
        <v>500000</v>
      </c>
      <c r="M160" s="1050">
        <v>80</v>
      </c>
      <c r="N160" s="1046">
        <v>30</v>
      </c>
      <c r="O160" s="1050">
        <v>6</v>
      </c>
      <c r="P160" s="1050">
        <v>8.56</v>
      </c>
      <c r="Q160" s="416"/>
    </row>
    <row r="161" spans="2:17" x14ac:dyDescent="0.25">
      <c r="B161" s="415">
        <v>160</v>
      </c>
      <c r="C161" s="1374" t="s">
        <v>967</v>
      </c>
      <c r="D161" s="413" t="s">
        <v>8</v>
      </c>
      <c r="E161" s="413" t="s">
        <v>17</v>
      </c>
      <c r="F161" s="413" t="s">
        <v>11</v>
      </c>
      <c r="G161" s="413" t="s">
        <v>24</v>
      </c>
      <c r="H161" s="413" t="s">
        <v>25</v>
      </c>
      <c r="I161" s="1066" t="s">
        <v>567</v>
      </c>
      <c r="J161" s="414" t="str">
        <f t="shared" si="2"/>
        <v>A-1Compra de ViviendaIndividualResidencialUsadaApartamentoBG000000500000.01</v>
      </c>
      <c r="K161" s="1047">
        <v>500000.01</v>
      </c>
      <c r="L161" s="1047">
        <v>99999999</v>
      </c>
      <c r="M161" s="1050">
        <v>70</v>
      </c>
      <c r="N161" s="1046">
        <v>30</v>
      </c>
      <c r="O161" s="1050">
        <v>6</v>
      </c>
      <c r="P161" s="1050">
        <v>8.56</v>
      </c>
      <c r="Q161" s="416"/>
    </row>
    <row r="162" spans="2:17" x14ac:dyDescent="0.25">
      <c r="B162" s="412">
        <v>161</v>
      </c>
      <c r="C162" s="595" t="s">
        <v>967</v>
      </c>
      <c r="D162" s="413" t="s">
        <v>8</v>
      </c>
      <c r="E162" s="413" t="s">
        <v>17</v>
      </c>
      <c r="F162" s="413" t="s">
        <v>11</v>
      </c>
      <c r="G162" s="413" t="s">
        <v>24</v>
      </c>
      <c r="H162" s="413" t="s">
        <v>25</v>
      </c>
      <c r="I162" s="1066" t="s">
        <v>913</v>
      </c>
      <c r="J162" s="414" t="str">
        <f t="shared" si="2"/>
        <v>A-1Compra de ViviendaIndividualResidencialUsadaApartamentoCOPA000000030000.00</v>
      </c>
      <c r="K162" s="1047">
        <v>30000</v>
      </c>
      <c r="L162" s="1047">
        <v>250000</v>
      </c>
      <c r="M162" s="1050">
        <v>90</v>
      </c>
      <c r="N162" s="1046">
        <v>25</v>
      </c>
      <c r="O162" s="1050">
        <v>5.5</v>
      </c>
      <c r="P162" s="1050">
        <v>8.56</v>
      </c>
      <c r="Q162" s="416"/>
    </row>
    <row r="163" spans="2:17" x14ac:dyDescent="0.25">
      <c r="B163" s="415">
        <v>162</v>
      </c>
      <c r="C163" s="595" t="s">
        <v>967</v>
      </c>
      <c r="D163" s="413" t="s">
        <v>8</v>
      </c>
      <c r="E163" s="413" t="s">
        <v>17</v>
      </c>
      <c r="F163" s="413" t="s">
        <v>11</v>
      </c>
      <c r="G163" s="413" t="s">
        <v>24</v>
      </c>
      <c r="H163" s="413" t="s">
        <v>25</v>
      </c>
      <c r="I163" s="1066" t="s">
        <v>913</v>
      </c>
      <c r="J163" s="414" t="str">
        <f t="shared" si="2"/>
        <v>A-1Compra de ViviendaIndividualResidencialUsadaApartamentoCOPA000000250000.01</v>
      </c>
      <c r="K163" s="1047">
        <v>250000.01</v>
      </c>
      <c r="L163" s="1047">
        <v>500000</v>
      </c>
      <c r="M163" s="1050">
        <v>80</v>
      </c>
      <c r="N163" s="1046">
        <v>25</v>
      </c>
      <c r="O163" s="1050">
        <v>5.5</v>
      </c>
      <c r="P163" s="1050">
        <v>8.56</v>
      </c>
      <c r="Q163" s="416"/>
    </row>
    <row r="164" spans="2:17" x14ac:dyDescent="0.25">
      <c r="B164" s="415">
        <v>163</v>
      </c>
      <c r="C164" s="595" t="s">
        <v>967</v>
      </c>
      <c r="D164" s="413" t="s">
        <v>8</v>
      </c>
      <c r="E164" s="413" t="s">
        <v>17</v>
      </c>
      <c r="F164" s="413" t="s">
        <v>11</v>
      </c>
      <c r="G164" s="413" t="s">
        <v>24</v>
      </c>
      <c r="H164" s="413" t="s">
        <v>25</v>
      </c>
      <c r="I164" s="1066" t="s">
        <v>913</v>
      </c>
      <c r="J164" s="414" t="str">
        <f t="shared" si="2"/>
        <v>A-1Compra de ViviendaIndividualResidencialUsadaApartamentoCOPA000000500000.01</v>
      </c>
      <c r="K164" s="1047">
        <v>500000.01</v>
      </c>
      <c r="L164" s="1047">
        <v>99999999</v>
      </c>
      <c r="M164" s="1050">
        <v>70</v>
      </c>
      <c r="N164" s="1046">
        <v>25</v>
      </c>
      <c r="O164" s="1050">
        <v>5.25</v>
      </c>
      <c r="P164" s="1050">
        <v>8.56</v>
      </c>
      <c r="Q164" s="416"/>
    </row>
    <row r="165" spans="2:17" x14ac:dyDescent="0.25">
      <c r="B165" s="415">
        <v>164</v>
      </c>
      <c r="C165" s="595" t="s">
        <v>967</v>
      </c>
      <c r="D165" s="413" t="s">
        <v>8</v>
      </c>
      <c r="E165" s="413" t="s">
        <v>17</v>
      </c>
      <c r="F165" s="413" t="s">
        <v>11</v>
      </c>
      <c r="G165" s="413" t="s">
        <v>24</v>
      </c>
      <c r="H165" s="413" t="s">
        <v>25</v>
      </c>
      <c r="I165" s="1066" t="s">
        <v>173</v>
      </c>
      <c r="J165" s="414" t="str">
        <f t="shared" si="2"/>
        <v>A-1Compra de ViviendaIndividualResidencialUsadaApartamentoFERIA000000030000.00</v>
      </c>
      <c r="K165" s="1047">
        <v>30000</v>
      </c>
      <c r="L165" s="1047">
        <v>200000</v>
      </c>
      <c r="M165" s="1050">
        <v>90</v>
      </c>
      <c r="N165" s="1046">
        <v>25</v>
      </c>
      <c r="O165" s="1050">
        <v>6</v>
      </c>
      <c r="P165" s="1050">
        <v>8.56</v>
      </c>
      <c r="Q165" s="416"/>
    </row>
    <row r="166" spans="2:17" x14ac:dyDescent="0.25">
      <c r="B166" s="415">
        <v>165</v>
      </c>
      <c r="C166" s="595" t="s">
        <v>967</v>
      </c>
      <c r="D166" s="413" t="s">
        <v>8</v>
      </c>
      <c r="E166" s="413" t="s">
        <v>17</v>
      </c>
      <c r="F166" s="413" t="s">
        <v>11</v>
      </c>
      <c r="G166" s="413" t="s">
        <v>24</v>
      </c>
      <c r="H166" s="413" t="s">
        <v>25</v>
      </c>
      <c r="I166" s="1066" t="s">
        <v>173</v>
      </c>
      <c r="J166" s="414" t="str">
        <f t="shared" si="2"/>
        <v>A-1Compra de ViviendaIndividualResidencialUsadaApartamentoFERIA000000200000.01</v>
      </c>
      <c r="K166" s="1047">
        <v>200000.01</v>
      </c>
      <c r="L166" s="1047">
        <v>400000</v>
      </c>
      <c r="M166" s="1050">
        <v>80</v>
      </c>
      <c r="N166" s="1046">
        <v>25</v>
      </c>
      <c r="O166" s="1050">
        <v>6</v>
      </c>
      <c r="P166" s="1050">
        <v>8.56</v>
      </c>
      <c r="Q166" s="416"/>
    </row>
    <row r="167" spans="2:17" x14ac:dyDescent="0.25">
      <c r="B167" s="412">
        <v>166</v>
      </c>
      <c r="C167" s="595" t="s">
        <v>967</v>
      </c>
      <c r="D167" s="413" t="s">
        <v>8</v>
      </c>
      <c r="E167" s="413" t="s">
        <v>17</v>
      </c>
      <c r="F167" s="413" t="s">
        <v>11</v>
      </c>
      <c r="G167" s="413" t="s">
        <v>24</v>
      </c>
      <c r="H167" s="413" t="s">
        <v>25</v>
      </c>
      <c r="I167" s="1066" t="s">
        <v>173</v>
      </c>
      <c r="J167" s="414" t="str">
        <f t="shared" si="2"/>
        <v>A-1Compra de ViviendaIndividualResidencialUsadaApartamentoFERIA000000400000.01</v>
      </c>
      <c r="K167" s="1047">
        <v>400000.01</v>
      </c>
      <c r="L167" s="1047">
        <v>99999999</v>
      </c>
      <c r="M167" s="1050">
        <v>70</v>
      </c>
      <c r="N167" s="1046">
        <v>25</v>
      </c>
      <c r="O167" s="1050">
        <v>6</v>
      </c>
      <c r="P167" s="1050">
        <v>8.56</v>
      </c>
      <c r="Q167" s="416"/>
    </row>
    <row r="168" spans="2:17" x14ac:dyDescent="0.25">
      <c r="B168" s="415">
        <v>167</v>
      </c>
      <c r="C168" s="1374" t="s">
        <v>967</v>
      </c>
      <c r="D168" s="413" t="s">
        <v>8</v>
      </c>
      <c r="E168" s="413" t="s">
        <v>17</v>
      </c>
      <c r="F168" s="413" t="s">
        <v>11</v>
      </c>
      <c r="G168" s="413" t="s">
        <v>24</v>
      </c>
      <c r="H168" s="413" t="s">
        <v>22</v>
      </c>
      <c r="I168" s="1066" t="s">
        <v>567</v>
      </c>
      <c r="J168" s="414" t="str">
        <f t="shared" si="2"/>
        <v>A-1Compra de ViviendaIndividualResidencialUsadaCasaBG000000030000.00</v>
      </c>
      <c r="K168" s="1047">
        <v>30000</v>
      </c>
      <c r="L168" s="1047">
        <v>200000</v>
      </c>
      <c r="M168" s="1050">
        <v>85</v>
      </c>
      <c r="N168" s="1046">
        <v>30</v>
      </c>
      <c r="O168" s="1050">
        <v>6</v>
      </c>
      <c r="P168" s="1050">
        <v>8.56</v>
      </c>
      <c r="Q168" s="416"/>
    </row>
    <row r="169" spans="2:17" x14ac:dyDescent="0.25">
      <c r="B169" s="415">
        <v>168</v>
      </c>
      <c r="C169" s="1374" t="s">
        <v>967</v>
      </c>
      <c r="D169" s="413" t="s">
        <v>8</v>
      </c>
      <c r="E169" s="413" t="s">
        <v>17</v>
      </c>
      <c r="F169" s="413" t="s">
        <v>11</v>
      </c>
      <c r="G169" s="413" t="s">
        <v>24</v>
      </c>
      <c r="H169" s="413" t="s">
        <v>22</v>
      </c>
      <c r="I169" s="1066" t="s">
        <v>567</v>
      </c>
      <c r="J169" s="414" t="str">
        <f t="shared" si="2"/>
        <v>A-1Compra de ViviendaIndividualResidencialUsadaCasaBG000000250000.01</v>
      </c>
      <c r="K169" s="1047">
        <v>250000.01</v>
      </c>
      <c r="L169" s="1047">
        <v>500000</v>
      </c>
      <c r="M169" s="1050">
        <v>80</v>
      </c>
      <c r="N169" s="1046">
        <v>30</v>
      </c>
      <c r="O169" s="1050">
        <v>6</v>
      </c>
      <c r="P169" s="1050">
        <v>8.56</v>
      </c>
      <c r="Q169" s="416"/>
    </row>
    <row r="170" spans="2:17" x14ac:dyDescent="0.25">
      <c r="B170" s="415">
        <v>169</v>
      </c>
      <c r="C170" s="1374" t="s">
        <v>967</v>
      </c>
      <c r="D170" s="413" t="s">
        <v>8</v>
      </c>
      <c r="E170" s="413" t="s">
        <v>17</v>
      </c>
      <c r="F170" s="413" t="s">
        <v>11</v>
      </c>
      <c r="G170" s="413" t="s">
        <v>24</v>
      </c>
      <c r="H170" s="413" t="s">
        <v>22</v>
      </c>
      <c r="I170" s="1066" t="s">
        <v>567</v>
      </c>
      <c r="J170" s="414" t="str">
        <f t="shared" si="2"/>
        <v>A-1Compra de ViviendaIndividualResidencialUsadaCasaBG000000500000.01</v>
      </c>
      <c r="K170" s="1047">
        <v>500000.01</v>
      </c>
      <c r="L170" s="1047">
        <v>99999999</v>
      </c>
      <c r="M170" s="1050">
        <v>70</v>
      </c>
      <c r="N170" s="1046">
        <v>30</v>
      </c>
      <c r="O170" s="1050">
        <v>6</v>
      </c>
      <c r="P170" s="1050">
        <v>8.56</v>
      </c>
      <c r="Q170" s="416"/>
    </row>
    <row r="171" spans="2:17" x14ac:dyDescent="0.25">
      <c r="B171" s="415">
        <v>170</v>
      </c>
      <c r="C171" s="595" t="s">
        <v>967</v>
      </c>
      <c r="D171" s="413" t="s">
        <v>8</v>
      </c>
      <c r="E171" s="413" t="s">
        <v>17</v>
      </c>
      <c r="F171" s="413" t="s">
        <v>11</v>
      </c>
      <c r="G171" s="413" t="s">
        <v>24</v>
      </c>
      <c r="H171" s="413" t="s">
        <v>22</v>
      </c>
      <c r="I171" s="1066" t="s">
        <v>913</v>
      </c>
      <c r="J171" s="414" t="str">
        <f t="shared" si="2"/>
        <v>A-1Compra de ViviendaIndividualResidencialUsadaCasaCOPA000000030000.00</v>
      </c>
      <c r="K171" s="1047">
        <v>30000</v>
      </c>
      <c r="L171" s="1047">
        <v>250000</v>
      </c>
      <c r="M171" s="1050">
        <v>90</v>
      </c>
      <c r="N171" s="1046">
        <v>30</v>
      </c>
      <c r="O171" s="1050">
        <v>5.5</v>
      </c>
      <c r="P171" s="1050">
        <v>8.56</v>
      </c>
      <c r="Q171" s="416"/>
    </row>
    <row r="172" spans="2:17" x14ac:dyDescent="0.25">
      <c r="B172" s="412">
        <v>171</v>
      </c>
      <c r="C172" s="595" t="s">
        <v>967</v>
      </c>
      <c r="D172" s="413" t="s">
        <v>8</v>
      </c>
      <c r="E172" s="413" t="s">
        <v>17</v>
      </c>
      <c r="F172" s="413" t="s">
        <v>11</v>
      </c>
      <c r="G172" s="413" t="s">
        <v>24</v>
      </c>
      <c r="H172" s="413" t="s">
        <v>22</v>
      </c>
      <c r="I172" s="1066" t="s">
        <v>913</v>
      </c>
      <c r="J172" s="414" t="str">
        <f t="shared" si="2"/>
        <v>A-1Compra de ViviendaIndividualResidencialUsadaCasaCOPA000000250000.01</v>
      </c>
      <c r="K172" s="1047">
        <v>250000.01</v>
      </c>
      <c r="L172" s="1047">
        <v>500000</v>
      </c>
      <c r="M172" s="1050">
        <v>80</v>
      </c>
      <c r="N172" s="1046">
        <v>30</v>
      </c>
      <c r="O172" s="1050">
        <v>5.5</v>
      </c>
      <c r="P172" s="1050">
        <v>8.56</v>
      </c>
      <c r="Q172" s="416"/>
    </row>
    <row r="173" spans="2:17" x14ac:dyDescent="0.25">
      <c r="B173" s="415">
        <v>172</v>
      </c>
      <c r="C173" s="595" t="s">
        <v>967</v>
      </c>
      <c r="D173" s="413" t="s">
        <v>8</v>
      </c>
      <c r="E173" s="413" t="s">
        <v>17</v>
      </c>
      <c r="F173" s="413" t="s">
        <v>11</v>
      </c>
      <c r="G173" s="413" t="s">
        <v>24</v>
      </c>
      <c r="H173" s="413" t="s">
        <v>22</v>
      </c>
      <c r="I173" s="1066" t="s">
        <v>913</v>
      </c>
      <c r="J173" s="414" t="str">
        <f t="shared" si="2"/>
        <v>A-1Compra de ViviendaIndividualResidencialUsadaCasaCOPA000000500000.01</v>
      </c>
      <c r="K173" s="1047">
        <v>500000.01</v>
      </c>
      <c r="L173" s="1047">
        <v>99999999</v>
      </c>
      <c r="M173" s="1050">
        <v>70</v>
      </c>
      <c r="N173" s="1046">
        <v>30</v>
      </c>
      <c r="O173" s="1050">
        <v>5.25</v>
      </c>
      <c r="P173" s="1050">
        <v>8.56</v>
      </c>
      <c r="Q173" s="416"/>
    </row>
    <row r="174" spans="2:17" x14ac:dyDescent="0.25">
      <c r="B174" s="415">
        <v>173</v>
      </c>
      <c r="C174" s="595" t="s">
        <v>967</v>
      </c>
      <c r="D174" s="413" t="s">
        <v>8</v>
      </c>
      <c r="E174" s="413" t="s">
        <v>17</v>
      </c>
      <c r="F174" s="413" t="s">
        <v>11</v>
      </c>
      <c r="G174" s="413" t="s">
        <v>24</v>
      </c>
      <c r="H174" s="413" t="s">
        <v>22</v>
      </c>
      <c r="I174" s="1066" t="s">
        <v>173</v>
      </c>
      <c r="J174" s="414" t="str">
        <f t="shared" si="2"/>
        <v>A-1Compra de ViviendaIndividualResidencialUsadaCasaFERIA000000030000.00</v>
      </c>
      <c r="K174" s="1047">
        <v>30000</v>
      </c>
      <c r="L174" s="1047">
        <v>200000</v>
      </c>
      <c r="M174" s="1050">
        <v>90</v>
      </c>
      <c r="N174" s="1046">
        <v>30</v>
      </c>
      <c r="O174" s="1050">
        <v>6</v>
      </c>
      <c r="P174" s="1050">
        <v>8.56</v>
      </c>
      <c r="Q174" s="416"/>
    </row>
    <row r="175" spans="2:17" x14ac:dyDescent="0.25">
      <c r="B175" s="415">
        <v>174</v>
      </c>
      <c r="C175" s="595" t="s">
        <v>967</v>
      </c>
      <c r="D175" s="413" t="s">
        <v>8</v>
      </c>
      <c r="E175" s="413" t="s">
        <v>17</v>
      </c>
      <c r="F175" s="413" t="s">
        <v>11</v>
      </c>
      <c r="G175" s="413" t="s">
        <v>24</v>
      </c>
      <c r="H175" s="413" t="s">
        <v>22</v>
      </c>
      <c r="I175" s="1066" t="s">
        <v>173</v>
      </c>
      <c r="J175" s="414" t="str">
        <f t="shared" si="2"/>
        <v>A-1Compra de ViviendaIndividualResidencialUsadaCasaFERIA000000200000.01</v>
      </c>
      <c r="K175" s="1047">
        <v>200000.01</v>
      </c>
      <c r="L175" s="1047">
        <v>400000</v>
      </c>
      <c r="M175" s="1050">
        <v>80</v>
      </c>
      <c r="N175" s="1046">
        <v>30</v>
      </c>
      <c r="O175" s="1050">
        <v>6</v>
      </c>
      <c r="P175" s="1050">
        <v>8.56</v>
      </c>
      <c r="Q175" s="416"/>
    </row>
    <row r="176" spans="2:17" x14ac:dyDescent="0.25">
      <c r="B176" s="415">
        <v>175</v>
      </c>
      <c r="C176" s="595" t="s">
        <v>967</v>
      </c>
      <c r="D176" s="413" t="s">
        <v>8</v>
      </c>
      <c r="E176" s="413" t="s">
        <v>17</v>
      </c>
      <c r="F176" s="413" t="s">
        <v>11</v>
      </c>
      <c r="G176" s="413" t="s">
        <v>24</v>
      </c>
      <c r="H176" s="413" t="s">
        <v>22</v>
      </c>
      <c r="I176" s="1066" t="s">
        <v>173</v>
      </c>
      <c r="J176" s="414" t="str">
        <f t="shared" si="2"/>
        <v>A-1Compra de ViviendaIndividualResidencialUsadaCasaFERIA000000400000.01</v>
      </c>
      <c r="K176" s="1047">
        <v>400000.01</v>
      </c>
      <c r="L176" s="1047">
        <v>99999999</v>
      </c>
      <c r="M176" s="1050">
        <v>70</v>
      </c>
      <c r="N176" s="1046">
        <v>30</v>
      </c>
      <c r="O176" s="1050">
        <v>6</v>
      </c>
      <c r="P176" s="1050">
        <v>8.56</v>
      </c>
      <c r="Q176" s="416"/>
    </row>
    <row r="177" spans="2:17" x14ac:dyDescent="0.25">
      <c r="B177" s="412">
        <v>176</v>
      </c>
      <c r="C177" s="1374" t="s">
        <v>967</v>
      </c>
      <c r="D177" s="413" t="s">
        <v>8</v>
      </c>
      <c r="E177" s="413" t="s">
        <v>9</v>
      </c>
      <c r="F177" s="413" t="s">
        <v>752</v>
      </c>
      <c r="G177" s="413" t="s">
        <v>24</v>
      </c>
      <c r="H177" s="413" t="s">
        <v>25</v>
      </c>
      <c r="I177" s="1066" t="s">
        <v>567</v>
      </c>
      <c r="J177" s="414" t="str">
        <f t="shared" si="2"/>
        <v>A-1Compra de ViviendaLey PreferencialReposeído (BG)UsadaApartamentoBG000000015000.00</v>
      </c>
      <c r="K177" s="1047">
        <v>15000</v>
      </c>
      <c r="L177" s="1047">
        <v>40000</v>
      </c>
      <c r="M177" s="1046">
        <v>90</v>
      </c>
      <c r="N177" s="1046">
        <v>25</v>
      </c>
      <c r="O177" s="1050">
        <v>0</v>
      </c>
      <c r="P177" s="1050">
        <v>8.56</v>
      </c>
      <c r="Q177" s="416"/>
    </row>
    <row r="178" spans="2:17" x14ac:dyDescent="0.25">
      <c r="B178" s="415">
        <v>177</v>
      </c>
      <c r="C178" s="1374" t="s">
        <v>967</v>
      </c>
      <c r="D178" s="413" t="s">
        <v>8</v>
      </c>
      <c r="E178" s="413" t="s">
        <v>9</v>
      </c>
      <c r="F178" s="413" t="s">
        <v>752</v>
      </c>
      <c r="G178" s="413" t="s">
        <v>24</v>
      </c>
      <c r="H178" s="413" t="s">
        <v>25</v>
      </c>
      <c r="I178" s="1066" t="s">
        <v>567</v>
      </c>
      <c r="J178" s="414" t="str">
        <f t="shared" si="2"/>
        <v>A-1Compra de ViviendaLey PreferencialReposeído (BG)UsadaApartamentoBG000000040000.01</v>
      </c>
      <c r="K178" s="1047">
        <v>40000.01</v>
      </c>
      <c r="L178" s="1047">
        <v>80000</v>
      </c>
      <c r="M178" s="1050">
        <v>90</v>
      </c>
      <c r="N178" s="1046">
        <v>25</v>
      </c>
      <c r="O178" s="1050">
        <v>1.5</v>
      </c>
      <c r="P178" s="1050">
        <v>8.56</v>
      </c>
      <c r="Q178" s="416"/>
    </row>
    <row r="179" spans="2:17" x14ac:dyDescent="0.25">
      <c r="B179" s="415">
        <v>178</v>
      </c>
      <c r="C179" s="1374" t="s">
        <v>967</v>
      </c>
      <c r="D179" s="413" t="s">
        <v>8</v>
      </c>
      <c r="E179" s="413" t="s">
        <v>9</v>
      </c>
      <c r="F179" s="413" t="s">
        <v>752</v>
      </c>
      <c r="G179" s="413" t="s">
        <v>24</v>
      </c>
      <c r="H179" s="413" t="s">
        <v>25</v>
      </c>
      <c r="I179" s="1066" t="s">
        <v>567</v>
      </c>
      <c r="J179" s="414" t="str">
        <f t="shared" si="2"/>
        <v>A-1Compra de ViviendaLey PreferencialReposeído (BG)UsadaApartamentoBG000000080000.01</v>
      </c>
      <c r="K179" s="1047">
        <v>80000.009999999995</v>
      </c>
      <c r="L179" s="1047">
        <v>120000</v>
      </c>
      <c r="M179" s="1050">
        <v>90</v>
      </c>
      <c r="N179" s="1046">
        <v>25</v>
      </c>
      <c r="O179" s="1050">
        <v>1.5</v>
      </c>
      <c r="P179" s="1050">
        <v>8.56</v>
      </c>
      <c r="Q179" s="416"/>
    </row>
    <row r="180" spans="2:17" x14ac:dyDescent="0.25">
      <c r="B180" s="415">
        <v>179</v>
      </c>
      <c r="C180" s="595" t="s">
        <v>967</v>
      </c>
      <c r="D180" s="413" t="s">
        <v>8</v>
      </c>
      <c r="E180" s="413" t="s">
        <v>9</v>
      </c>
      <c r="F180" s="413" t="s">
        <v>752</v>
      </c>
      <c r="G180" s="413" t="s">
        <v>24</v>
      </c>
      <c r="H180" s="413" t="s">
        <v>25</v>
      </c>
      <c r="I180" s="1066" t="s">
        <v>913</v>
      </c>
      <c r="J180" s="414" t="str">
        <f t="shared" si="2"/>
        <v>A-1Compra de ViviendaLey PreferencialReposeído (BG)UsadaApartamentoCOPA000000015000.00</v>
      </c>
      <c r="K180" s="1047">
        <v>15000</v>
      </c>
      <c r="L180" s="1047">
        <v>40000</v>
      </c>
      <c r="M180" s="1046">
        <v>98</v>
      </c>
      <c r="N180" s="1046">
        <v>30</v>
      </c>
      <c r="O180" s="1050">
        <v>0</v>
      </c>
      <c r="P180" s="1050">
        <v>8.56</v>
      </c>
      <c r="Q180" s="416"/>
    </row>
    <row r="181" spans="2:17" x14ac:dyDescent="0.25">
      <c r="B181" s="415">
        <v>180</v>
      </c>
      <c r="C181" s="595" t="s">
        <v>967</v>
      </c>
      <c r="D181" s="413" t="s">
        <v>8</v>
      </c>
      <c r="E181" s="413" t="s">
        <v>9</v>
      </c>
      <c r="F181" s="413" t="s">
        <v>752</v>
      </c>
      <c r="G181" s="413" t="s">
        <v>24</v>
      </c>
      <c r="H181" s="413" t="s">
        <v>25</v>
      </c>
      <c r="I181" s="1066" t="s">
        <v>913</v>
      </c>
      <c r="J181" s="414" t="str">
        <f t="shared" si="2"/>
        <v>A-1Compra de ViviendaLey PreferencialReposeído (BG)UsadaApartamentoCOPA000000040000.01</v>
      </c>
      <c r="K181" s="1047">
        <v>40000.01</v>
      </c>
      <c r="L181" s="1047">
        <v>80000</v>
      </c>
      <c r="M181" s="1050">
        <v>98</v>
      </c>
      <c r="N181" s="1046">
        <v>30</v>
      </c>
      <c r="O181" s="1050">
        <v>1.5</v>
      </c>
      <c r="P181" s="1050">
        <v>8.56</v>
      </c>
      <c r="Q181" s="416"/>
    </row>
    <row r="182" spans="2:17" x14ac:dyDescent="0.25">
      <c r="B182" s="412">
        <v>181</v>
      </c>
      <c r="C182" s="595" t="s">
        <v>967</v>
      </c>
      <c r="D182" s="413" t="s">
        <v>8</v>
      </c>
      <c r="E182" s="413" t="s">
        <v>9</v>
      </c>
      <c r="F182" s="413" t="s">
        <v>752</v>
      </c>
      <c r="G182" s="413" t="s">
        <v>24</v>
      </c>
      <c r="H182" s="413" t="s">
        <v>25</v>
      </c>
      <c r="I182" s="1066" t="s">
        <v>913</v>
      </c>
      <c r="J182" s="414" t="str">
        <f t="shared" si="2"/>
        <v>A-1Compra de ViviendaLey PreferencialReposeído (BG)UsadaApartamentoCOPA000000080000.01</v>
      </c>
      <c r="K182" s="1047">
        <v>80000.009999999995</v>
      </c>
      <c r="L182" s="1047">
        <v>120000</v>
      </c>
      <c r="M182" s="1050">
        <v>98</v>
      </c>
      <c r="N182" s="1046">
        <v>30</v>
      </c>
      <c r="O182" s="1050">
        <v>1.5</v>
      </c>
      <c r="P182" s="1050">
        <v>8.56</v>
      </c>
      <c r="Q182" s="416"/>
    </row>
    <row r="183" spans="2:17" x14ac:dyDescent="0.25">
      <c r="B183" s="415">
        <v>182</v>
      </c>
      <c r="C183" s="595" t="s">
        <v>967</v>
      </c>
      <c r="D183" s="413" t="s">
        <v>8</v>
      </c>
      <c r="E183" s="413" t="s">
        <v>9</v>
      </c>
      <c r="F183" s="413" t="s">
        <v>752</v>
      </c>
      <c r="G183" s="413" t="s">
        <v>24</v>
      </c>
      <c r="H183" s="413" t="s">
        <v>25</v>
      </c>
      <c r="I183" s="1066" t="s">
        <v>173</v>
      </c>
      <c r="J183" s="414" t="str">
        <f t="shared" si="2"/>
        <v>A-1Compra de ViviendaLey PreferencialReposeído (BG)UsadaApartamentoFERIA000000015000.00</v>
      </c>
      <c r="K183" s="1047">
        <v>15000</v>
      </c>
      <c r="L183" s="1047">
        <v>40000</v>
      </c>
      <c r="M183" s="1050">
        <v>95</v>
      </c>
      <c r="N183" s="1046">
        <v>30</v>
      </c>
      <c r="O183" s="1050">
        <v>0</v>
      </c>
      <c r="P183" s="1050">
        <v>4.28</v>
      </c>
      <c r="Q183" s="416"/>
    </row>
    <row r="184" spans="2:17" x14ac:dyDescent="0.25">
      <c r="B184" s="415">
        <v>183</v>
      </c>
      <c r="C184" s="595" t="s">
        <v>967</v>
      </c>
      <c r="D184" s="413" t="s">
        <v>8</v>
      </c>
      <c r="E184" s="413" t="s">
        <v>9</v>
      </c>
      <c r="F184" s="413" t="s">
        <v>752</v>
      </c>
      <c r="G184" s="413" t="s">
        <v>24</v>
      </c>
      <c r="H184" s="413" t="s">
        <v>25</v>
      </c>
      <c r="I184" s="1066" t="s">
        <v>173</v>
      </c>
      <c r="J184" s="414" t="str">
        <f t="shared" si="2"/>
        <v>A-1Compra de ViviendaLey PreferencialReposeído (BG)UsadaApartamentoFERIA000000040000.01</v>
      </c>
      <c r="K184" s="1047">
        <v>40000.01</v>
      </c>
      <c r="L184" s="1047">
        <v>80000</v>
      </c>
      <c r="M184" s="1050">
        <v>95</v>
      </c>
      <c r="N184" s="1046">
        <v>30</v>
      </c>
      <c r="O184" s="1050">
        <v>1.5</v>
      </c>
      <c r="P184" s="1050">
        <v>4.28</v>
      </c>
      <c r="Q184" s="416"/>
    </row>
    <row r="185" spans="2:17" x14ac:dyDescent="0.25">
      <c r="B185" s="415">
        <v>184</v>
      </c>
      <c r="C185" s="595" t="s">
        <v>967</v>
      </c>
      <c r="D185" s="413" t="s">
        <v>8</v>
      </c>
      <c r="E185" s="413" t="s">
        <v>9</v>
      </c>
      <c r="F185" s="413" t="s">
        <v>752</v>
      </c>
      <c r="G185" s="413" t="s">
        <v>24</v>
      </c>
      <c r="H185" s="413" t="s">
        <v>25</v>
      </c>
      <c r="I185" s="1066" t="s">
        <v>173</v>
      </c>
      <c r="J185" s="414" t="str">
        <f t="shared" si="2"/>
        <v>A-1Compra de ViviendaLey PreferencialReposeído (BG)UsadaApartamentoFERIA000000080000.01</v>
      </c>
      <c r="K185" s="1047">
        <v>80000.009999999995</v>
      </c>
      <c r="L185" s="1047">
        <v>120000</v>
      </c>
      <c r="M185" s="1050">
        <v>95</v>
      </c>
      <c r="N185" s="1046">
        <v>30</v>
      </c>
      <c r="O185" s="1050">
        <v>1.5</v>
      </c>
      <c r="P185" s="1050">
        <v>4.28</v>
      </c>
      <c r="Q185" s="416"/>
    </row>
    <row r="186" spans="2:17" x14ac:dyDescent="0.25">
      <c r="B186" s="415">
        <v>185</v>
      </c>
      <c r="C186" s="1374" t="s">
        <v>967</v>
      </c>
      <c r="D186" s="421" t="s">
        <v>8</v>
      </c>
      <c r="E186" s="421" t="s">
        <v>9</v>
      </c>
      <c r="F186" s="421" t="s">
        <v>752</v>
      </c>
      <c r="G186" s="421" t="s">
        <v>24</v>
      </c>
      <c r="H186" s="421" t="s">
        <v>22</v>
      </c>
      <c r="I186" s="1066" t="s">
        <v>567</v>
      </c>
      <c r="J186" s="414" t="str">
        <f t="shared" si="2"/>
        <v>A-1Compra de ViviendaLey PreferencialReposeído (BG)UsadaCasaBG000000015000.00</v>
      </c>
      <c r="K186" s="1049">
        <v>15000</v>
      </c>
      <c r="L186" s="1049">
        <v>40000</v>
      </c>
      <c r="M186" s="1046">
        <v>90</v>
      </c>
      <c r="N186" s="1046">
        <v>25</v>
      </c>
      <c r="O186" s="1053">
        <v>0</v>
      </c>
      <c r="P186" s="1050">
        <v>8.56</v>
      </c>
      <c r="Q186" s="416"/>
    </row>
    <row r="187" spans="2:17" x14ac:dyDescent="0.25">
      <c r="B187" s="412">
        <v>186</v>
      </c>
      <c r="C187" s="1374" t="s">
        <v>967</v>
      </c>
      <c r="D187" s="421" t="s">
        <v>8</v>
      </c>
      <c r="E187" s="421" t="s">
        <v>9</v>
      </c>
      <c r="F187" s="421" t="s">
        <v>752</v>
      </c>
      <c r="G187" s="421" t="s">
        <v>24</v>
      </c>
      <c r="H187" s="421" t="s">
        <v>22</v>
      </c>
      <c r="I187" s="1066" t="s">
        <v>567</v>
      </c>
      <c r="J187" s="414" t="str">
        <f t="shared" si="2"/>
        <v>A-1Compra de ViviendaLey PreferencialReposeído (BG)UsadaCasaBG000000040000.01</v>
      </c>
      <c r="K187" s="1049">
        <v>40000.01</v>
      </c>
      <c r="L187" s="1049">
        <v>80000</v>
      </c>
      <c r="M187" s="1050">
        <v>90</v>
      </c>
      <c r="N187" s="1046">
        <v>25</v>
      </c>
      <c r="O187" s="1050">
        <v>1.5</v>
      </c>
      <c r="P187" s="1050">
        <v>8.56</v>
      </c>
      <c r="Q187" s="416"/>
    </row>
    <row r="188" spans="2:17" x14ac:dyDescent="0.25">
      <c r="B188" s="415">
        <v>187</v>
      </c>
      <c r="C188" s="1374" t="s">
        <v>967</v>
      </c>
      <c r="D188" s="421" t="s">
        <v>8</v>
      </c>
      <c r="E188" s="421" t="s">
        <v>9</v>
      </c>
      <c r="F188" s="421" t="s">
        <v>752</v>
      </c>
      <c r="G188" s="421" t="s">
        <v>24</v>
      </c>
      <c r="H188" s="421" t="s">
        <v>22</v>
      </c>
      <c r="I188" s="1066" t="s">
        <v>567</v>
      </c>
      <c r="J188" s="414" t="str">
        <f t="shared" si="2"/>
        <v>A-1Compra de ViviendaLey PreferencialReposeído (BG)UsadaCasaBG000000080000.01</v>
      </c>
      <c r="K188" s="1049">
        <v>80000.009999999995</v>
      </c>
      <c r="L188" s="1049">
        <v>120000</v>
      </c>
      <c r="M188" s="1050">
        <v>90</v>
      </c>
      <c r="N188" s="1046">
        <v>25</v>
      </c>
      <c r="O188" s="1050">
        <v>1.5</v>
      </c>
      <c r="P188" s="1050">
        <v>8.56</v>
      </c>
      <c r="Q188" s="416"/>
    </row>
    <row r="189" spans="2:17" x14ac:dyDescent="0.25">
      <c r="B189" s="415">
        <v>188</v>
      </c>
      <c r="C189" s="595" t="s">
        <v>967</v>
      </c>
      <c r="D189" s="421" t="s">
        <v>8</v>
      </c>
      <c r="E189" s="421" t="s">
        <v>9</v>
      </c>
      <c r="F189" s="421" t="s">
        <v>752</v>
      </c>
      <c r="G189" s="421" t="s">
        <v>24</v>
      </c>
      <c r="H189" s="421" t="s">
        <v>22</v>
      </c>
      <c r="I189" s="1066" t="s">
        <v>913</v>
      </c>
      <c r="J189" s="414" t="str">
        <f t="shared" si="2"/>
        <v>A-1Compra de ViviendaLey PreferencialReposeído (BG)UsadaCasaCOPA000000015000.00</v>
      </c>
      <c r="K189" s="1049">
        <v>15000</v>
      </c>
      <c r="L189" s="1049">
        <v>40000</v>
      </c>
      <c r="M189" s="1053">
        <v>98</v>
      </c>
      <c r="N189" s="1048">
        <v>30</v>
      </c>
      <c r="O189" s="1053">
        <v>0</v>
      </c>
      <c r="P189" s="1050">
        <v>8.56</v>
      </c>
      <c r="Q189" s="416"/>
    </row>
    <row r="190" spans="2:17" x14ac:dyDescent="0.25">
      <c r="B190" s="415">
        <v>189</v>
      </c>
      <c r="C190" s="595" t="s">
        <v>967</v>
      </c>
      <c r="D190" s="421" t="s">
        <v>8</v>
      </c>
      <c r="E190" s="421" t="s">
        <v>9</v>
      </c>
      <c r="F190" s="421" t="s">
        <v>752</v>
      </c>
      <c r="G190" s="421" t="s">
        <v>24</v>
      </c>
      <c r="H190" s="421" t="s">
        <v>22</v>
      </c>
      <c r="I190" s="1066" t="s">
        <v>913</v>
      </c>
      <c r="J190" s="414" t="str">
        <f t="shared" si="2"/>
        <v>A-1Compra de ViviendaLey PreferencialReposeído (BG)UsadaCasaCOPA000000040000.01</v>
      </c>
      <c r="K190" s="1049">
        <v>40000.01</v>
      </c>
      <c r="L190" s="1049">
        <v>80000</v>
      </c>
      <c r="M190" s="1053">
        <v>98</v>
      </c>
      <c r="N190" s="1048">
        <v>30</v>
      </c>
      <c r="O190" s="1050">
        <v>1.5</v>
      </c>
      <c r="P190" s="1050">
        <v>8.56</v>
      </c>
      <c r="Q190" s="416"/>
    </row>
    <row r="191" spans="2:17" x14ac:dyDescent="0.25">
      <c r="B191" s="415">
        <v>190</v>
      </c>
      <c r="C191" s="595" t="s">
        <v>967</v>
      </c>
      <c r="D191" s="421" t="s">
        <v>8</v>
      </c>
      <c r="E191" s="421" t="s">
        <v>9</v>
      </c>
      <c r="F191" s="421" t="s">
        <v>752</v>
      </c>
      <c r="G191" s="421" t="s">
        <v>24</v>
      </c>
      <c r="H191" s="421" t="s">
        <v>22</v>
      </c>
      <c r="I191" s="1066" t="s">
        <v>913</v>
      </c>
      <c r="J191" s="414" t="str">
        <f t="shared" si="2"/>
        <v>A-1Compra de ViviendaLey PreferencialReposeído (BG)UsadaCasaCOPA000000080000.01</v>
      </c>
      <c r="K191" s="1049">
        <v>80000.009999999995</v>
      </c>
      <c r="L191" s="1049">
        <v>120000</v>
      </c>
      <c r="M191" s="1053">
        <v>98</v>
      </c>
      <c r="N191" s="1048">
        <v>30</v>
      </c>
      <c r="O191" s="1050">
        <v>1.5</v>
      </c>
      <c r="P191" s="1050">
        <v>8.56</v>
      </c>
      <c r="Q191" s="416"/>
    </row>
    <row r="192" spans="2:17" x14ac:dyDescent="0.25">
      <c r="B192" s="412">
        <v>191</v>
      </c>
      <c r="C192" s="595" t="s">
        <v>967</v>
      </c>
      <c r="D192" s="421" t="s">
        <v>8</v>
      </c>
      <c r="E192" s="421" t="s">
        <v>9</v>
      </c>
      <c r="F192" s="421" t="s">
        <v>752</v>
      </c>
      <c r="G192" s="421" t="s">
        <v>24</v>
      </c>
      <c r="H192" s="421" t="s">
        <v>22</v>
      </c>
      <c r="I192" s="1066" t="s">
        <v>173</v>
      </c>
      <c r="J192" s="414" t="str">
        <f t="shared" si="2"/>
        <v>A-1Compra de ViviendaLey PreferencialReposeído (BG)UsadaCasaFERIA000000015000.00</v>
      </c>
      <c r="K192" s="1049">
        <v>15000</v>
      </c>
      <c r="L192" s="1049">
        <v>40000</v>
      </c>
      <c r="M192" s="1053">
        <v>95</v>
      </c>
      <c r="N192" s="1048">
        <v>30</v>
      </c>
      <c r="O192" s="1053">
        <v>0</v>
      </c>
      <c r="P192" s="1050">
        <v>4.28</v>
      </c>
      <c r="Q192" s="416"/>
    </row>
    <row r="193" spans="2:17" x14ac:dyDescent="0.25">
      <c r="B193" s="415">
        <v>192</v>
      </c>
      <c r="C193" s="595" t="s">
        <v>967</v>
      </c>
      <c r="D193" s="421" t="s">
        <v>8</v>
      </c>
      <c r="E193" s="421" t="s">
        <v>9</v>
      </c>
      <c r="F193" s="421" t="s">
        <v>752</v>
      </c>
      <c r="G193" s="421" t="s">
        <v>24</v>
      </c>
      <c r="H193" s="421" t="s">
        <v>22</v>
      </c>
      <c r="I193" s="1066" t="s">
        <v>173</v>
      </c>
      <c r="J193" s="414" t="str">
        <f t="shared" si="2"/>
        <v>A-1Compra de ViviendaLey PreferencialReposeído (BG)UsadaCasaFERIA000000040000.01</v>
      </c>
      <c r="K193" s="1049">
        <v>40000.01</v>
      </c>
      <c r="L193" s="1049">
        <v>80000</v>
      </c>
      <c r="M193" s="1053">
        <v>95</v>
      </c>
      <c r="N193" s="1048">
        <v>30</v>
      </c>
      <c r="O193" s="1050">
        <v>1.5</v>
      </c>
      <c r="P193" s="1050">
        <v>4.28</v>
      </c>
      <c r="Q193" s="416"/>
    </row>
    <row r="194" spans="2:17" x14ac:dyDescent="0.25">
      <c r="B194" s="415">
        <v>193</v>
      </c>
      <c r="C194" s="595" t="s">
        <v>967</v>
      </c>
      <c r="D194" s="413" t="s">
        <v>8</v>
      </c>
      <c r="E194" s="413" t="s">
        <v>9</v>
      </c>
      <c r="F194" s="413" t="s">
        <v>752</v>
      </c>
      <c r="G194" s="413" t="s">
        <v>24</v>
      </c>
      <c r="H194" s="413" t="s">
        <v>22</v>
      </c>
      <c r="I194" s="1066" t="s">
        <v>173</v>
      </c>
      <c r="J194" s="414" t="str">
        <f t="shared" ref="J194:J257" si="3">C194&amp;D194&amp;E194&amp;F194&amp;G194&amp;H194&amp;I194 &amp; REPT("0",15-LEN(K194 &amp; IF(IFERROR(FIND(".",K194&amp;""),0)=0,".00","")))&amp;K194 &amp; IF(IFERROR(FIND(".",K194&amp;""),0)=0,".00","")</f>
        <v>A-1Compra de ViviendaLey PreferencialReposeído (BG)UsadaCasaFERIA000000080000.01</v>
      </c>
      <c r="K194" s="1047">
        <v>80000.009999999995</v>
      </c>
      <c r="L194" s="1047">
        <v>120000</v>
      </c>
      <c r="M194" s="1050">
        <v>95</v>
      </c>
      <c r="N194" s="1046">
        <v>30</v>
      </c>
      <c r="O194" s="1050">
        <v>1.5</v>
      </c>
      <c r="P194" s="1050">
        <v>4.28</v>
      </c>
      <c r="Q194" s="416"/>
    </row>
    <row r="195" spans="2:17" x14ac:dyDescent="0.25">
      <c r="B195" s="415">
        <v>194</v>
      </c>
      <c r="C195" s="1374" t="s">
        <v>967</v>
      </c>
      <c r="D195" s="413" t="s">
        <v>8</v>
      </c>
      <c r="E195" s="413" t="s">
        <v>9</v>
      </c>
      <c r="F195" s="413" t="s">
        <v>11</v>
      </c>
      <c r="G195" s="413" t="s">
        <v>21</v>
      </c>
      <c r="H195" s="413" t="s">
        <v>25</v>
      </c>
      <c r="I195" s="1066" t="s">
        <v>567</v>
      </c>
      <c r="J195" s="414" t="str">
        <f t="shared" si="3"/>
        <v>A-1Compra de ViviendaLey PreferencialResidencialNuevaApartamentoBG000000030000.00</v>
      </c>
      <c r="K195" s="1047">
        <v>30000</v>
      </c>
      <c r="L195" s="1047">
        <v>40000</v>
      </c>
      <c r="M195" s="1050">
        <v>85</v>
      </c>
      <c r="N195" s="1046">
        <v>30</v>
      </c>
      <c r="O195" s="1050">
        <v>0</v>
      </c>
      <c r="P195" s="1050">
        <v>8.56</v>
      </c>
      <c r="Q195" s="416"/>
    </row>
    <row r="196" spans="2:17" x14ac:dyDescent="0.25">
      <c r="B196" s="415">
        <v>195</v>
      </c>
      <c r="C196" s="1374" t="s">
        <v>967</v>
      </c>
      <c r="D196" s="413" t="s">
        <v>8</v>
      </c>
      <c r="E196" s="413" t="s">
        <v>9</v>
      </c>
      <c r="F196" s="413" t="s">
        <v>11</v>
      </c>
      <c r="G196" s="413" t="s">
        <v>21</v>
      </c>
      <c r="H196" s="413" t="s">
        <v>25</v>
      </c>
      <c r="I196" s="1066" t="s">
        <v>567</v>
      </c>
      <c r="J196" s="414" t="str">
        <f t="shared" si="3"/>
        <v>A-1Compra de ViviendaLey PreferencialResidencialNuevaApartamentoBG000000040000.01</v>
      </c>
      <c r="K196" s="1047">
        <v>40000.01</v>
      </c>
      <c r="L196" s="1047">
        <v>80000</v>
      </c>
      <c r="M196" s="1050">
        <v>85</v>
      </c>
      <c r="N196" s="1046">
        <v>30</v>
      </c>
      <c r="O196" s="1050">
        <v>1.5</v>
      </c>
      <c r="P196" s="1050">
        <v>8.56</v>
      </c>
      <c r="Q196" s="416"/>
    </row>
    <row r="197" spans="2:17" x14ac:dyDescent="0.25">
      <c r="B197" s="412">
        <v>196</v>
      </c>
      <c r="C197" s="1374" t="s">
        <v>967</v>
      </c>
      <c r="D197" s="413" t="s">
        <v>8</v>
      </c>
      <c r="E197" s="413" t="s">
        <v>9</v>
      </c>
      <c r="F197" s="413" t="s">
        <v>11</v>
      </c>
      <c r="G197" s="413" t="s">
        <v>21</v>
      </c>
      <c r="H197" s="413" t="s">
        <v>25</v>
      </c>
      <c r="I197" s="1066" t="s">
        <v>567</v>
      </c>
      <c r="J197" s="414" t="str">
        <f t="shared" si="3"/>
        <v>A-1Compra de ViviendaLey PreferencialResidencialNuevaApartamentoBG000000080000.01</v>
      </c>
      <c r="K197" s="1047">
        <v>80000.009999999995</v>
      </c>
      <c r="L197" s="1047">
        <v>120000</v>
      </c>
      <c r="M197" s="1050">
        <v>85</v>
      </c>
      <c r="N197" s="1046">
        <v>30</v>
      </c>
      <c r="O197" s="1050">
        <v>1.5</v>
      </c>
      <c r="P197" s="1050">
        <v>8.56</v>
      </c>
      <c r="Q197" s="416"/>
    </row>
    <row r="198" spans="2:17" x14ac:dyDescent="0.25">
      <c r="B198" s="415">
        <v>197</v>
      </c>
      <c r="C198" s="595" t="s">
        <v>967</v>
      </c>
      <c r="D198" s="413" t="s">
        <v>8</v>
      </c>
      <c r="E198" s="413" t="s">
        <v>9</v>
      </c>
      <c r="F198" s="413" t="s">
        <v>11</v>
      </c>
      <c r="G198" s="413" t="s">
        <v>21</v>
      </c>
      <c r="H198" s="413" t="s">
        <v>25</v>
      </c>
      <c r="I198" s="1066" t="s">
        <v>913</v>
      </c>
      <c r="J198" s="414" t="str">
        <f t="shared" si="3"/>
        <v>A-1Compra de ViviendaLey PreferencialResidencialNuevaApartamentoCOPA000000030000.00</v>
      </c>
      <c r="K198" s="1047">
        <v>30000</v>
      </c>
      <c r="L198" s="1047">
        <v>40000</v>
      </c>
      <c r="M198" s="1050">
        <v>95</v>
      </c>
      <c r="N198" s="1046">
        <v>30</v>
      </c>
      <c r="O198" s="1050">
        <v>0</v>
      </c>
      <c r="P198" s="1050">
        <v>8.56</v>
      </c>
      <c r="Q198" s="416"/>
    </row>
    <row r="199" spans="2:17" x14ac:dyDescent="0.25">
      <c r="B199" s="415">
        <v>198</v>
      </c>
      <c r="C199" s="595" t="s">
        <v>967</v>
      </c>
      <c r="D199" s="413" t="s">
        <v>8</v>
      </c>
      <c r="E199" s="413" t="s">
        <v>9</v>
      </c>
      <c r="F199" s="413" t="s">
        <v>11</v>
      </c>
      <c r="G199" s="413" t="s">
        <v>21</v>
      </c>
      <c r="H199" s="413" t="s">
        <v>25</v>
      </c>
      <c r="I199" s="1066" t="s">
        <v>913</v>
      </c>
      <c r="J199" s="414" t="str">
        <f t="shared" si="3"/>
        <v>A-1Compra de ViviendaLey PreferencialResidencialNuevaApartamentoCOPA000000040000.01</v>
      </c>
      <c r="K199" s="1047">
        <v>40000.01</v>
      </c>
      <c r="L199" s="1047">
        <v>80000</v>
      </c>
      <c r="M199" s="1050">
        <v>95</v>
      </c>
      <c r="N199" s="1046">
        <v>30</v>
      </c>
      <c r="O199" s="1050">
        <v>1.5</v>
      </c>
      <c r="P199" s="1050">
        <v>8.56</v>
      </c>
      <c r="Q199" s="416"/>
    </row>
    <row r="200" spans="2:17" x14ac:dyDescent="0.25">
      <c r="B200" s="415">
        <v>199</v>
      </c>
      <c r="C200" s="595" t="s">
        <v>967</v>
      </c>
      <c r="D200" s="413" t="s">
        <v>8</v>
      </c>
      <c r="E200" s="413" t="s">
        <v>9</v>
      </c>
      <c r="F200" s="413" t="s">
        <v>11</v>
      </c>
      <c r="G200" s="413" t="s">
        <v>21</v>
      </c>
      <c r="H200" s="413" t="s">
        <v>25</v>
      </c>
      <c r="I200" s="1066" t="s">
        <v>913</v>
      </c>
      <c r="J200" s="414" t="str">
        <f t="shared" si="3"/>
        <v>A-1Compra de ViviendaLey PreferencialResidencialNuevaApartamentoCOPA000000080000.01</v>
      </c>
      <c r="K200" s="1047">
        <v>80000.009999999995</v>
      </c>
      <c r="L200" s="1047">
        <v>120000</v>
      </c>
      <c r="M200" s="1050">
        <v>95</v>
      </c>
      <c r="N200" s="1046">
        <v>30</v>
      </c>
      <c r="O200" s="1050">
        <v>1.5</v>
      </c>
      <c r="P200" s="1050">
        <v>8.56</v>
      </c>
      <c r="Q200" s="416"/>
    </row>
    <row r="201" spans="2:17" x14ac:dyDescent="0.25">
      <c r="B201" s="415">
        <v>200</v>
      </c>
      <c r="C201" s="595" t="s">
        <v>967</v>
      </c>
      <c r="D201" s="413" t="s">
        <v>8</v>
      </c>
      <c r="E201" s="413" t="s">
        <v>9</v>
      </c>
      <c r="F201" s="413" t="s">
        <v>11</v>
      </c>
      <c r="G201" s="413" t="s">
        <v>21</v>
      </c>
      <c r="H201" s="413" t="s">
        <v>25</v>
      </c>
      <c r="I201" s="1066" t="s">
        <v>173</v>
      </c>
      <c r="J201" s="414" t="str">
        <f t="shared" si="3"/>
        <v>A-1Compra de ViviendaLey PreferencialResidencialNuevaApartamentoFERIA000000030000.00</v>
      </c>
      <c r="K201" s="1047">
        <v>30000</v>
      </c>
      <c r="L201" s="1047">
        <v>40000</v>
      </c>
      <c r="M201" s="1050">
        <v>95</v>
      </c>
      <c r="N201" s="1046">
        <v>30</v>
      </c>
      <c r="O201" s="1050">
        <v>0</v>
      </c>
      <c r="P201" s="1050">
        <v>4.28</v>
      </c>
      <c r="Q201" s="416"/>
    </row>
    <row r="202" spans="2:17" x14ac:dyDescent="0.25">
      <c r="B202" s="412">
        <v>201</v>
      </c>
      <c r="C202" s="595" t="s">
        <v>967</v>
      </c>
      <c r="D202" s="413" t="s">
        <v>8</v>
      </c>
      <c r="E202" s="413" t="s">
        <v>9</v>
      </c>
      <c r="F202" s="413" t="s">
        <v>11</v>
      </c>
      <c r="G202" s="413" t="s">
        <v>21</v>
      </c>
      <c r="H202" s="413" t="s">
        <v>25</v>
      </c>
      <c r="I202" s="1066" t="s">
        <v>173</v>
      </c>
      <c r="J202" s="414" t="str">
        <f t="shared" si="3"/>
        <v>A-1Compra de ViviendaLey PreferencialResidencialNuevaApartamentoFERIA000000040000.01</v>
      </c>
      <c r="K202" s="1047">
        <v>40000.01</v>
      </c>
      <c r="L202" s="1047">
        <v>80000</v>
      </c>
      <c r="M202" s="1050">
        <v>95</v>
      </c>
      <c r="N202" s="1046">
        <v>30</v>
      </c>
      <c r="O202" s="1050">
        <v>1.5</v>
      </c>
      <c r="P202" s="1050">
        <v>4.28</v>
      </c>
      <c r="Q202" s="416"/>
    </row>
    <row r="203" spans="2:17" x14ac:dyDescent="0.25">
      <c r="B203" s="415">
        <v>202</v>
      </c>
      <c r="C203" s="595" t="s">
        <v>967</v>
      </c>
      <c r="D203" s="413" t="s">
        <v>8</v>
      </c>
      <c r="E203" s="413" t="s">
        <v>9</v>
      </c>
      <c r="F203" s="413" t="s">
        <v>11</v>
      </c>
      <c r="G203" s="413" t="s">
        <v>21</v>
      </c>
      <c r="H203" s="413" t="s">
        <v>25</v>
      </c>
      <c r="I203" s="1066" t="s">
        <v>173</v>
      </c>
      <c r="J203" s="414" t="str">
        <f t="shared" si="3"/>
        <v>A-1Compra de ViviendaLey PreferencialResidencialNuevaApartamentoFERIA000000080000.01</v>
      </c>
      <c r="K203" s="1047">
        <v>80000.009999999995</v>
      </c>
      <c r="L203" s="1047">
        <v>120000</v>
      </c>
      <c r="M203" s="1050">
        <v>95</v>
      </c>
      <c r="N203" s="1046">
        <v>30</v>
      </c>
      <c r="O203" s="1050">
        <v>1.5</v>
      </c>
      <c r="P203" s="1050">
        <v>4.28</v>
      </c>
      <c r="Q203" s="416"/>
    </row>
    <row r="204" spans="2:17" x14ac:dyDescent="0.25">
      <c r="B204" s="415">
        <v>203</v>
      </c>
      <c r="C204" s="1374" t="s">
        <v>967</v>
      </c>
      <c r="D204" s="413" t="s">
        <v>8</v>
      </c>
      <c r="E204" s="413" t="s">
        <v>9</v>
      </c>
      <c r="F204" s="413" t="s">
        <v>11</v>
      </c>
      <c r="G204" s="413" t="s">
        <v>21</v>
      </c>
      <c r="H204" s="413" t="s">
        <v>22</v>
      </c>
      <c r="I204" s="1066" t="s">
        <v>567</v>
      </c>
      <c r="J204" s="414" t="str">
        <f t="shared" si="3"/>
        <v>A-1Compra de ViviendaLey PreferencialResidencialNuevaCasaBG000000000000.00</v>
      </c>
      <c r="K204" s="1054"/>
      <c r="L204" s="1054"/>
      <c r="M204" s="1055"/>
      <c r="N204" s="1055"/>
      <c r="O204" s="1050">
        <v>0</v>
      </c>
      <c r="P204" s="1050">
        <v>8.56</v>
      </c>
      <c r="Q204" s="416" t="s">
        <v>670</v>
      </c>
    </row>
    <row r="205" spans="2:17" x14ac:dyDescent="0.25">
      <c r="B205" s="415">
        <v>204</v>
      </c>
      <c r="C205" s="1374" t="s">
        <v>967</v>
      </c>
      <c r="D205" s="413" t="s">
        <v>8</v>
      </c>
      <c r="E205" s="413" t="s">
        <v>9</v>
      </c>
      <c r="F205" s="413" t="s">
        <v>11</v>
      </c>
      <c r="G205" s="413" t="s">
        <v>21</v>
      </c>
      <c r="H205" s="413" t="s">
        <v>22</v>
      </c>
      <c r="I205" s="1066" t="s">
        <v>567</v>
      </c>
      <c r="J205" s="414" t="str">
        <f t="shared" si="3"/>
        <v>A-1Compra de ViviendaLey PreferencialResidencialNuevaCasaBG000000018000.00</v>
      </c>
      <c r="K205" s="1047">
        <v>18000</v>
      </c>
      <c r="L205" s="1047">
        <v>40000</v>
      </c>
      <c r="M205" s="1050">
        <v>85</v>
      </c>
      <c r="N205" s="1046">
        <v>30</v>
      </c>
      <c r="O205" s="1050">
        <v>0</v>
      </c>
      <c r="P205" s="1050">
        <v>8.56</v>
      </c>
      <c r="Q205" s="416"/>
    </row>
    <row r="206" spans="2:17" x14ac:dyDescent="0.25">
      <c r="B206" s="415">
        <v>205</v>
      </c>
      <c r="C206" s="1374" t="s">
        <v>967</v>
      </c>
      <c r="D206" s="413" t="s">
        <v>8</v>
      </c>
      <c r="E206" s="413" t="s">
        <v>9</v>
      </c>
      <c r="F206" s="413" t="s">
        <v>11</v>
      </c>
      <c r="G206" s="413" t="s">
        <v>21</v>
      </c>
      <c r="H206" s="413" t="s">
        <v>22</v>
      </c>
      <c r="I206" s="1066" t="s">
        <v>567</v>
      </c>
      <c r="J206" s="414" t="str">
        <f t="shared" si="3"/>
        <v>A-1Compra de ViviendaLey PreferencialResidencialNuevaCasaBG000000040000.01</v>
      </c>
      <c r="K206" s="1047">
        <v>40000.01</v>
      </c>
      <c r="L206" s="1047">
        <v>80000</v>
      </c>
      <c r="M206" s="1050">
        <v>85</v>
      </c>
      <c r="N206" s="1046">
        <v>30</v>
      </c>
      <c r="O206" s="1050">
        <v>1.5</v>
      </c>
      <c r="P206" s="1050">
        <v>8.56</v>
      </c>
      <c r="Q206" s="416"/>
    </row>
    <row r="207" spans="2:17" x14ac:dyDescent="0.25">
      <c r="B207" s="412">
        <v>206</v>
      </c>
      <c r="C207" s="1374" t="s">
        <v>967</v>
      </c>
      <c r="D207" s="413" t="s">
        <v>8</v>
      </c>
      <c r="E207" s="413" t="s">
        <v>9</v>
      </c>
      <c r="F207" s="413" t="s">
        <v>11</v>
      </c>
      <c r="G207" s="413" t="s">
        <v>21</v>
      </c>
      <c r="H207" s="413" t="s">
        <v>22</v>
      </c>
      <c r="I207" s="1066" t="s">
        <v>567</v>
      </c>
      <c r="J207" s="414" t="str">
        <f t="shared" si="3"/>
        <v>A-1Compra de ViviendaLey PreferencialResidencialNuevaCasaBG000000080000.01</v>
      </c>
      <c r="K207" s="1047">
        <v>80000.009999999995</v>
      </c>
      <c r="L207" s="1047">
        <v>120000</v>
      </c>
      <c r="M207" s="1050">
        <v>85</v>
      </c>
      <c r="N207" s="1046">
        <v>30</v>
      </c>
      <c r="O207" s="1050">
        <v>1.5</v>
      </c>
      <c r="P207" s="1050">
        <v>8.56</v>
      </c>
      <c r="Q207" s="416"/>
    </row>
    <row r="208" spans="2:17" x14ac:dyDescent="0.25">
      <c r="B208" s="415">
        <v>207</v>
      </c>
      <c r="C208" s="595" t="s">
        <v>967</v>
      </c>
      <c r="D208" s="413" t="s">
        <v>8</v>
      </c>
      <c r="E208" s="413" t="s">
        <v>9</v>
      </c>
      <c r="F208" s="413" t="s">
        <v>11</v>
      </c>
      <c r="G208" s="413" t="s">
        <v>21</v>
      </c>
      <c r="H208" s="413" t="s">
        <v>22</v>
      </c>
      <c r="I208" s="1066" t="s">
        <v>913</v>
      </c>
      <c r="J208" s="414" t="str">
        <f t="shared" si="3"/>
        <v>A-1Compra de ViviendaLey PreferencialResidencialNuevaCasaCOPA000000018000.00</v>
      </c>
      <c r="K208" s="1047">
        <v>18000</v>
      </c>
      <c r="L208" s="1047">
        <v>40000</v>
      </c>
      <c r="M208" s="1050">
        <v>98</v>
      </c>
      <c r="N208" s="1046">
        <v>30</v>
      </c>
      <c r="O208" s="1050">
        <v>0</v>
      </c>
      <c r="P208" s="1050">
        <v>8.56</v>
      </c>
      <c r="Q208" s="416"/>
    </row>
    <row r="209" spans="2:17" x14ac:dyDescent="0.25">
      <c r="B209" s="415">
        <v>208</v>
      </c>
      <c r="C209" s="595" t="s">
        <v>967</v>
      </c>
      <c r="D209" s="413" t="s">
        <v>8</v>
      </c>
      <c r="E209" s="413" t="s">
        <v>9</v>
      </c>
      <c r="F209" s="413" t="s">
        <v>11</v>
      </c>
      <c r="G209" s="413" t="s">
        <v>21</v>
      </c>
      <c r="H209" s="413" t="s">
        <v>22</v>
      </c>
      <c r="I209" s="1066" t="s">
        <v>913</v>
      </c>
      <c r="J209" s="414" t="str">
        <f t="shared" si="3"/>
        <v>A-1Compra de ViviendaLey PreferencialResidencialNuevaCasaCOPA000000040000.01</v>
      </c>
      <c r="K209" s="1047">
        <v>40000.01</v>
      </c>
      <c r="L209" s="1047">
        <v>80000</v>
      </c>
      <c r="M209" s="1050">
        <v>98</v>
      </c>
      <c r="N209" s="1046">
        <v>30</v>
      </c>
      <c r="O209" s="1050">
        <v>1.5</v>
      </c>
      <c r="P209" s="1050">
        <v>8.56</v>
      </c>
      <c r="Q209" s="416"/>
    </row>
    <row r="210" spans="2:17" x14ac:dyDescent="0.25">
      <c r="B210" s="415">
        <v>209</v>
      </c>
      <c r="C210" s="595" t="s">
        <v>967</v>
      </c>
      <c r="D210" s="413" t="s">
        <v>8</v>
      </c>
      <c r="E210" s="413" t="s">
        <v>9</v>
      </c>
      <c r="F210" s="413" t="s">
        <v>11</v>
      </c>
      <c r="G210" s="413" t="s">
        <v>21</v>
      </c>
      <c r="H210" s="413" t="s">
        <v>22</v>
      </c>
      <c r="I210" s="1066" t="s">
        <v>913</v>
      </c>
      <c r="J210" s="414" t="str">
        <f t="shared" si="3"/>
        <v>A-1Compra de ViviendaLey PreferencialResidencialNuevaCasaCOPA000000080000.01</v>
      </c>
      <c r="K210" s="1047">
        <v>80000.009999999995</v>
      </c>
      <c r="L210" s="1047">
        <v>120000</v>
      </c>
      <c r="M210" s="1050">
        <v>98</v>
      </c>
      <c r="N210" s="1046">
        <v>30</v>
      </c>
      <c r="O210" s="1050">
        <v>1.5</v>
      </c>
      <c r="P210" s="1050">
        <v>8.56</v>
      </c>
      <c r="Q210" s="416"/>
    </row>
    <row r="211" spans="2:17" x14ac:dyDescent="0.25">
      <c r="B211" s="415">
        <v>210</v>
      </c>
      <c r="C211" s="595" t="s">
        <v>967</v>
      </c>
      <c r="D211" s="413" t="s">
        <v>8</v>
      </c>
      <c r="E211" s="413" t="s">
        <v>9</v>
      </c>
      <c r="F211" s="413" t="s">
        <v>11</v>
      </c>
      <c r="G211" s="413" t="s">
        <v>21</v>
      </c>
      <c r="H211" s="413" t="s">
        <v>22</v>
      </c>
      <c r="I211" s="1066" t="s">
        <v>173</v>
      </c>
      <c r="J211" s="414" t="str">
        <f t="shared" si="3"/>
        <v>A-1Compra de ViviendaLey PreferencialResidencialNuevaCasaFERIA000000018000.00</v>
      </c>
      <c r="K211" s="1047">
        <v>18000</v>
      </c>
      <c r="L211" s="1047">
        <v>40000</v>
      </c>
      <c r="M211" s="1050">
        <v>98</v>
      </c>
      <c r="N211" s="1046">
        <v>30</v>
      </c>
      <c r="O211" s="1050">
        <v>0</v>
      </c>
      <c r="P211" s="1050">
        <v>4.28</v>
      </c>
      <c r="Q211" s="416"/>
    </row>
    <row r="212" spans="2:17" x14ac:dyDescent="0.25">
      <c r="B212" s="412">
        <v>211</v>
      </c>
      <c r="C212" s="595" t="s">
        <v>967</v>
      </c>
      <c r="D212" s="413" t="s">
        <v>8</v>
      </c>
      <c r="E212" s="413" t="s">
        <v>9</v>
      </c>
      <c r="F212" s="413" t="s">
        <v>11</v>
      </c>
      <c r="G212" s="413" t="s">
        <v>21</v>
      </c>
      <c r="H212" s="413" t="s">
        <v>22</v>
      </c>
      <c r="I212" s="1066" t="s">
        <v>173</v>
      </c>
      <c r="J212" s="414" t="str">
        <f t="shared" si="3"/>
        <v>A-1Compra de ViviendaLey PreferencialResidencialNuevaCasaFERIA000000040000.01</v>
      </c>
      <c r="K212" s="1047">
        <v>40000.01</v>
      </c>
      <c r="L212" s="1047">
        <v>80000</v>
      </c>
      <c r="M212" s="1050">
        <v>98</v>
      </c>
      <c r="N212" s="1046">
        <v>30</v>
      </c>
      <c r="O212" s="1050">
        <v>1.5</v>
      </c>
      <c r="P212" s="1050">
        <v>4.28</v>
      </c>
      <c r="Q212" s="416"/>
    </row>
    <row r="213" spans="2:17" x14ac:dyDescent="0.25">
      <c r="B213" s="415">
        <v>212</v>
      </c>
      <c r="C213" s="595" t="s">
        <v>967</v>
      </c>
      <c r="D213" s="413" t="s">
        <v>8</v>
      </c>
      <c r="E213" s="413" t="s">
        <v>9</v>
      </c>
      <c r="F213" s="413" t="s">
        <v>11</v>
      </c>
      <c r="G213" s="413" t="s">
        <v>21</v>
      </c>
      <c r="H213" s="413" t="s">
        <v>22</v>
      </c>
      <c r="I213" s="1066" t="s">
        <v>173</v>
      </c>
      <c r="J213" s="414" t="str">
        <f t="shared" si="3"/>
        <v>A-1Compra de ViviendaLey PreferencialResidencialNuevaCasaFERIA000000080000.01</v>
      </c>
      <c r="K213" s="1047">
        <v>80000.009999999995</v>
      </c>
      <c r="L213" s="1047">
        <v>120000</v>
      </c>
      <c r="M213" s="1050">
        <v>98</v>
      </c>
      <c r="N213" s="1046">
        <v>30</v>
      </c>
      <c r="O213" s="1050">
        <v>1.5</v>
      </c>
      <c r="P213" s="1050">
        <v>4.28</v>
      </c>
      <c r="Q213" s="416"/>
    </row>
    <row r="214" spans="2:17" x14ac:dyDescent="0.25">
      <c r="B214" s="415">
        <v>213</v>
      </c>
      <c r="C214" s="595" t="s">
        <v>967</v>
      </c>
      <c r="D214" s="413" t="s">
        <v>1365</v>
      </c>
      <c r="E214" s="413" t="s">
        <v>762</v>
      </c>
      <c r="F214" s="413" t="s">
        <v>11</v>
      </c>
      <c r="G214" s="413" t="s">
        <v>21</v>
      </c>
      <c r="H214" s="413" t="s">
        <v>25</v>
      </c>
      <c r="I214" s="1066" t="s">
        <v>567</v>
      </c>
      <c r="J214" s="414" t="str">
        <f t="shared" si="3"/>
        <v>A-1Compra Venta de AccionesCasco AntiguoResidencialNuevaApartamentoBG000000030000.00</v>
      </c>
      <c r="K214" s="1047">
        <v>30000</v>
      </c>
      <c r="L214" s="1047">
        <v>99999999</v>
      </c>
      <c r="M214" s="1050">
        <v>80</v>
      </c>
      <c r="N214" s="1046">
        <v>30</v>
      </c>
      <c r="O214" s="1050">
        <v>3.5</v>
      </c>
      <c r="P214" s="1050">
        <v>4.28</v>
      </c>
      <c r="Q214" s="416"/>
    </row>
    <row r="215" spans="2:17" x14ac:dyDescent="0.25">
      <c r="B215" s="415">
        <v>214</v>
      </c>
      <c r="C215" s="595" t="s">
        <v>967</v>
      </c>
      <c r="D215" s="413" t="s">
        <v>1365</v>
      </c>
      <c r="E215" s="413" t="s">
        <v>762</v>
      </c>
      <c r="F215" s="413" t="s">
        <v>11</v>
      </c>
      <c r="G215" s="413" t="s">
        <v>21</v>
      </c>
      <c r="H215" s="413" t="s">
        <v>22</v>
      </c>
      <c r="I215" s="1066" t="s">
        <v>567</v>
      </c>
      <c r="J215" s="414" t="str">
        <f t="shared" si="3"/>
        <v>A-1Compra Venta de AccionesCasco AntiguoResidencialNuevaCasaBG000000030000.00</v>
      </c>
      <c r="K215" s="1047">
        <v>30000</v>
      </c>
      <c r="L215" s="1047">
        <v>99999999</v>
      </c>
      <c r="M215" s="1050">
        <v>80</v>
      </c>
      <c r="N215" s="1046">
        <v>30</v>
      </c>
      <c r="O215" s="1050">
        <v>3.5</v>
      </c>
      <c r="P215" s="1050">
        <v>4.28</v>
      </c>
      <c r="Q215" s="416"/>
    </row>
    <row r="216" spans="2:17" x14ac:dyDescent="0.25">
      <c r="B216" s="415">
        <v>215</v>
      </c>
      <c r="C216" s="595" t="s">
        <v>967</v>
      </c>
      <c r="D216" s="413" t="s">
        <v>1365</v>
      </c>
      <c r="E216" s="413" t="s">
        <v>762</v>
      </c>
      <c r="F216" s="413" t="s">
        <v>11</v>
      </c>
      <c r="G216" s="413" t="s">
        <v>24</v>
      </c>
      <c r="H216" s="413" t="s">
        <v>25</v>
      </c>
      <c r="I216" s="1066" t="s">
        <v>567</v>
      </c>
      <c r="J216" s="414" t="str">
        <f t="shared" si="3"/>
        <v>A-1Compra Venta de AccionesCasco AntiguoResidencialUsadaApartamentoBG000000030000.00</v>
      </c>
      <c r="K216" s="1047">
        <v>30000</v>
      </c>
      <c r="L216" s="1047">
        <v>99999999</v>
      </c>
      <c r="M216" s="1050">
        <v>80</v>
      </c>
      <c r="N216" s="1046">
        <v>30</v>
      </c>
      <c r="O216" s="1050">
        <v>3.5</v>
      </c>
      <c r="P216" s="1050">
        <v>4.28</v>
      </c>
      <c r="Q216" s="416"/>
    </row>
    <row r="217" spans="2:17" x14ac:dyDescent="0.25">
      <c r="B217" s="412">
        <v>216</v>
      </c>
      <c r="C217" s="595" t="s">
        <v>967</v>
      </c>
      <c r="D217" s="413" t="s">
        <v>1365</v>
      </c>
      <c r="E217" s="413" t="s">
        <v>762</v>
      </c>
      <c r="F217" s="413" t="s">
        <v>11</v>
      </c>
      <c r="G217" s="413" t="s">
        <v>24</v>
      </c>
      <c r="H217" s="413" t="s">
        <v>22</v>
      </c>
      <c r="I217" s="1066" t="s">
        <v>567</v>
      </c>
      <c r="J217" s="414" t="str">
        <f t="shared" si="3"/>
        <v>A-1Compra Venta de AccionesCasco AntiguoResidencialUsadaCasaBG000000030000.00</v>
      </c>
      <c r="K217" s="1047">
        <v>30000</v>
      </c>
      <c r="L217" s="1047">
        <v>99999999</v>
      </c>
      <c r="M217" s="1050">
        <v>80</v>
      </c>
      <c r="N217" s="1046">
        <v>30</v>
      </c>
      <c r="O217" s="1050">
        <v>3.5</v>
      </c>
      <c r="P217" s="1050">
        <v>4.28</v>
      </c>
      <c r="Q217" s="416"/>
    </row>
    <row r="218" spans="2:17" x14ac:dyDescent="0.25">
      <c r="B218" s="415">
        <v>217</v>
      </c>
      <c r="C218" s="595" t="s">
        <v>967</v>
      </c>
      <c r="D218" s="413" t="s">
        <v>1365</v>
      </c>
      <c r="E218" s="413" t="s">
        <v>17</v>
      </c>
      <c r="F218" s="413" t="s">
        <v>11</v>
      </c>
      <c r="G218" s="413" t="s">
        <v>21</v>
      </c>
      <c r="H218" s="413" t="s">
        <v>25</v>
      </c>
      <c r="I218" s="1066" t="s">
        <v>567</v>
      </c>
      <c r="J218" s="414" t="str">
        <f t="shared" si="3"/>
        <v>A-1Compra Venta de AccionesIndividualResidencialNuevaApartamentoBG000000030000.00</v>
      </c>
      <c r="K218" s="1047">
        <v>30000</v>
      </c>
      <c r="L218" s="1047">
        <v>100000</v>
      </c>
      <c r="M218" s="1050">
        <v>95</v>
      </c>
      <c r="N218" s="1046">
        <v>30</v>
      </c>
      <c r="O218" s="1050">
        <v>5</v>
      </c>
      <c r="P218" s="1050">
        <v>8.56</v>
      </c>
      <c r="Q218" s="416"/>
    </row>
    <row r="219" spans="2:17" x14ac:dyDescent="0.25">
      <c r="B219" s="415">
        <v>218</v>
      </c>
      <c r="C219" s="595" t="s">
        <v>967</v>
      </c>
      <c r="D219" s="413" t="s">
        <v>1365</v>
      </c>
      <c r="E219" s="413" t="s">
        <v>17</v>
      </c>
      <c r="F219" s="413" t="s">
        <v>11</v>
      </c>
      <c r="G219" s="413" t="s">
        <v>21</v>
      </c>
      <c r="H219" s="413" t="s">
        <v>25</v>
      </c>
      <c r="I219" s="1066" t="s">
        <v>567</v>
      </c>
      <c r="J219" s="414" t="str">
        <f t="shared" si="3"/>
        <v>A-1Compra Venta de AccionesIndividualResidencialNuevaApartamentoBG000000100000.01</v>
      </c>
      <c r="K219" s="1047">
        <v>100000.01</v>
      </c>
      <c r="L219" s="1047">
        <v>250000</v>
      </c>
      <c r="M219" s="1050">
        <v>90</v>
      </c>
      <c r="N219" s="1046">
        <v>30</v>
      </c>
      <c r="O219" s="1050">
        <v>5</v>
      </c>
      <c r="P219" s="1050">
        <v>8.56</v>
      </c>
      <c r="Q219" s="416"/>
    </row>
    <row r="220" spans="2:17" x14ac:dyDescent="0.25">
      <c r="B220" s="415">
        <v>219</v>
      </c>
      <c r="C220" s="595" t="s">
        <v>967</v>
      </c>
      <c r="D220" s="413" t="s">
        <v>1365</v>
      </c>
      <c r="E220" s="413" t="s">
        <v>17</v>
      </c>
      <c r="F220" s="413" t="s">
        <v>11</v>
      </c>
      <c r="G220" s="413" t="s">
        <v>21</v>
      </c>
      <c r="H220" s="413" t="s">
        <v>25</v>
      </c>
      <c r="I220" s="1066" t="s">
        <v>567</v>
      </c>
      <c r="J220" s="414" t="str">
        <f t="shared" si="3"/>
        <v>A-1Compra Venta de AccionesIndividualResidencialNuevaApartamentoBG000000250000.01</v>
      </c>
      <c r="K220" s="1047">
        <v>250000.01</v>
      </c>
      <c r="L220" s="1047">
        <v>600000</v>
      </c>
      <c r="M220" s="1050">
        <v>80</v>
      </c>
      <c r="N220" s="1046">
        <v>30</v>
      </c>
      <c r="O220" s="1050">
        <v>5</v>
      </c>
      <c r="P220" s="1050">
        <v>8.56</v>
      </c>
      <c r="Q220" s="416"/>
    </row>
    <row r="221" spans="2:17" x14ac:dyDescent="0.25">
      <c r="B221" s="415">
        <v>220</v>
      </c>
      <c r="C221" s="595" t="s">
        <v>967</v>
      </c>
      <c r="D221" s="413" t="s">
        <v>1365</v>
      </c>
      <c r="E221" s="413" t="s">
        <v>17</v>
      </c>
      <c r="F221" s="413" t="s">
        <v>11</v>
      </c>
      <c r="G221" s="413" t="s">
        <v>21</v>
      </c>
      <c r="H221" s="413" t="s">
        <v>25</v>
      </c>
      <c r="I221" s="1066" t="s">
        <v>567</v>
      </c>
      <c r="J221" s="414" t="str">
        <f t="shared" si="3"/>
        <v>A-1Compra Venta de AccionesIndividualResidencialNuevaApartamentoBG000000600000.01</v>
      </c>
      <c r="K221" s="1047">
        <v>600000.01</v>
      </c>
      <c r="L221" s="1047">
        <v>99999999</v>
      </c>
      <c r="M221" s="1050">
        <v>70</v>
      </c>
      <c r="N221" s="1046">
        <v>30</v>
      </c>
      <c r="O221" s="1050">
        <v>5</v>
      </c>
      <c r="P221" s="1050">
        <v>8.56</v>
      </c>
      <c r="Q221" s="416"/>
    </row>
    <row r="222" spans="2:17" x14ac:dyDescent="0.25">
      <c r="B222" s="412">
        <v>221</v>
      </c>
      <c r="C222" s="595" t="s">
        <v>967</v>
      </c>
      <c r="D222" s="413" t="s">
        <v>1365</v>
      </c>
      <c r="E222" s="413" t="s">
        <v>17</v>
      </c>
      <c r="F222" s="413" t="s">
        <v>11</v>
      </c>
      <c r="G222" s="413" t="s">
        <v>21</v>
      </c>
      <c r="H222" s="413" t="s">
        <v>22</v>
      </c>
      <c r="I222" s="1066" t="s">
        <v>567</v>
      </c>
      <c r="J222" s="414" t="str">
        <f t="shared" si="3"/>
        <v>A-1Compra Venta de AccionesIndividualResidencialNuevaCasaBG000000018000.00</v>
      </c>
      <c r="K222" s="1047">
        <v>18000</v>
      </c>
      <c r="L222" s="1047">
        <v>100000</v>
      </c>
      <c r="M222" s="1050">
        <v>95</v>
      </c>
      <c r="N222" s="1046">
        <v>30</v>
      </c>
      <c r="O222" s="1050">
        <v>5</v>
      </c>
      <c r="P222" s="1050">
        <v>8.56</v>
      </c>
      <c r="Q222" s="416"/>
    </row>
    <row r="223" spans="2:17" x14ac:dyDescent="0.25">
      <c r="B223" s="415">
        <v>222</v>
      </c>
      <c r="C223" s="595" t="s">
        <v>967</v>
      </c>
      <c r="D223" s="413" t="s">
        <v>1365</v>
      </c>
      <c r="E223" s="413" t="s">
        <v>17</v>
      </c>
      <c r="F223" s="413" t="s">
        <v>11</v>
      </c>
      <c r="G223" s="413" t="s">
        <v>21</v>
      </c>
      <c r="H223" s="413" t="s">
        <v>22</v>
      </c>
      <c r="I223" s="1066" t="s">
        <v>567</v>
      </c>
      <c r="J223" s="414" t="str">
        <f t="shared" si="3"/>
        <v>A-1Compra Venta de AccionesIndividualResidencialNuevaCasaBG000000100000.01</v>
      </c>
      <c r="K223" s="1047">
        <v>100000.01</v>
      </c>
      <c r="L223" s="1047">
        <v>250000</v>
      </c>
      <c r="M223" s="1050">
        <v>90</v>
      </c>
      <c r="N223" s="1046">
        <v>30</v>
      </c>
      <c r="O223" s="1050">
        <v>5</v>
      </c>
      <c r="P223" s="1050">
        <v>8.56</v>
      </c>
      <c r="Q223" s="416"/>
    </row>
    <row r="224" spans="2:17" x14ac:dyDescent="0.25">
      <c r="B224" s="415">
        <v>223</v>
      </c>
      <c r="C224" s="595" t="s">
        <v>967</v>
      </c>
      <c r="D224" s="413" t="s">
        <v>1365</v>
      </c>
      <c r="E224" s="413" t="s">
        <v>17</v>
      </c>
      <c r="F224" s="413" t="s">
        <v>11</v>
      </c>
      <c r="G224" s="413" t="s">
        <v>21</v>
      </c>
      <c r="H224" s="413" t="s">
        <v>22</v>
      </c>
      <c r="I224" s="1066" t="s">
        <v>567</v>
      </c>
      <c r="J224" s="414" t="str">
        <f t="shared" si="3"/>
        <v>A-1Compra Venta de AccionesIndividualResidencialNuevaCasaBG000000250000.01</v>
      </c>
      <c r="K224" s="1047">
        <v>250000.01</v>
      </c>
      <c r="L224" s="1047">
        <v>600000</v>
      </c>
      <c r="M224" s="1050">
        <v>80</v>
      </c>
      <c r="N224" s="1046">
        <v>30</v>
      </c>
      <c r="O224" s="1050">
        <v>5</v>
      </c>
      <c r="P224" s="1050">
        <v>8.56</v>
      </c>
      <c r="Q224" s="416"/>
    </row>
    <row r="225" spans="2:17" x14ac:dyDescent="0.25">
      <c r="B225" s="415">
        <v>224</v>
      </c>
      <c r="C225" s="595" t="s">
        <v>967</v>
      </c>
      <c r="D225" s="413" t="s">
        <v>1365</v>
      </c>
      <c r="E225" s="413" t="s">
        <v>17</v>
      </c>
      <c r="F225" s="413" t="s">
        <v>11</v>
      </c>
      <c r="G225" s="413" t="s">
        <v>21</v>
      </c>
      <c r="H225" s="413" t="s">
        <v>22</v>
      </c>
      <c r="I225" s="1066" t="s">
        <v>567</v>
      </c>
      <c r="J225" s="414" t="str">
        <f t="shared" si="3"/>
        <v>A-1Compra Venta de AccionesIndividualResidencialNuevaCasaBG000000600000.01</v>
      </c>
      <c r="K225" s="1047">
        <v>600000.01</v>
      </c>
      <c r="L225" s="1047">
        <v>99999999</v>
      </c>
      <c r="M225" s="1050">
        <v>70</v>
      </c>
      <c r="N225" s="1046">
        <v>30</v>
      </c>
      <c r="O225" s="1050">
        <v>5</v>
      </c>
      <c r="P225" s="1050">
        <v>8.56</v>
      </c>
      <c r="Q225" s="416"/>
    </row>
    <row r="226" spans="2:17" x14ac:dyDescent="0.25">
      <c r="B226" s="415">
        <v>225</v>
      </c>
      <c r="C226" s="595" t="s">
        <v>967</v>
      </c>
      <c r="D226" s="413" t="s">
        <v>1365</v>
      </c>
      <c r="E226" s="413" t="s">
        <v>17</v>
      </c>
      <c r="F226" s="413" t="s">
        <v>11</v>
      </c>
      <c r="G226" s="413" t="s">
        <v>24</v>
      </c>
      <c r="H226" s="413" t="s">
        <v>25</v>
      </c>
      <c r="I226" s="1066" t="s">
        <v>567</v>
      </c>
      <c r="J226" s="414" t="str">
        <f t="shared" si="3"/>
        <v>A-1Compra Venta de AccionesIndividualResidencialUsadaApartamentoBG000000030000.00</v>
      </c>
      <c r="K226" s="1047">
        <v>30000</v>
      </c>
      <c r="L226" s="1047">
        <v>250000</v>
      </c>
      <c r="M226" s="1050">
        <v>90</v>
      </c>
      <c r="N226" s="1046">
        <v>25</v>
      </c>
      <c r="O226" s="1050">
        <v>5</v>
      </c>
      <c r="P226" s="1050">
        <v>8.56</v>
      </c>
      <c r="Q226" s="416"/>
    </row>
    <row r="227" spans="2:17" x14ac:dyDescent="0.25">
      <c r="B227" s="412">
        <v>226</v>
      </c>
      <c r="C227" s="595" t="s">
        <v>967</v>
      </c>
      <c r="D227" s="413" t="s">
        <v>1365</v>
      </c>
      <c r="E227" s="413" t="s">
        <v>17</v>
      </c>
      <c r="F227" s="413" t="s">
        <v>11</v>
      </c>
      <c r="G227" s="413" t="s">
        <v>24</v>
      </c>
      <c r="H227" s="413" t="s">
        <v>25</v>
      </c>
      <c r="I227" s="1066" t="s">
        <v>567</v>
      </c>
      <c r="J227" s="414" t="str">
        <f t="shared" si="3"/>
        <v>A-1Compra Venta de AccionesIndividualResidencialUsadaApartamentoBG000000250000.01</v>
      </c>
      <c r="K227" s="1047">
        <v>250000.01</v>
      </c>
      <c r="L227" s="1047">
        <v>500000</v>
      </c>
      <c r="M227" s="1050">
        <v>80</v>
      </c>
      <c r="N227" s="1046">
        <v>25</v>
      </c>
      <c r="O227" s="1050">
        <v>5</v>
      </c>
      <c r="P227" s="1050">
        <v>8.56</v>
      </c>
      <c r="Q227" s="416"/>
    </row>
    <row r="228" spans="2:17" x14ac:dyDescent="0.25">
      <c r="B228" s="415">
        <v>227</v>
      </c>
      <c r="C228" s="595" t="s">
        <v>967</v>
      </c>
      <c r="D228" s="413" t="s">
        <v>1365</v>
      </c>
      <c r="E228" s="413" t="s">
        <v>17</v>
      </c>
      <c r="F228" s="413" t="s">
        <v>11</v>
      </c>
      <c r="G228" s="413" t="s">
        <v>24</v>
      </c>
      <c r="H228" s="413" t="s">
        <v>25</v>
      </c>
      <c r="I228" s="1066" t="s">
        <v>567</v>
      </c>
      <c r="J228" s="414" t="str">
        <f t="shared" si="3"/>
        <v>A-1Compra Venta de AccionesIndividualResidencialUsadaApartamentoBG000000500000.01</v>
      </c>
      <c r="K228" s="1047">
        <v>500000.01</v>
      </c>
      <c r="L228" s="1047">
        <v>99999999</v>
      </c>
      <c r="M228" s="1050">
        <v>70</v>
      </c>
      <c r="N228" s="1046">
        <v>25</v>
      </c>
      <c r="O228" s="1050">
        <v>5</v>
      </c>
      <c r="P228" s="1050">
        <v>8.56</v>
      </c>
      <c r="Q228" s="416"/>
    </row>
    <row r="229" spans="2:17" x14ac:dyDescent="0.25">
      <c r="B229" s="415">
        <v>228</v>
      </c>
      <c r="C229" s="595" t="s">
        <v>967</v>
      </c>
      <c r="D229" s="413" t="s">
        <v>1365</v>
      </c>
      <c r="E229" s="413" t="s">
        <v>17</v>
      </c>
      <c r="F229" s="413" t="s">
        <v>11</v>
      </c>
      <c r="G229" s="413" t="s">
        <v>24</v>
      </c>
      <c r="H229" s="413" t="s">
        <v>22</v>
      </c>
      <c r="I229" s="1066" t="s">
        <v>567</v>
      </c>
      <c r="J229" s="414" t="str">
        <f t="shared" si="3"/>
        <v>A-1Compra Venta de AccionesIndividualResidencialUsadaCasaBG000000030000.00</v>
      </c>
      <c r="K229" s="1047">
        <v>30000</v>
      </c>
      <c r="L229" s="1047">
        <v>200000</v>
      </c>
      <c r="M229" s="1050">
        <v>90</v>
      </c>
      <c r="N229" s="1046">
        <v>30</v>
      </c>
      <c r="O229" s="1050">
        <v>5</v>
      </c>
      <c r="P229" s="1050">
        <v>8.56</v>
      </c>
      <c r="Q229" s="416"/>
    </row>
    <row r="230" spans="2:17" x14ac:dyDescent="0.25">
      <c r="B230" s="415">
        <v>229</v>
      </c>
      <c r="C230" s="595" t="s">
        <v>967</v>
      </c>
      <c r="D230" s="413" t="s">
        <v>1365</v>
      </c>
      <c r="E230" s="413" t="s">
        <v>17</v>
      </c>
      <c r="F230" s="413" t="s">
        <v>11</v>
      </c>
      <c r="G230" s="413" t="s">
        <v>24</v>
      </c>
      <c r="H230" s="413" t="s">
        <v>22</v>
      </c>
      <c r="I230" s="1066" t="s">
        <v>567</v>
      </c>
      <c r="J230" s="414" t="str">
        <f t="shared" si="3"/>
        <v>A-1Compra Venta de AccionesIndividualResidencialUsadaCasaBG000000200000.01</v>
      </c>
      <c r="K230" s="1047">
        <v>200000.01</v>
      </c>
      <c r="L230" s="1047">
        <v>500000</v>
      </c>
      <c r="M230" s="1050">
        <v>80</v>
      </c>
      <c r="N230" s="1046">
        <v>30</v>
      </c>
      <c r="O230" s="1050">
        <v>5</v>
      </c>
      <c r="P230" s="1050">
        <v>8.56</v>
      </c>
      <c r="Q230" s="416"/>
    </row>
    <row r="231" spans="2:17" x14ac:dyDescent="0.25">
      <c r="B231" s="415">
        <v>230</v>
      </c>
      <c r="C231" s="595" t="s">
        <v>967</v>
      </c>
      <c r="D231" s="413" t="s">
        <v>1365</v>
      </c>
      <c r="E231" s="413" t="s">
        <v>17</v>
      </c>
      <c r="F231" s="413" t="s">
        <v>11</v>
      </c>
      <c r="G231" s="413" t="s">
        <v>24</v>
      </c>
      <c r="H231" s="413" t="s">
        <v>22</v>
      </c>
      <c r="I231" s="1066" t="s">
        <v>567</v>
      </c>
      <c r="J231" s="414" t="str">
        <f t="shared" si="3"/>
        <v>A-1Compra Venta de AccionesIndividualResidencialUsadaCasaBG000000500000.01</v>
      </c>
      <c r="K231" s="1047">
        <v>500000.01</v>
      </c>
      <c r="L231" s="1047">
        <v>99999999</v>
      </c>
      <c r="M231" s="1050">
        <v>70</v>
      </c>
      <c r="N231" s="1046">
        <v>30</v>
      </c>
      <c r="O231" s="1050">
        <v>5</v>
      </c>
      <c r="P231" s="1050">
        <v>8.56</v>
      </c>
      <c r="Q231" s="416"/>
    </row>
    <row r="232" spans="2:17" x14ac:dyDescent="0.25">
      <c r="B232" s="412">
        <v>231</v>
      </c>
      <c r="C232" s="1374" t="s">
        <v>967</v>
      </c>
      <c r="D232" s="413" t="s">
        <v>23</v>
      </c>
      <c r="E232" s="413" t="s">
        <v>17</v>
      </c>
      <c r="F232" s="413" t="s">
        <v>11</v>
      </c>
      <c r="G232" s="413" t="s">
        <v>24</v>
      </c>
      <c r="H232" s="413" t="s">
        <v>25</v>
      </c>
      <c r="I232" s="1066" t="s">
        <v>567</v>
      </c>
      <c r="J232" s="414" t="str">
        <f t="shared" si="3"/>
        <v>A-1Compra Vivienda VacacionalIndividualResidencialUsadaApartamentoBG000000030000.00</v>
      </c>
      <c r="K232" s="1047">
        <v>30000</v>
      </c>
      <c r="L232" s="1047">
        <v>250000</v>
      </c>
      <c r="M232" s="1050">
        <v>60</v>
      </c>
      <c r="N232" s="1046">
        <v>20</v>
      </c>
      <c r="O232" s="1050">
        <v>6.75</v>
      </c>
      <c r="P232" s="1050">
        <v>8.56</v>
      </c>
      <c r="Q232" s="416"/>
    </row>
    <row r="233" spans="2:17" x14ac:dyDescent="0.25">
      <c r="B233" s="415">
        <v>232</v>
      </c>
      <c r="C233" s="1374" t="s">
        <v>967</v>
      </c>
      <c r="D233" s="413" t="s">
        <v>23</v>
      </c>
      <c r="E233" s="413" t="s">
        <v>17</v>
      </c>
      <c r="F233" s="413" t="s">
        <v>11</v>
      </c>
      <c r="G233" s="413" t="s">
        <v>24</v>
      </c>
      <c r="H233" s="413" t="s">
        <v>25</v>
      </c>
      <c r="I233" s="1066" t="s">
        <v>567</v>
      </c>
      <c r="J233" s="414" t="str">
        <f t="shared" si="3"/>
        <v>A-1Compra Vivienda VacacionalIndividualResidencialUsadaApartamentoBG000000250000.01</v>
      </c>
      <c r="K233" s="1047">
        <v>250000.01</v>
      </c>
      <c r="L233" s="1047">
        <v>500000</v>
      </c>
      <c r="M233" s="1050">
        <v>60</v>
      </c>
      <c r="N233" s="1046">
        <v>20</v>
      </c>
      <c r="O233" s="1050">
        <v>6.75</v>
      </c>
      <c r="P233" s="1050">
        <v>8.56</v>
      </c>
      <c r="Q233" s="416"/>
    </row>
    <row r="234" spans="2:17" x14ac:dyDescent="0.25">
      <c r="B234" s="415">
        <v>233</v>
      </c>
      <c r="C234" s="1374" t="s">
        <v>967</v>
      </c>
      <c r="D234" s="413" t="s">
        <v>23</v>
      </c>
      <c r="E234" s="413" t="s">
        <v>17</v>
      </c>
      <c r="F234" s="413" t="s">
        <v>11</v>
      </c>
      <c r="G234" s="413" t="s">
        <v>24</v>
      </c>
      <c r="H234" s="413" t="s">
        <v>25</v>
      </c>
      <c r="I234" s="1066" t="s">
        <v>567</v>
      </c>
      <c r="J234" s="414" t="str">
        <f t="shared" si="3"/>
        <v>A-1Compra Vivienda VacacionalIndividualResidencialUsadaApartamentoBG000000500000.01</v>
      </c>
      <c r="K234" s="1047">
        <v>500000.01</v>
      </c>
      <c r="L234" s="1047">
        <v>99999999</v>
      </c>
      <c r="M234" s="1050">
        <v>60</v>
      </c>
      <c r="N234" s="1046">
        <v>20</v>
      </c>
      <c r="O234" s="1050">
        <v>6.75</v>
      </c>
      <c r="P234" s="1050">
        <v>8.56</v>
      </c>
      <c r="Q234" s="416"/>
    </row>
    <row r="235" spans="2:17" x14ac:dyDescent="0.25">
      <c r="B235" s="415">
        <v>234</v>
      </c>
      <c r="C235" s="595" t="s">
        <v>967</v>
      </c>
      <c r="D235" s="413" t="s">
        <v>23</v>
      </c>
      <c r="E235" s="413" t="s">
        <v>17</v>
      </c>
      <c r="F235" s="413" t="s">
        <v>11</v>
      </c>
      <c r="G235" s="413" t="s">
        <v>24</v>
      </c>
      <c r="H235" s="413" t="s">
        <v>25</v>
      </c>
      <c r="I235" s="1066" t="s">
        <v>913</v>
      </c>
      <c r="J235" s="414" t="str">
        <f t="shared" si="3"/>
        <v>A-1Compra Vivienda VacacionalIndividualResidencialUsadaApartamentoCOPA000000030000.00</v>
      </c>
      <c r="K235" s="1047">
        <v>30000</v>
      </c>
      <c r="L235" s="1047">
        <v>250000</v>
      </c>
      <c r="M235" s="1050">
        <v>90</v>
      </c>
      <c r="N235" s="1046">
        <v>30</v>
      </c>
      <c r="O235" s="1050">
        <v>6.5</v>
      </c>
      <c r="P235" s="1050">
        <v>8.56</v>
      </c>
      <c r="Q235" s="416"/>
    </row>
    <row r="236" spans="2:17" x14ac:dyDescent="0.25">
      <c r="B236" s="415">
        <v>235</v>
      </c>
      <c r="C236" s="595" t="s">
        <v>967</v>
      </c>
      <c r="D236" s="413" t="s">
        <v>23</v>
      </c>
      <c r="E236" s="413" t="s">
        <v>17</v>
      </c>
      <c r="F236" s="413" t="s">
        <v>11</v>
      </c>
      <c r="G236" s="413" t="s">
        <v>24</v>
      </c>
      <c r="H236" s="413" t="s">
        <v>25</v>
      </c>
      <c r="I236" s="1066" t="s">
        <v>913</v>
      </c>
      <c r="J236" s="414" t="str">
        <f t="shared" si="3"/>
        <v>A-1Compra Vivienda VacacionalIndividualResidencialUsadaApartamentoCOPA000000250000.01</v>
      </c>
      <c r="K236" s="1047">
        <v>250000.01</v>
      </c>
      <c r="L236" s="1047">
        <v>500000</v>
      </c>
      <c r="M236" s="1050">
        <v>80</v>
      </c>
      <c r="N236" s="1046">
        <v>30</v>
      </c>
      <c r="O236" s="1050">
        <v>6.5</v>
      </c>
      <c r="P236" s="1050">
        <v>8.56</v>
      </c>
      <c r="Q236" s="416"/>
    </row>
    <row r="237" spans="2:17" x14ac:dyDescent="0.25">
      <c r="B237" s="412">
        <v>236</v>
      </c>
      <c r="C237" s="595" t="s">
        <v>967</v>
      </c>
      <c r="D237" s="413" t="s">
        <v>23</v>
      </c>
      <c r="E237" s="413" t="s">
        <v>17</v>
      </c>
      <c r="F237" s="413" t="s">
        <v>11</v>
      </c>
      <c r="G237" s="413" t="s">
        <v>24</v>
      </c>
      <c r="H237" s="413" t="s">
        <v>25</v>
      </c>
      <c r="I237" s="1066" t="s">
        <v>913</v>
      </c>
      <c r="J237" s="414" t="str">
        <f t="shared" si="3"/>
        <v>A-1Compra Vivienda VacacionalIndividualResidencialUsadaApartamentoCOPA000000500000.01</v>
      </c>
      <c r="K237" s="1047">
        <v>500000.01</v>
      </c>
      <c r="L237" s="1047">
        <v>99999999</v>
      </c>
      <c r="M237" s="1050">
        <v>70</v>
      </c>
      <c r="N237" s="1046">
        <v>30</v>
      </c>
      <c r="O237" s="1050">
        <v>6.5</v>
      </c>
      <c r="P237" s="1050">
        <v>8.56</v>
      </c>
      <c r="Q237" s="416"/>
    </row>
    <row r="238" spans="2:17" x14ac:dyDescent="0.25">
      <c r="B238" s="415">
        <v>237</v>
      </c>
      <c r="C238" s="595" t="s">
        <v>967</v>
      </c>
      <c r="D238" s="413" t="s">
        <v>23</v>
      </c>
      <c r="E238" s="413" t="s">
        <v>17</v>
      </c>
      <c r="F238" s="413" t="s">
        <v>11</v>
      </c>
      <c r="G238" s="413" t="s">
        <v>24</v>
      </c>
      <c r="H238" s="413" t="s">
        <v>25</v>
      </c>
      <c r="I238" s="1066" t="s">
        <v>173</v>
      </c>
      <c r="J238" s="414" t="str">
        <f t="shared" si="3"/>
        <v>A-1Compra Vivienda VacacionalIndividualResidencialUsadaApartamentoFERIA000000030000.00</v>
      </c>
      <c r="K238" s="1047">
        <v>30000</v>
      </c>
      <c r="L238" s="1047">
        <v>250000</v>
      </c>
      <c r="M238" s="1050">
        <v>90</v>
      </c>
      <c r="N238" s="1046">
        <v>30</v>
      </c>
      <c r="O238" s="1050">
        <v>6.75</v>
      </c>
      <c r="P238" s="1050">
        <v>8.56</v>
      </c>
      <c r="Q238" s="416"/>
    </row>
    <row r="239" spans="2:17" x14ac:dyDescent="0.25">
      <c r="B239" s="415">
        <v>238</v>
      </c>
      <c r="C239" s="595" t="s">
        <v>967</v>
      </c>
      <c r="D239" s="413" t="s">
        <v>23</v>
      </c>
      <c r="E239" s="413" t="s">
        <v>17</v>
      </c>
      <c r="F239" s="413" t="s">
        <v>11</v>
      </c>
      <c r="G239" s="413" t="s">
        <v>24</v>
      </c>
      <c r="H239" s="413" t="s">
        <v>25</v>
      </c>
      <c r="I239" s="1066" t="s">
        <v>173</v>
      </c>
      <c r="J239" s="414" t="str">
        <f t="shared" si="3"/>
        <v>A-1Compra Vivienda VacacionalIndividualResidencialUsadaApartamentoFERIA000000250000.01</v>
      </c>
      <c r="K239" s="1047">
        <v>250000.01</v>
      </c>
      <c r="L239" s="1047">
        <v>500000</v>
      </c>
      <c r="M239" s="1050">
        <v>80</v>
      </c>
      <c r="N239" s="1046">
        <v>30</v>
      </c>
      <c r="O239" s="1050">
        <v>6.75</v>
      </c>
      <c r="P239" s="1050">
        <v>8.56</v>
      </c>
      <c r="Q239" s="416"/>
    </row>
    <row r="240" spans="2:17" x14ac:dyDescent="0.25">
      <c r="B240" s="415">
        <v>239</v>
      </c>
      <c r="C240" s="595" t="s">
        <v>967</v>
      </c>
      <c r="D240" s="413" t="s">
        <v>23</v>
      </c>
      <c r="E240" s="413" t="s">
        <v>17</v>
      </c>
      <c r="F240" s="413" t="s">
        <v>11</v>
      </c>
      <c r="G240" s="413" t="s">
        <v>24</v>
      </c>
      <c r="H240" s="413" t="s">
        <v>25</v>
      </c>
      <c r="I240" s="1066" t="s">
        <v>173</v>
      </c>
      <c r="J240" s="414" t="str">
        <f t="shared" si="3"/>
        <v>A-1Compra Vivienda VacacionalIndividualResidencialUsadaApartamentoFERIA000000500000.01</v>
      </c>
      <c r="K240" s="1047">
        <v>500000.01</v>
      </c>
      <c r="L240" s="1047">
        <v>99999999</v>
      </c>
      <c r="M240" s="1050">
        <v>70</v>
      </c>
      <c r="N240" s="1046">
        <v>30</v>
      </c>
      <c r="O240" s="1050">
        <v>6.75</v>
      </c>
      <c r="P240" s="1050">
        <v>8.56</v>
      </c>
      <c r="Q240" s="416"/>
    </row>
    <row r="241" spans="2:17" x14ac:dyDescent="0.25">
      <c r="B241" s="415">
        <v>240</v>
      </c>
      <c r="C241" s="1374" t="s">
        <v>967</v>
      </c>
      <c r="D241" s="413" t="s">
        <v>23</v>
      </c>
      <c r="E241" s="413" t="s">
        <v>17</v>
      </c>
      <c r="F241" s="413" t="s">
        <v>13</v>
      </c>
      <c r="G241" s="413" t="s">
        <v>21</v>
      </c>
      <c r="H241" s="413" t="s">
        <v>25</v>
      </c>
      <c r="I241" s="1066" t="s">
        <v>567</v>
      </c>
      <c r="J241" s="414" t="str">
        <f t="shared" si="3"/>
        <v>A-1Compra Vivienda VacacionalIndividualVacacionalNuevaApartamentoBG000000050000.00</v>
      </c>
      <c r="K241" s="1047">
        <v>50000</v>
      </c>
      <c r="L241" s="1047">
        <v>99999999</v>
      </c>
      <c r="M241" s="1050">
        <v>60</v>
      </c>
      <c r="N241" s="1046">
        <v>20</v>
      </c>
      <c r="O241" s="1050">
        <v>6.75</v>
      </c>
      <c r="P241" s="1050">
        <v>8.56</v>
      </c>
      <c r="Q241" s="416"/>
    </row>
    <row r="242" spans="2:17" x14ac:dyDescent="0.25">
      <c r="B242" s="412">
        <v>241</v>
      </c>
      <c r="C242" s="595" t="s">
        <v>967</v>
      </c>
      <c r="D242" s="413" t="s">
        <v>23</v>
      </c>
      <c r="E242" s="413" t="s">
        <v>17</v>
      </c>
      <c r="F242" s="413" t="s">
        <v>13</v>
      </c>
      <c r="G242" s="413" t="s">
        <v>21</v>
      </c>
      <c r="H242" s="413" t="s">
        <v>25</v>
      </c>
      <c r="I242" s="1066" t="s">
        <v>913</v>
      </c>
      <c r="J242" s="414" t="str">
        <f t="shared" si="3"/>
        <v>A-1Compra Vivienda VacacionalIndividualVacacionalNuevaApartamentoCOPA000000050000.00</v>
      </c>
      <c r="K242" s="1047">
        <v>50000</v>
      </c>
      <c r="L242" s="1047">
        <v>99999999</v>
      </c>
      <c r="M242" s="1050">
        <v>70</v>
      </c>
      <c r="N242" s="1046">
        <v>20</v>
      </c>
      <c r="O242" s="1050">
        <v>6.5</v>
      </c>
      <c r="P242" s="1050">
        <v>8.56</v>
      </c>
      <c r="Q242" s="416"/>
    </row>
    <row r="243" spans="2:17" x14ac:dyDescent="0.25">
      <c r="B243" s="415">
        <v>242</v>
      </c>
      <c r="C243" s="595" t="s">
        <v>967</v>
      </c>
      <c r="D243" s="413" t="s">
        <v>23</v>
      </c>
      <c r="E243" s="413" t="s">
        <v>17</v>
      </c>
      <c r="F243" s="413" t="s">
        <v>13</v>
      </c>
      <c r="G243" s="413" t="s">
        <v>21</v>
      </c>
      <c r="H243" s="413" t="s">
        <v>25</v>
      </c>
      <c r="I243" s="1066" t="s">
        <v>173</v>
      </c>
      <c r="J243" s="414" t="str">
        <f t="shared" si="3"/>
        <v>A-1Compra Vivienda VacacionalIndividualVacacionalNuevaApartamentoFERIA000000050000.00</v>
      </c>
      <c r="K243" s="1047">
        <v>50000</v>
      </c>
      <c r="L243" s="1047">
        <v>99999999</v>
      </c>
      <c r="M243" s="1050">
        <v>70</v>
      </c>
      <c r="N243" s="1046">
        <v>20</v>
      </c>
      <c r="O243" s="1050">
        <v>6.75</v>
      </c>
      <c r="P243" s="1050">
        <v>8.56</v>
      </c>
      <c r="Q243" s="416"/>
    </row>
    <row r="244" spans="2:17" x14ac:dyDescent="0.25">
      <c r="B244" s="415">
        <v>243</v>
      </c>
      <c r="C244" s="1374" t="s">
        <v>967</v>
      </c>
      <c r="D244" s="413" t="s">
        <v>23</v>
      </c>
      <c r="E244" s="413" t="s">
        <v>17</v>
      </c>
      <c r="F244" s="413" t="s">
        <v>13</v>
      </c>
      <c r="G244" s="413" t="s">
        <v>21</v>
      </c>
      <c r="H244" s="413" t="s">
        <v>22</v>
      </c>
      <c r="I244" s="1066" t="s">
        <v>567</v>
      </c>
      <c r="J244" s="414" t="str">
        <f t="shared" si="3"/>
        <v>A-1Compra Vivienda VacacionalIndividualVacacionalNuevaCasaBG000000050000.00</v>
      </c>
      <c r="K244" s="1047">
        <v>50000</v>
      </c>
      <c r="L244" s="1047">
        <v>99999999</v>
      </c>
      <c r="M244" s="1050">
        <v>60</v>
      </c>
      <c r="N244" s="1046">
        <v>20</v>
      </c>
      <c r="O244" s="1050">
        <v>6.75</v>
      </c>
      <c r="P244" s="1050">
        <v>8.56</v>
      </c>
      <c r="Q244" s="416"/>
    </row>
    <row r="245" spans="2:17" x14ac:dyDescent="0.25">
      <c r="B245" s="415">
        <v>244</v>
      </c>
      <c r="C245" s="595" t="s">
        <v>967</v>
      </c>
      <c r="D245" s="413" t="s">
        <v>23</v>
      </c>
      <c r="E245" s="413" t="s">
        <v>17</v>
      </c>
      <c r="F245" s="413" t="s">
        <v>13</v>
      </c>
      <c r="G245" s="413" t="s">
        <v>21</v>
      </c>
      <c r="H245" s="413" t="s">
        <v>22</v>
      </c>
      <c r="I245" s="1066" t="s">
        <v>913</v>
      </c>
      <c r="J245" s="414" t="str">
        <f t="shared" si="3"/>
        <v>A-1Compra Vivienda VacacionalIndividualVacacionalNuevaCasaCOPA000000050000.00</v>
      </c>
      <c r="K245" s="1047">
        <v>50000</v>
      </c>
      <c r="L245" s="1047">
        <v>99999999</v>
      </c>
      <c r="M245" s="1050">
        <v>70</v>
      </c>
      <c r="N245" s="1046">
        <v>20</v>
      </c>
      <c r="O245" s="1050">
        <v>6.5</v>
      </c>
      <c r="P245" s="1050">
        <v>8.56</v>
      </c>
      <c r="Q245" s="416"/>
    </row>
    <row r="246" spans="2:17" x14ac:dyDescent="0.25">
      <c r="B246" s="415">
        <v>245</v>
      </c>
      <c r="C246" s="595" t="s">
        <v>967</v>
      </c>
      <c r="D246" s="413" t="s">
        <v>23</v>
      </c>
      <c r="E246" s="413" t="s">
        <v>17</v>
      </c>
      <c r="F246" s="413" t="s">
        <v>13</v>
      </c>
      <c r="G246" s="413" t="s">
        <v>21</v>
      </c>
      <c r="H246" s="413" t="s">
        <v>22</v>
      </c>
      <c r="I246" s="1066" t="s">
        <v>173</v>
      </c>
      <c r="J246" s="414" t="str">
        <f t="shared" si="3"/>
        <v>A-1Compra Vivienda VacacionalIndividualVacacionalNuevaCasaFERIA000000050000.00</v>
      </c>
      <c r="K246" s="1047">
        <v>50000</v>
      </c>
      <c r="L246" s="1047">
        <v>99999999</v>
      </c>
      <c r="M246" s="1050">
        <v>70</v>
      </c>
      <c r="N246" s="1046">
        <v>20</v>
      </c>
      <c r="O246" s="1050">
        <v>6.75</v>
      </c>
      <c r="P246" s="1050">
        <v>8.56</v>
      </c>
      <c r="Q246" s="416"/>
    </row>
    <row r="247" spans="2:17" x14ac:dyDescent="0.25">
      <c r="B247" s="412">
        <v>246</v>
      </c>
      <c r="C247" s="1374" t="s">
        <v>967</v>
      </c>
      <c r="D247" s="413" t="s">
        <v>23</v>
      </c>
      <c r="E247" s="413" t="s">
        <v>17</v>
      </c>
      <c r="F247" s="413" t="s">
        <v>13</v>
      </c>
      <c r="G247" s="413" t="s">
        <v>24</v>
      </c>
      <c r="H247" s="413" t="s">
        <v>25</v>
      </c>
      <c r="I247" s="1066" t="s">
        <v>567</v>
      </c>
      <c r="J247" s="414" t="str">
        <f t="shared" si="3"/>
        <v>A-1Compra Vivienda VacacionalIndividualVacacionalUsadaApartamentoBG000000050000.00</v>
      </c>
      <c r="K247" s="1047">
        <v>50000</v>
      </c>
      <c r="L247" s="1047">
        <v>99999999</v>
      </c>
      <c r="M247" s="1050">
        <v>60</v>
      </c>
      <c r="N247" s="1046">
        <v>20</v>
      </c>
      <c r="O247" s="1050">
        <v>6.75</v>
      </c>
      <c r="P247" s="1050">
        <v>8.56</v>
      </c>
      <c r="Q247" s="416"/>
    </row>
    <row r="248" spans="2:17" x14ac:dyDescent="0.25">
      <c r="B248" s="415">
        <v>247</v>
      </c>
      <c r="C248" s="595" t="s">
        <v>967</v>
      </c>
      <c r="D248" s="413" t="s">
        <v>23</v>
      </c>
      <c r="E248" s="413" t="s">
        <v>17</v>
      </c>
      <c r="F248" s="413" t="s">
        <v>13</v>
      </c>
      <c r="G248" s="413" t="s">
        <v>24</v>
      </c>
      <c r="H248" s="413" t="s">
        <v>25</v>
      </c>
      <c r="I248" s="1066" t="s">
        <v>913</v>
      </c>
      <c r="J248" s="414" t="str">
        <f t="shared" si="3"/>
        <v>A-1Compra Vivienda VacacionalIndividualVacacionalUsadaApartamentoCOPA000000050000.00</v>
      </c>
      <c r="K248" s="1047">
        <v>50000</v>
      </c>
      <c r="L248" s="1047">
        <v>99999999</v>
      </c>
      <c r="M248" s="1050">
        <v>70</v>
      </c>
      <c r="N248" s="1046">
        <v>20</v>
      </c>
      <c r="O248" s="1050">
        <v>6.5</v>
      </c>
      <c r="P248" s="1050">
        <v>8.56</v>
      </c>
      <c r="Q248" s="416"/>
    </row>
    <row r="249" spans="2:17" x14ac:dyDescent="0.25">
      <c r="B249" s="415">
        <v>248</v>
      </c>
      <c r="C249" s="595" t="s">
        <v>967</v>
      </c>
      <c r="D249" s="413" t="s">
        <v>23</v>
      </c>
      <c r="E249" s="413" t="s">
        <v>17</v>
      </c>
      <c r="F249" s="413" t="s">
        <v>13</v>
      </c>
      <c r="G249" s="413" t="s">
        <v>24</v>
      </c>
      <c r="H249" s="413" t="s">
        <v>25</v>
      </c>
      <c r="I249" s="1066" t="s">
        <v>173</v>
      </c>
      <c r="J249" s="414" t="str">
        <f t="shared" si="3"/>
        <v>A-1Compra Vivienda VacacionalIndividualVacacionalUsadaApartamentoFERIA000000050000.00</v>
      </c>
      <c r="K249" s="1047">
        <v>50000</v>
      </c>
      <c r="L249" s="1047">
        <v>99999999</v>
      </c>
      <c r="M249" s="1050">
        <v>70</v>
      </c>
      <c r="N249" s="1046">
        <v>20</v>
      </c>
      <c r="O249" s="1050">
        <v>6.75</v>
      </c>
      <c r="P249" s="1050">
        <v>8.56</v>
      </c>
      <c r="Q249" s="416"/>
    </row>
    <row r="250" spans="2:17" x14ac:dyDescent="0.25">
      <c r="B250" s="415">
        <v>249</v>
      </c>
      <c r="C250" s="1374" t="s">
        <v>967</v>
      </c>
      <c r="D250" s="413" t="s">
        <v>23</v>
      </c>
      <c r="E250" s="413" t="s">
        <v>17</v>
      </c>
      <c r="F250" s="413" t="s">
        <v>13</v>
      </c>
      <c r="G250" s="413" t="s">
        <v>24</v>
      </c>
      <c r="H250" s="413" t="s">
        <v>22</v>
      </c>
      <c r="I250" s="1066" t="s">
        <v>567</v>
      </c>
      <c r="J250" s="414" t="str">
        <f t="shared" si="3"/>
        <v>A-1Compra Vivienda VacacionalIndividualVacacionalUsadaCasaBG000000050000.00</v>
      </c>
      <c r="K250" s="1047">
        <v>50000</v>
      </c>
      <c r="L250" s="1047">
        <v>99999999</v>
      </c>
      <c r="M250" s="1050">
        <v>60</v>
      </c>
      <c r="N250" s="1046">
        <v>20</v>
      </c>
      <c r="O250" s="1050">
        <v>6.75</v>
      </c>
      <c r="P250" s="1050">
        <v>8.56</v>
      </c>
      <c r="Q250" s="416"/>
    </row>
    <row r="251" spans="2:17" x14ac:dyDescent="0.25">
      <c r="B251" s="415">
        <v>250</v>
      </c>
      <c r="C251" s="595" t="s">
        <v>967</v>
      </c>
      <c r="D251" s="413" t="s">
        <v>23</v>
      </c>
      <c r="E251" s="413" t="s">
        <v>17</v>
      </c>
      <c r="F251" s="413" t="s">
        <v>13</v>
      </c>
      <c r="G251" s="413" t="s">
        <v>24</v>
      </c>
      <c r="H251" s="413" t="s">
        <v>22</v>
      </c>
      <c r="I251" s="1066" t="s">
        <v>913</v>
      </c>
      <c r="J251" s="414" t="str">
        <f t="shared" si="3"/>
        <v>A-1Compra Vivienda VacacionalIndividualVacacionalUsadaCasaCOPA000000050000.00</v>
      </c>
      <c r="K251" s="1047">
        <v>50000</v>
      </c>
      <c r="L251" s="1047">
        <v>99999999</v>
      </c>
      <c r="M251" s="1050">
        <v>70</v>
      </c>
      <c r="N251" s="1046">
        <v>20</v>
      </c>
      <c r="O251" s="1050">
        <v>6.5</v>
      </c>
      <c r="P251" s="1050">
        <v>8.56</v>
      </c>
      <c r="Q251" s="416"/>
    </row>
    <row r="252" spans="2:17" x14ac:dyDescent="0.25">
      <c r="B252" s="412">
        <v>251</v>
      </c>
      <c r="C252" s="595" t="s">
        <v>967</v>
      </c>
      <c r="D252" s="413" t="s">
        <v>23</v>
      </c>
      <c r="E252" s="413" t="s">
        <v>17</v>
      </c>
      <c r="F252" s="413" t="s">
        <v>13</v>
      </c>
      <c r="G252" s="413" t="s">
        <v>24</v>
      </c>
      <c r="H252" s="413" t="s">
        <v>22</v>
      </c>
      <c r="I252" s="1066" t="s">
        <v>173</v>
      </c>
      <c r="J252" s="414" t="str">
        <f t="shared" si="3"/>
        <v>A-1Compra Vivienda VacacionalIndividualVacacionalUsadaCasaFERIA000000050000.00</v>
      </c>
      <c r="K252" s="1047">
        <v>50000</v>
      </c>
      <c r="L252" s="1047">
        <v>99999999</v>
      </c>
      <c r="M252" s="1050">
        <v>70</v>
      </c>
      <c r="N252" s="1046">
        <v>20</v>
      </c>
      <c r="O252" s="1050">
        <v>6.75</v>
      </c>
      <c r="P252" s="1050">
        <v>8.56</v>
      </c>
      <c r="Q252" s="416"/>
    </row>
    <row r="253" spans="2:17" x14ac:dyDescent="0.25">
      <c r="B253" s="415">
        <v>252</v>
      </c>
      <c r="C253" s="1374" t="s">
        <v>967</v>
      </c>
      <c r="D253" s="413" t="s">
        <v>12</v>
      </c>
      <c r="E253" s="413" t="s">
        <v>17</v>
      </c>
      <c r="F253" s="413" t="s">
        <v>19</v>
      </c>
      <c r="G253" s="413" t="s">
        <v>21</v>
      </c>
      <c r="H253" s="413" t="s">
        <v>25</v>
      </c>
      <c r="I253" s="1066" t="s">
        <v>567</v>
      </c>
      <c r="J253" s="414" t="str">
        <f t="shared" si="3"/>
        <v>A-1ConstrucciónIndividualInterinoNuevaApartamentoBG000000100000.00</v>
      </c>
      <c r="K253" s="1047">
        <v>100000</v>
      </c>
      <c r="L253" s="1047">
        <v>99999999</v>
      </c>
      <c r="M253" s="1050">
        <v>85</v>
      </c>
      <c r="N253" s="1046">
        <v>30</v>
      </c>
      <c r="O253" s="1050">
        <v>6.25</v>
      </c>
      <c r="P253" s="1050">
        <v>0</v>
      </c>
      <c r="Q253" s="416"/>
    </row>
    <row r="254" spans="2:17" x14ac:dyDescent="0.25">
      <c r="B254" s="415">
        <v>253</v>
      </c>
      <c r="C254" s="595" t="s">
        <v>967</v>
      </c>
      <c r="D254" s="413" t="s">
        <v>12</v>
      </c>
      <c r="E254" s="413" t="s">
        <v>17</v>
      </c>
      <c r="F254" s="413" t="s">
        <v>19</v>
      </c>
      <c r="G254" s="413" t="s">
        <v>21</v>
      </c>
      <c r="H254" s="413" t="s">
        <v>25</v>
      </c>
      <c r="I254" s="1066" t="s">
        <v>913</v>
      </c>
      <c r="J254" s="414" t="str">
        <f t="shared" si="3"/>
        <v>A-1ConstrucciónIndividualInterinoNuevaApartamentoCOPA000000100000.00</v>
      </c>
      <c r="K254" s="1047">
        <v>100000</v>
      </c>
      <c r="L254" s="1047">
        <v>99999999</v>
      </c>
      <c r="M254" s="1050">
        <v>90</v>
      </c>
      <c r="N254" s="1046">
        <v>30</v>
      </c>
      <c r="O254" s="1050">
        <v>6.25</v>
      </c>
      <c r="P254" s="1050">
        <v>0</v>
      </c>
      <c r="Q254" s="416"/>
    </row>
    <row r="255" spans="2:17" x14ac:dyDescent="0.25">
      <c r="B255" s="415">
        <v>254</v>
      </c>
      <c r="C255" s="595" t="s">
        <v>967</v>
      </c>
      <c r="D255" s="413" t="s">
        <v>12</v>
      </c>
      <c r="E255" s="413" t="s">
        <v>17</v>
      </c>
      <c r="F255" s="413" t="s">
        <v>19</v>
      </c>
      <c r="G255" s="413" t="s">
        <v>21</v>
      </c>
      <c r="H255" s="413" t="s">
        <v>25</v>
      </c>
      <c r="I255" s="1066" t="s">
        <v>173</v>
      </c>
      <c r="J255" s="414" t="str">
        <f t="shared" si="3"/>
        <v>A-1ConstrucciónIndividualInterinoNuevaApartamentoFERIA000000100000.00</v>
      </c>
      <c r="K255" s="1047">
        <v>100000</v>
      </c>
      <c r="L255" s="1047">
        <v>99999999</v>
      </c>
      <c r="M255" s="1050">
        <v>90</v>
      </c>
      <c r="N255" s="1046">
        <v>30</v>
      </c>
      <c r="O255" s="1050">
        <v>6.25</v>
      </c>
      <c r="P255" s="1050">
        <v>0</v>
      </c>
      <c r="Q255" s="416"/>
    </row>
    <row r="256" spans="2:17" x14ac:dyDescent="0.25">
      <c r="B256" s="415">
        <v>255</v>
      </c>
      <c r="C256" s="1374" t="s">
        <v>967</v>
      </c>
      <c r="D256" s="413" t="s">
        <v>12</v>
      </c>
      <c r="E256" s="413" t="s">
        <v>17</v>
      </c>
      <c r="F256" s="413" t="s">
        <v>19</v>
      </c>
      <c r="G256" s="413" t="s">
        <v>21</v>
      </c>
      <c r="H256" s="413" t="s">
        <v>22</v>
      </c>
      <c r="I256" s="1066" t="s">
        <v>567</v>
      </c>
      <c r="J256" s="414" t="str">
        <f t="shared" si="3"/>
        <v>A-1ConstrucciónIndividualInterinoNuevaCasaBG000000100000.00</v>
      </c>
      <c r="K256" s="1047">
        <v>100000</v>
      </c>
      <c r="L256" s="1047">
        <v>99999999</v>
      </c>
      <c r="M256" s="1050">
        <v>85</v>
      </c>
      <c r="N256" s="1046">
        <v>30</v>
      </c>
      <c r="O256" s="1050">
        <v>6.25</v>
      </c>
      <c r="P256" s="1050">
        <v>0</v>
      </c>
      <c r="Q256" s="416"/>
    </row>
    <row r="257" spans="2:17" x14ac:dyDescent="0.25">
      <c r="B257" s="412">
        <v>256</v>
      </c>
      <c r="C257" s="595" t="s">
        <v>967</v>
      </c>
      <c r="D257" s="413" t="s">
        <v>12</v>
      </c>
      <c r="E257" s="413" t="s">
        <v>17</v>
      </c>
      <c r="F257" s="413" t="s">
        <v>19</v>
      </c>
      <c r="G257" s="413" t="s">
        <v>21</v>
      </c>
      <c r="H257" s="413" t="s">
        <v>22</v>
      </c>
      <c r="I257" s="1066" t="s">
        <v>913</v>
      </c>
      <c r="J257" s="414" t="str">
        <f t="shared" si="3"/>
        <v>A-1ConstrucciónIndividualInterinoNuevaCasaCOPA000000100000.00</v>
      </c>
      <c r="K257" s="1047">
        <v>100000</v>
      </c>
      <c r="L257" s="1047">
        <v>99999999</v>
      </c>
      <c r="M257" s="1050">
        <v>90</v>
      </c>
      <c r="N257" s="1046">
        <v>30</v>
      </c>
      <c r="O257" s="1050">
        <v>6.25</v>
      </c>
      <c r="P257" s="1050">
        <v>0</v>
      </c>
      <c r="Q257" s="416"/>
    </row>
    <row r="258" spans="2:17" x14ac:dyDescent="0.25">
      <c r="B258" s="415">
        <v>257</v>
      </c>
      <c r="C258" s="595" t="s">
        <v>967</v>
      </c>
      <c r="D258" s="413" t="s">
        <v>12</v>
      </c>
      <c r="E258" s="413" t="s">
        <v>17</v>
      </c>
      <c r="F258" s="413" t="s">
        <v>19</v>
      </c>
      <c r="G258" s="413" t="s">
        <v>21</v>
      </c>
      <c r="H258" s="413" t="s">
        <v>22</v>
      </c>
      <c r="I258" s="1066" t="s">
        <v>173</v>
      </c>
      <c r="J258" s="414" t="str">
        <f t="shared" ref="J258:J321" si="4">C258&amp;D258&amp;E258&amp;F258&amp;G258&amp;H258&amp;I258 &amp; REPT("0",15-LEN(K258 &amp; IF(IFERROR(FIND(".",K258&amp;""),0)=0,".00","")))&amp;K258 &amp; IF(IFERROR(FIND(".",K258&amp;""),0)=0,".00","")</f>
        <v>A-1ConstrucciónIndividualInterinoNuevaCasaFERIA000000100000.00</v>
      </c>
      <c r="K258" s="1047">
        <v>100000</v>
      </c>
      <c r="L258" s="1047">
        <v>99999999</v>
      </c>
      <c r="M258" s="1050">
        <v>90</v>
      </c>
      <c r="N258" s="1046">
        <v>30</v>
      </c>
      <c r="O258" s="1050">
        <v>6.25</v>
      </c>
      <c r="P258" s="1050">
        <v>0</v>
      </c>
      <c r="Q258" s="416"/>
    </row>
    <row r="259" spans="2:17" x14ac:dyDescent="0.25">
      <c r="B259" s="415">
        <v>258</v>
      </c>
      <c r="C259" s="1374" t="s">
        <v>967</v>
      </c>
      <c r="D259" s="413" t="s">
        <v>12</v>
      </c>
      <c r="E259" s="413" t="s">
        <v>9</v>
      </c>
      <c r="F259" s="413" t="s">
        <v>19</v>
      </c>
      <c r="G259" s="413" t="s">
        <v>21</v>
      </c>
      <c r="H259" s="413" t="s">
        <v>25</v>
      </c>
      <c r="I259" s="1066" t="s">
        <v>567</v>
      </c>
      <c r="J259" s="414" t="str">
        <f t="shared" si="4"/>
        <v>A-1ConstrucciónLey PreferencialInterinoNuevaApartamentoBG000000080000.01</v>
      </c>
      <c r="K259" s="1047">
        <v>80000.009999999995</v>
      </c>
      <c r="L259" s="1047">
        <v>120000</v>
      </c>
      <c r="M259" s="1050">
        <v>85</v>
      </c>
      <c r="N259" s="1046">
        <v>30</v>
      </c>
      <c r="O259" s="1050">
        <v>6.25</v>
      </c>
      <c r="P259" s="1050">
        <v>4.28</v>
      </c>
      <c r="Q259" s="416"/>
    </row>
    <row r="260" spans="2:17" x14ac:dyDescent="0.25">
      <c r="B260" s="415">
        <v>259</v>
      </c>
      <c r="C260" s="595" t="s">
        <v>967</v>
      </c>
      <c r="D260" s="413" t="s">
        <v>12</v>
      </c>
      <c r="E260" s="413" t="s">
        <v>9</v>
      </c>
      <c r="F260" s="413" t="s">
        <v>19</v>
      </c>
      <c r="G260" s="413" t="s">
        <v>21</v>
      </c>
      <c r="H260" s="413" t="s">
        <v>25</v>
      </c>
      <c r="I260" s="1066" t="s">
        <v>913</v>
      </c>
      <c r="J260" s="414" t="str">
        <f t="shared" si="4"/>
        <v>A-1ConstrucciónLey PreferencialInterinoNuevaApartamentoCOPA000000080000.01</v>
      </c>
      <c r="K260" s="1047">
        <v>80000.009999999995</v>
      </c>
      <c r="L260" s="1047">
        <v>120000</v>
      </c>
      <c r="M260" s="1050">
        <v>90</v>
      </c>
      <c r="N260" s="1046">
        <v>30</v>
      </c>
      <c r="O260" s="1050">
        <v>6.25</v>
      </c>
      <c r="P260" s="1050">
        <v>4.28</v>
      </c>
      <c r="Q260" s="416"/>
    </row>
    <row r="261" spans="2:17" x14ac:dyDescent="0.25">
      <c r="B261" s="415">
        <v>260</v>
      </c>
      <c r="C261" s="595" t="s">
        <v>967</v>
      </c>
      <c r="D261" s="413" t="s">
        <v>12</v>
      </c>
      <c r="E261" s="413" t="s">
        <v>9</v>
      </c>
      <c r="F261" s="413" t="s">
        <v>19</v>
      </c>
      <c r="G261" s="413" t="s">
        <v>21</v>
      </c>
      <c r="H261" s="413" t="s">
        <v>25</v>
      </c>
      <c r="I261" s="1066" t="s">
        <v>173</v>
      </c>
      <c r="J261" s="414" t="str">
        <f t="shared" si="4"/>
        <v>A-1ConstrucciónLey PreferencialInterinoNuevaApartamentoFERIA000000080000.01</v>
      </c>
      <c r="K261" s="1047">
        <v>80000.009999999995</v>
      </c>
      <c r="L261" s="1047">
        <v>120000</v>
      </c>
      <c r="M261" s="1050">
        <v>90</v>
      </c>
      <c r="N261" s="1046">
        <v>30</v>
      </c>
      <c r="O261" s="1050">
        <v>6.25</v>
      </c>
      <c r="P261" s="1050">
        <v>4.28</v>
      </c>
      <c r="Q261" s="416"/>
    </row>
    <row r="262" spans="2:17" x14ac:dyDescent="0.25">
      <c r="B262" s="412">
        <v>261</v>
      </c>
      <c r="C262" s="1374" t="s">
        <v>967</v>
      </c>
      <c r="D262" s="413" t="s">
        <v>12</v>
      </c>
      <c r="E262" s="413" t="s">
        <v>9</v>
      </c>
      <c r="F262" s="413" t="s">
        <v>19</v>
      </c>
      <c r="G262" s="413" t="s">
        <v>21</v>
      </c>
      <c r="H262" s="413" t="s">
        <v>22</v>
      </c>
      <c r="I262" s="1066" t="s">
        <v>567</v>
      </c>
      <c r="J262" s="414" t="str">
        <f t="shared" si="4"/>
        <v>A-1ConstrucciónLey PreferencialInterinoNuevaCasaBG000000080000.01</v>
      </c>
      <c r="K262" s="1047">
        <v>80000.009999999995</v>
      </c>
      <c r="L262" s="1047">
        <v>120000</v>
      </c>
      <c r="M262" s="1050">
        <v>85</v>
      </c>
      <c r="N262" s="1046">
        <v>30</v>
      </c>
      <c r="O262" s="1050">
        <v>6.25</v>
      </c>
      <c r="P262" s="1050">
        <v>4.28</v>
      </c>
      <c r="Q262" s="416"/>
    </row>
    <row r="263" spans="2:17" x14ac:dyDescent="0.25">
      <c r="B263" s="415">
        <v>262</v>
      </c>
      <c r="C263" s="595" t="s">
        <v>967</v>
      </c>
      <c r="D263" s="413" t="s">
        <v>12</v>
      </c>
      <c r="E263" s="413" t="s">
        <v>9</v>
      </c>
      <c r="F263" s="413" t="s">
        <v>19</v>
      </c>
      <c r="G263" s="413" t="s">
        <v>21</v>
      </c>
      <c r="H263" s="413" t="s">
        <v>22</v>
      </c>
      <c r="I263" s="1066" t="s">
        <v>913</v>
      </c>
      <c r="J263" s="414" t="str">
        <f t="shared" si="4"/>
        <v>A-1ConstrucciónLey PreferencialInterinoNuevaCasaCOPA000000080000.01</v>
      </c>
      <c r="K263" s="1047">
        <v>80000.009999999995</v>
      </c>
      <c r="L263" s="1047">
        <v>120000</v>
      </c>
      <c r="M263" s="1050">
        <v>90</v>
      </c>
      <c r="N263" s="1046">
        <v>30</v>
      </c>
      <c r="O263" s="1050">
        <v>6.25</v>
      </c>
      <c r="P263" s="1050">
        <v>4.28</v>
      </c>
      <c r="Q263" s="416"/>
    </row>
    <row r="264" spans="2:17" x14ac:dyDescent="0.25">
      <c r="B264" s="415">
        <v>263</v>
      </c>
      <c r="C264" s="595" t="s">
        <v>967</v>
      </c>
      <c r="D264" s="413" t="s">
        <v>12</v>
      </c>
      <c r="E264" s="413" t="s">
        <v>9</v>
      </c>
      <c r="F264" s="413" t="s">
        <v>19</v>
      </c>
      <c r="G264" s="413" t="s">
        <v>21</v>
      </c>
      <c r="H264" s="413" t="s">
        <v>22</v>
      </c>
      <c r="I264" s="1066" t="s">
        <v>173</v>
      </c>
      <c r="J264" s="414" t="str">
        <f t="shared" si="4"/>
        <v>A-1ConstrucciónLey PreferencialInterinoNuevaCasaFERIA000000080000.01</v>
      </c>
      <c r="K264" s="1047">
        <v>80000.009999999995</v>
      </c>
      <c r="L264" s="1047">
        <v>120000</v>
      </c>
      <c r="M264" s="1050">
        <v>90</v>
      </c>
      <c r="N264" s="1046">
        <v>30</v>
      </c>
      <c r="O264" s="1050">
        <v>6.25</v>
      </c>
      <c r="P264" s="1050">
        <v>4.28</v>
      </c>
      <c r="Q264" s="416"/>
    </row>
    <row r="265" spans="2:17" x14ac:dyDescent="0.25">
      <c r="B265" s="415">
        <v>264</v>
      </c>
      <c r="C265" s="595" t="s">
        <v>967</v>
      </c>
      <c r="D265" s="413" t="s">
        <v>215</v>
      </c>
      <c r="E265" s="413" t="s">
        <v>17</v>
      </c>
      <c r="F265" s="413" t="s">
        <v>11</v>
      </c>
      <c r="G265" s="413" t="s">
        <v>24</v>
      </c>
      <c r="H265" s="413" t="s">
        <v>25</v>
      </c>
      <c r="I265" s="1066" t="s">
        <v>567</v>
      </c>
      <c r="J265" s="414" t="str">
        <f t="shared" si="4"/>
        <v>A-1Extensión de PlazoIndividualResidencialUsadaApartamentoBG000000005000.00</v>
      </c>
      <c r="K265" s="1047">
        <v>5000</v>
      </c>
      <c r="L265" s="1047">
        <v>50000000</v>
      </c>
      <c r="M265" s="1050">
        <v>100</v>
      </c>
      <c r="N265" s="1046">
        <v>30</v>
      </c>
      <c r="O265" s="1050">
        <v>0</v>
      </c>
      <c r="P265" s="1050">
        <v>0</v>
      </c>
      <c r="Q265" s="416"/>
    </row>
    <row r="266" spans="2:17" x14ac:dyDescent="0.25">
      <c r="B266" s="415">
        <v>265</v>
      </c>
      <c r="C266" s="595" t="s">
        <v>967</v>
      </c>
      <c r="D266" s="413" t="s">
        <v>215</v>
      </c>
      <c r="E266" s="413" t="s">
        <v>17</v>
      </c>
      <c r="F266" s="413" t="s">
        <v>11</v>
      </c>
      <c r="G266" s="413" t="s">
        <v>24</v>
      </c>
      <c r="H266" s="413" t="s">
        <v>25</v>
      </c>
      <c r="I266" s="1066" t="s">
        <v>913</v>
      </c>
      <c r="J266" s="414" t="str">
        <f t="shared" si="4"/>
        <v>A-1Extensión de PlazoIndividualResidencialUsadaApartamentoCOPA000000005000.00</v>
      </c>
      <c r="K266" s="1047">
        <v>5000</v>
      </c>
      <c r="L266" s="1047">
        <v>50000000</v>
      </c>
      <c r="M266" s="1050">
        <v>100</v>
      </c>
      <c r="N266" s="1046">
        <v>30</v>
      </c>
      <c r="O266" s="1050">
        <v>0</v>
      </c>
      <c r="P266" s="1050">
        <v>0</v>
      </c>
      <c r="Q266" s="416"/>
    </row>
    <row r="267" spans="2:17" x14ac:dyDescent="0.25">
      <c r="B267" s="412">
        <v>266</v>
      </c>
      <c r="C267" s="595" t="s">
        <v>967</v>
      </c>
      <c r="D267" s="413" t="s">
        <v>215</v>
      </c>
      <c r="E267" s="413" t="s">
        <v>17</v>
      </c>
      <c r="F267" s="413" t="s">
        <v>11</v>
      </c>
      <c r="G267" s="413" t="s">
        <v>24</v>
      </c>
      <c r="H267" s="413" t="s">
        <v>25</v>
      </c>
      <c r="I267" s="1066" t="s">
        <v>173</v>
      </c>
      <c r="J267" s="414" t="str">
        <f t="shared" si="4"/>
        <v>A-1Extensión de PlazoIndividualResidencialUsadaApartamentoFERIA000000005000.00</v>
      </c>
      <c r="K267" s="1047">
        <v>5000</v>
      </c>
      <c r="L267" s="1047">
        <v>50000000</v>
      </c>
      <c r="M267" s="1050">
        <v>100</v>
      </c>
      <c r="N267" s="1046">
        <v>30</v>
      </c>
      <c r="O267" s="1050">
        <v>0</v>
      </c>
      <c r="P267" s="1050">
        <v>0</v>
      </c>
      <c r="Q267" s="416"/>
    </row>
    <row r="268" spans="2:17" x14ac:dyDescent="0.25">
      <c r="B268" s="415">
        <v>267</v>
      </c>
      <c r="C268" s="595" t="s">
        <v>967</v>
      </c>
      <c r="D268" s="413" t="s">
        <v>215</v>
      </c>
      <c r="E268" s="413" t="s">
        <v>17</v>
      </c>
      <c r="F268" s="413" t="s">
        <v>11</v>
      </c>
      <c r="G268" s="413" t="s">
        <v>24</v>
      </c>
      <c r="H268" s="413" t="s">
        <v>22</v>
      </c>
      <c r="I268" s="1066" t="s">
        <v>567</v>
      </c>
      <c r="J268" s="414" t="str">
        <f t="shared" si="4"/>
        <v>A-1Extensión de PlazoIndividualResidencialUsadaCasaBG000000005000.00</v>
      </c>
      <c r="K268" s="1047">
        <v>5000</v>
      </c>
      <c r="L268" s="1047">
        <v>50000000</v>
      </c>
      <c r="M268" s="1050">
        <v>100</v>
      </c>
      <c r="N268" s="1046">
        <v>30</v>
      </c>
      <c r="O268" s="1050">
        <v>0</v>
      </c>
      <c r="P268" s="1050">
        <v>0</v>
      </c>
      <c r="Q268" s="416"/>
    </row>
    <row r="269" spans="2:17" x14ac:dyDescent="0.25">
      <c r="B269" s="415">
        <v>268</v>
      </c>
      <c r="C269" s="595" t="s">
        <v>967</v>
      </c>
      <c r="D269" s="413" t="s">
        <v>215</v>
      </c>
      <c r="E269" s="413" t="s">
        <v>17</v>
      </c>
      <c r="F269" s="413" t="s">
        <v>11</v>
      </c>
      <c r="G269" s="413" t="s">
        <v>24</v>
      </c>
      <c r="H269" s="413" t="s">
        <v>22</v>
      </c>
      <c r="I269" s="1066" t="s">
        <v>913</v>
      </c>
      <c r="J269" s="414" t="str">
        <f t="shared" si="4"/>
        <v>A-1Extensión de PlazoIndividualResidencialUsadaCasaCOPA000000005000.00</v>
      </c>
      <c r="K269" s="1047">
        <v>5000</v>
      </c>
      <c r="L269" s="1047">
        <v>50000000</v>
      </c>
      <c r="M269" s="1050">
        <v>100</v>
      </c>
      <c r="N269" s="1046">
        <v>30</v>
      </c>
      <c r="O269" s="1050">
        <v>0</v>
      </c>
      <c r="P269" s="1050">
        <v>0</v>
      </c>
      <c r="Q269" s="416"/>
    </row>
    <row r="270" spans="2:17" x14ac:dyDescent="0.25">
      <c r="B270" s="415">
        <v>269</v>
      </c>
      <c r="C270" s="595" t="s">
        <v>967</v>
      </c>
      <c r="D270" s="413" t="s">
        <v>215</v>
      </c>
      <c r="E270" s="413" t="s">
        <v>17</v>
      </c>
      <c r="F270" s="413" t="s">
        <v>11</v>
      </c>
      <c r="G270" s="413" t="s">
        <v>24</v>
      </c>
      <c r="H270" s="413" t="s">
        <v>22</v>
      </c>
      <c r="I270" s="1066" t="s">
        <v>173</v>
      </c>
      <c r="J270" s="414" t="str">
        <f t="shared" si="4"/>
        <v>A-1Extensión de PlazoIndividualResidencialUsadaCasaFERIA000000005000.00</v>
      </c>
      <c r="K270" s="1047">
        <v>5000</v>
      </c>
      <c r="L270" s="1047">
        <v>50000000</v>
      </c>
      <c r="M270" s="1050">
        <v>100</v>
      </c>
      <c r="N270" s="1046">
        <v>30</v>
      </c>
      <c r="O270" s="1050">
        <v>0</v>
      </c>
      <c r="P270" s="1050">
        <v>0</v>
      </c>
      <c r="Q270" s="416"/>
    </row>
    <row r="271" spans="2:17" x14ac:dyDescent="0.25">
      <c r="B271" s="415">
        <v>270</v>
      </c>
      <c r="C271" s="595" t="s">
        <v>967</v>
      </c>
      <c r="D271" s="413" t="s">
        <v>215</v>
      </c>
      <c r="E271" s="413" t="s">
        <v>9</v>
      </c>
      <c r="F271" s="413" t="s">
        <v>11</v>
      </c>
      <c r="G271" s="413" t="s">
        <v>24</v>
      </c>
      <c r="H271" s="413" t="s">
        <v>25</v>
      </c>
      <c r="I271" s="1066" t="s">
        <v>567</v>
      </c>
      <c r="J271" s="414" t="str">
        <f t="shared" si="4"/>
        <v>A-1Extensión de PlazoLey PreferencialResidencialUsadaApartamentoBG000000005000.00</v>
      </c>
      <c r="K271" s="1047">
        <v>5000</v>
      </c>
      <c r="L271" s="1047">
        <v>120000</v>
      </c>
      <c r="M271" s="1050">
        <v>100</v>
      </c>
      <c r="N271" s="1046">
        <v>30</v>
      </c>
      <c r="O271" s="1050">
        <v>0</v>
      </c>
      <c r="P271" s="1050">
        <v>4.28</v>
      </c>
      <c r="Q271" s="416"/>
    </row>
    <row r="272" spans="2:17" x14ac:dyDescent="0.25">
      <c r="B272" s="412">
        <v>271</v>
      </c>
      <c r="C272" s="595" t="s">
        <v>967</v>
      </c>
      <c r="D272" s="413" t="s">
        <v>215</v>
      </c>
      <c r="E272" s="413" t="s">
        <v>9</v>
      </c>
      <c r="F272" s="413" t="s">
        <v>11</v>
      </c>
      <c r="G272" s="413" t="s">
        <v>24</v>
      </c>
      <c r="H272" s="413" t="s">
        <v>25</v>
      </c>
      <c r="I272" s="1066" t="s">
        <v>913</v>
      </c>
      <c r="J272" s="414" t="str">
        <f t="shared" si="4"/>
        <v>A-1Extensión de PlazoLey PreferencialResidencialUsadaApartamentoCOPA000000005000.00</v>
      </c>
      <c r="K272" s="1047">
        <v>5000</v>
      </c>
      <c r="L272" s="1047">
        <v>120000</v>
      </c>
      <c r="M272" s="1050">
        <v>100</v>
      </c>
      <c r="N272" s="1046">
        <v>30</v>
      </c>
      <c r="O272" s="1050">
        <v>0</v>
      </c>
      <c r="P272" s="1050">
        <v>4.28</v>
      </c>
      <c r="Q272" s="416"/>
    </row>
    <row r="273" spans="2:17" x14ac:dyDescent="0.25">
      <c r="B273" s="415">
        <v>272</v>
      </c>
      <c r="C273" s="595" t="s">
        <v>967</v>
      </c>
      <c r="D273" s="413" t="s">
        <v>215</v>
      </c>
      <c r="E273" s="413" t="s">
        <v>9</v>
      </c>
      <c r="F273" s="413" t="s">
        <v>11</v>
      </c>
      <c r="G273" s="413" t="s">
        <v>24</v>
      </c>
      <c r="H273" s="413" t="s">
        <v>25</v>
      </c>
      <c r="I273" s="1066" t="s">
        <v>173</v>
      </c>
      <c r="J273" s="414" t="str">
        <f t="shared" si="4"/>
        <v>A-1Extensión de PlazoLey PreferencialResidencialUsadaApartamentoFERIA000000005000.00</v>
      </c>
      <c r="K273" s="1047">
        <v>5000</v>
      </c>
      <c r="L273" s="1047">
        <v>120000</v>
      </c>
      <c r="M273" s="1050">
        <v>100</v>
      </c>
      <c r="N273" s="1046">
        <v>30</v>
      </c>
      <c r="O273" s="1050">
        <v>0</v>
      </c>
      <c r="P273" s="1050">
        <v>4.28</v>
      </c>
      <c r="Q273" s="416"/>
    </row>
    <row r="274" spans="2:17" x14ac:dyDescent="0.25">
      <c r="B274" s="415">
        <v>273</v>
      </c>
      <c r="C274" s="595" t="s">
        <v>967</v>
      </c>
      <c r="D274" s="413" t="s">
        <v>215</v>
      </c>
      <c r="E274" s="413" t="s">
        <v>9</v>
      </c>
      <c r="F274" s="413" t="s">
        <v>11</v>
      </c>
      <c r="G274" s="413" t="s">
        <v>24</v>
      </c>
      <c r="H274" s="413" t="s">
        <v>22</v>
      </c>
      <c r="I274" s="1066" t="s">
        <v>567</v>
      </c>
      <c r="J274" s="414" t="str">
        <f t="shared" si="4"/>
        <v>A-1Extensión de PlazoLey PreferencialResidencialUsadaCasaBG000000005000.00</v>
      </c>
      <c r="K274" s="1047">
        <v>5000</v>
      </c>
      <c r="L274" s="1047">
        <v>120000</v>
      </c>
      <c r="M274" s="1050">
        <v>100</v>
      </c>
      <c r="N274" s="1046">
        <v>30</v>
      </c>
      <c r="O274" s="1050">
        <v>0</v>
      </c>
      <c r="P274" s="1050">
        <v>4.28</v>
      </c>
      <c r="Q274" s="416"/>
    </row>
    <row r="275" spans="2:17" x14ac:dyDescent="0.25">
      <c r="B275" s="415">
        <v>274</v>
      </c>
      <c r="C275" s="595" t="s">
        <v>967</v>
      </c>
      <c r="D275" s="413" t="s">
        <v>215</v>
      </c>
      <c r="E275" s="413" t="s">
        <v>9</v>
      </c>
      <c r="F275" s="413" t="s">
        <v>11</v>
      </c>
      <c r="G275" s="413" t="s">
        <v>24</v>
      </c>
      <c r="H275" s="413" t="s">
        <v>22</v>
      </c>
      <c r="I275" s="1066" t="s">
        <v>913</v>
      </c>
      <c r="J275" s="414" t="str">
        <f t="shared" si="4"/>
        <v>A-1Extensión de PlazoLey PreferencialResidencialUsadaCasaCOPA000000005000.00</v>
      </c>
      <c r="K275" s="1047">
        <v>5000</v>
      </c>
      <c r="L275" s="1047">
        <v>120000</v>
      </c>
      <c r="M275" s="1050">
        <v>100</v>
      </c>
      <c r="N275" s="1046">
        <v>30</v>
      </c>
      <c r="O275" s="1050">
        <v>0</v>
      </c>
      <c r="P275" s="1050">
        <v>4.28</v>
      </c>
      <c r="Q275" s="416"/>
    </row>
    <row r="276" spans="2:17" x14ac:dyDescent="0.25">
      <c r="B276" s="415">
        <v>275</v>
      </c>
      <c r="C276" s="595" t="s">
        <v>967</v>
      </c>
      <c r="D276" s="413" t="s">
        <v>215</v>
      </c>
      <c r="E276" s="413" t="s">
        <v>9</v>
      </c>
      <c r="F276" s="413" t="s">
        <v>11</v>
      </c>
      <c r="G276" s="413" t="s">
        <v>24</v>
      </c>
      <c r="H276" s="413" t="s">
        <v>22</v>
      </c>
      <c r="I276" s="1066" t="s">
        <v>173</v>
      </c>
      <c r="J276" s="414" t="str">
        <f t="shared" si="4"/>
        <v>A-1Extensión de PlazoLey PreferencialResidencialUsadaCasaFERIA000000005000.00</v>
      </c>
      <c r="K276" s="1047">
        <v>5000</v>
      </c>
      <c r="L276" s="1047">
        <v>120000</v>
      </c>
      <c r="M276" s="1050">
        <v>100</v>
      </c>
      <c r="N276" s="1046">
        <v>30</v>
      </c>
      <c r="O276" s="1050">
        <v>0</v>
      </c>
      <c r="P276" s="1050">
        <v>4.28</v>
      </c>
      <c r="Q276" s="416"/>
    </row>
    <row r="277" spans="2:17" x14ac:dyDescent="0.25">
      <c r="B277" s="412">
        <v>276</v>
      </c>
      <c r="C277" s="1374" t="s">
        <v>967</v>
      </c>
      <c r="D277" s="413" t="s">
        <v>26</v>
      </c>
      <c r="E277" s="413" t="s">
        <v>17</v>
      </c>
      <c r="F277" s="413" t="s">
        <v>11</v>
      </c>
      <c r="G277" s="413" t="s">
        <v>24</v>
      </c>
      <c r="H277" s="413" t="s">
        <v>25</v>
      </c>
      <c r="I277" s="1066" t="s">
        <v>567</v>
      </c>
      <c r="J277" s="414" t="str">
        <f t="shared" si="4"/>
        <v>A-1Traspaso de Otro BancoIndividualResidencialUsadaApartamentoBG000000030000.00</v>
      </c>
      <c r="K277" s="1047">
        <v>30000</v>
      </c>
      <c r="L277" s="1047">
        <v>250000</v>
      </c>
      <c r="M277" s="1050">
        <v>85</v>
      </c>
      <c r="N277" s="1046">
        <v>30</v>
      </c>
      <c r="O277" s="1050">
        <v>5.75</v>
      </c>
      <c r="P277" s="1050">
        <v>8.56</v>
      </c>
      <c r="Q277" s="416"/>
    </row>
    <row r="278" spans="2:17" x14ac:dyDescent="0.25">
      <c r="B278" s="415">
        <v>277</v>
      </c>
      <c r="C278" s="1374" t="s">
        <v>967</v>
      </c>
      <c r="D278" s="413" t="s">
        <v>26</v>
      </c>
      <c r="E278" s="413" t="s">
        <v>17</v>
      </c>
      <c r="F278" s="413" t="s">
        <v>11</v>
      </c>
      <c r="G278" s="413" t="s">
        <v>24</v>
      </c>
      <c r="H278" s="413" t="s">
        <v>25</v>
      </c>
      <c r="I278" s="1066" t="s">
        <v>567</v>
      </c>
      <c r="J278" s="414" t="str">
        <f t="shared" si="4"/>
        <v>A-1Traspaso de Otro BancoIndividualResidencialUsadaApartamentoBG000000250000.01</v>
      </c>
      <c r="K278" s="1047">
        <v>250000.01</v>
      </c>
      <c r="L278" s="1047">
        <v>500000</v>
      </c>
      <c r="M278" s="1050">
        <v>85</v>
      </c>
      <c r="N278" s="1046">
        <v>30</v>
      </c>
      <c r="O278" s="1050">
        <v>5.75</v>
      </c>
      <c r="P278" s="1050">
        <v>8.56</v>
      </c>
      <c r="Q278" s="416"/>
    </row>
    <row r="279" spans="2:17" x14ac:dyDescent="0.25">
      <c r="B279" s="415">
        <v>278</v>
      </c>
      <c r="C279" s="1374" t="s">
        <v>967</v>
      </c>
      <c r="D279" s="413" t="s">
        <v>26</v>
      </c>
      <c r="E279" s="413" t="s">
        <v>17</v>
      </c>
      <c r="F279" s="413" t="s">
        <v>11</v>
      </c>
      <c r="G279" s="413" t="s">
        <v>24</v>
      </c>
      <c r="H279" s="413" t="s">
        <v>25</v>
      </c>
      <c r="I279" s="1066" t="s">
        <v>567</v>
      </c>
      <c r="J279" s="414" t="str">
        <f t="shared" si="4"/>
        <v>A-1Traspaso de Otro BancoIndividualResidencialUsadaApartamentoBG000000500000.01</v>
      </c>
      <c r="K279" s="1047">
        <v>500000.01</v>
      </c>
      <c r="L279" s="1047">
        <v>99999999</v>
      </c>
      <c r="M279" s="1050">
        <v>80</v>
      </c>
      <c r="N279" s="1046">
        <v>30</v>
      </c>
      <c r="O279" s="1050">
        <v>5.75</v>
      </c>
      <c r="P279" s="1050">
        <v>8.56</v>
      </c>
      <c r="Q279" s="416"/>
    </row>
    <row r="280" spans="2:17" x14ac:dyDescent="0.25">
      <c r="B280" s="415">
        <v>279</v>
      </c>
      <c r="C280" s="595" t="s">
        <v>967</v>
      </c>
      <c r="D280" s="413" t="s">
        <v>26</v>
      </c>
      <c r="E280" s="413" t="s">
        <v>17</v>
      </c>
      <c r="F280" s="413" t="s">
        <v>11</v>
      </c>
      <c r="G280" s="413" t="s">
        <v>24</v>
      </c>
      <c r="H280" s="413" t="s">
        <v>25</v>
      </c>
      <c r="I280" s="1066" t="s">
        <v>913</v>
      </c>
      <c r="J280" s="414" t="str">
        <f t="shared" si="4"/>
        <v>A-1Traspaso de Otro BancoIndividualResidencialUsadaApartamentoCOPA000000030000.00</v>
      </c>
      <c r="K280" s="1047">
        <v>30000</v>
      </c>
      <c r="L280" s="1047">
        <v>250000</v>
      </c>
      <c r="M280" s="1050">
        <v>90</v>
      </c>
      <c r="N280" s="1046">
        <v>30</v>
      </c>
      <c r="O280" s="1050">
        <v>5.5</v>
      </c>
      <c r="P280" s="1050">
        <v>8.56</v>
      </c>
      <c r="Q280" s="416"/>
    </row>
    <row r="281" spans="2:17" x14ac:dyDescent="0.25">
      <c r="B281" s="415">
        <v>280</v>
      </c>
      <c r="C281" s="595" t="s">
        <v>967</v>
      </c>
      <c r="D281" s="413" t="s">
        <v>26</v>
      </c>
      <c r="E281" s="413" t="s">
        <v>17</v>
      </c>
      <c r="F281" s="413" t="s">
        <v>11</v>
      </c>
      <c r="G281" s="413" t="s">
        <v>24</v>
      </c>
      <c r="H281" s="413" t="s">
        <v>25</v>
      </c>
      <c r="I281" s="1066" t="s">
        <v>913</v>
      </c>
      <c r="J281" s="414" t="str">
        <f t="shared" si="4"/>
        <v>A-1Traspaso de Otro BancoIndividualResidencialUsadaApartamentoCOPA000000250000.01</v>
      </c>
      <c r="K281" s="1047">
        <v>250000.01</v>
      </c>
      <c r="L281" s="1047">
        <v>500000</v>
      </c>
      <c r="M281" s="1050">
        <v>80</v>
      </c>
      <c r="N281" s="1046">
        <v>30</v>
      </c>
      <c r="O281" s="1050">
        <v>5.25</v>
      </c>
      <c r="P281" s="1050">
        <v>8.56</v>
      </c>
      <c r="Q281" s="416"/>
    </row>
    <row r="282" spans="2:17" x14ac:dyDescent="0.25">
      <c r="B282" s="412">
        <v>281</v>
      </c>
      <c r="C282" s="595" t="s">
        <v>967</v>
      </c>
      <c r="D282" s="413" t="s">
        <v>26</v>
      </c>
      <c r="E282" s="413" t="s">
        <v>17</v>
      </c>
      <c r="F282" s="413" t="s">
        <v>11</v>
      </c>
      <c r="G282" s="413" t="s">
        <v>24</v>
      </c>
      <c r="H282" s="413" t="s">
        <v>25</v>
      </c>
      <c r="I282" s="1066" t="s">
        <v>913</v>
      </c>
      <c r="J282" s="414" t="str">
        <f t="shared" si="4"/>
        <v>A-1Traspaso de Otro BancoIndividualResidencialUsadaApartamentoCOPA000000500000.01</v>
      </c>
      <c r="K282" s="1047">
        <v>500000.01</v>
      </c>
      <c r="L282" s="1047">
        <v>99999999</v>
      </c>
      <c r="M282" s="1050">
        <v>70</v>
      </c>
      <c r="N282" s="1046">
        <v>30</v>
      </c>
      <c r="O282" s="1050">
        <v>5.25</v>
      </c>
      <c r="P282" s="1050">
        <v>8.56</v>
      </c>
      <c r="Q282" s="416"/>
    </row>
    <row r="283" spans="2:17" x14ac:dyDescent="0.25">
      <c r="B283" s="415">
        <v>282</v>
      </c>
      <c r="C283" s="595" t="s">
        <v>967</v>
      </c>
      <c r="D283" s="413" t="s">
        <v>26</v>
      </c>
      <c r="E283" s="413" t="s">
        <v>17</v>
      </c>
      <c r="F283" s="413" t="s">
        <v>11</v>
      </c>
      <c r="G283" s="413" t="s">
        <v>24</v>
      </c>
      <c r="H283" s="413" t="s">
        <v>25</v>
      </c>
      <c r="I283" s="1066" t="s">
        <v>173</v>
      </c>
      <c r="J283" s="414" t="str">
        <f t="shared" si="4"/>
        <v>A-1Traspaso de Otro BancoIndividualResidencialUsadaApartamentoFERIA000000040000.00</v>
      </c>
      <c r="K283" s="1056">
        <v>40000</v>
      </c>
      <c r="L283" s="1056">
        <v>200000</v>
      </c>
      <c r="M283" s="1050">
        <v>90</v>
      </c>
      <c r="N283" s="1046">
        <v>30</v>
      </c>
      <c r="O283" s="1050">
        <v>5.5</v>
      </c>
      <c r="P283" s="1050">
        <v>8.56</v>
      </c>
      <c r="Q283" s="416"/>
    </row>
    <row r="284" spans="2:17" x14ac:dyDescent="0.25">
      <c r="B284" s="415">
        <v>283</v>
      </c>
      <c r="C284" s="595" t="s">
        <v>967</v>
      </c>
      <c r="D284" s="413" t="s">
        <v>26</v>
      </c>
      <c r="E284" s="413" t="s">
        <v>17</v>
      </c>
      <c r="F284" s="413" t="s">
        <v>11</v>
      </c>
      <c r="G284" s="413" t="s">
        <v>24</v>
      </c>
      <c r="H284" s="413" t="s">
        <v>25</v>
      </c>
      <c r="I284" s="1066" t="s">
        <v>173</v>
      </c>
      <c r="J284" s="414" t="str">
        <f t="shared" si="4"/>
        <v>A-1Traspaso de Otro BancoIndividualResidencialUsadaApartamentoFERIA000000200000.01</v>
      </c>
      <c r="K284" s="1056">
        <v>200000.01</v>
      </c>
      <c r="L284" s="1056">
        <v>99999999</v>
      </c>
      <c r="M284" s="1050">
        <v>80</v>
      </c>
      <c r="N284" s="1046">
        <v>30</v>
      </c>
      <c r="O284" s="1050">
        <v>5.25</v>
      </c>
      <c r="P284" s="1050">
        <v>8.56</v>
      </c>
      <c r="Q284" s="416"/>
    </row>
    <row r="285" spans="2:17" x14ac:dyDescent="0.25">
      <c r="B285" s="415">
        <v>284</v>
      </c>
      <c r="C285" s="595" t="s">
        <v>967</v>
      </c>
      <c r="D285" s="413" t="s">
        <v>26</v>
      </c>
      <c r="E285" s="413" t="s">
        <v>17</v>
      </c>
      <c r="F285" s="413" t="s">
        <v>11</v>
      </c>
      <c r="G285" s="413" t="s">
        <v>24</v>
      </c>
      <c r="H285" s="413" t="s">
        <v>25</v>
      </c>
      <c r="I285" s="1066" t="s">
        <v>173</v>
      </c>
      <c r="J285" s="414" t="str">
        <f t="shared" si="4"/>
        <v>A-1Traspaso de Otro BancoIndividualResidencialUsadaApartamentoFERIA000000500000.01</v>
      </c>
      <c r="K285" s="1047">
        <v>500000.01</v>
      </c>
      <c r="L285" s="1047">
        <v>99999999</v>
      </c>
      <c r="M285" s="1050">
        <v>70</v>
      </c>
      <c r="N285" s="1046">
        <v>30</v>
      </c>
      <c r="O285" s="1050">
        <v>5.25</v>
      </c>
      <c r="P285" s="1050">
        <v>8.56</v>
      </c>
      <c r="Q285" s="416"/>
    </row>
    <row r="286" spans="2:17" x14ac:dyDescent="0.25">
      <c r="B286" s="415">
        <v>285</v>
      </c>
      <c r="C286" s="1374" t="s">
        <v>967</v>
      </c>
      <c r="D286" s="413" t="s">
        <v>26</v>
      </c>
      <c r="E286" s="413" t="s">
        <v>17</v>
      </c>
      <c r="F286" s="413" t="s">
        <v>11</v>
      </c>
      <c r="G286" s="413" t="s">
        <v>24</v>
      </c>
      <c r="H286" s="413" t="s">
        <v>22</v>
      </c>
      <c r="I286" s="1066" t="s">
        <v>567</v>
      </c>
      <c r="J286" s="414" t="str">
        <f t="shared" si="4"/>
        <v>A-1Traspaso de Otro BancoIndividualResidencialUsadaCasaBG000000030000.00</v>
      </c>
      <c r="K286" s="1047">
        <v>30000</v>
      </c>
      <c r="L286" s="1047">
        <v>250000</v>
      </c>
      <c r="M286" s="1050">
        <v>85</v>
      </c>
      <c r="N286" s="1046">
        <v>30</v>
      </c>
      <c r="O286" s="1050">
        <v>5.75</v>
      </c>
      <c r="P286" s="1050">
        <v>8.56</v>
      </c>
      <c r="Q286" s="416"/>
    </row>
    <row r="287" spans="2:17" x14ac:dyDescent="0.25">
      <c r="B287" s="412">
        <v>286</v>
      </c>
      <c r="C287" s="1377" t="s">
        <v>967</v>
      </c>
      <c r="D287" s="413" t="s">
        <v>26</v>
      </c>
      <c r="E287" s="413" t="s">
        <v>17</v>
      </c>
      <c r="F287" s="413" t="s">
        <v>11</v>
      </c>
      <c r="G287" s="413" t="s">
        <v>24</v>
      </c>
      <c r="H287" s="413" t="s">
        <v>22</v>
      </c>
      <c r="I287" s="1066" t="s">
        <v>567</v>
      </c>
      <c r="J287" s="414" t="str">
        <f t="shared" si="4"/>
        <v>A-1Traspaso de Otro BancoIndividualResidencialUsadaCasaBG000000250000.01</v>
      </c>
      <c r="K287" s="1047">
        <v>250000.01</v>
      </c>
      <c r="L287" s="1047">
        <v>500000</v>
      </c>
      <c r="M287" s="1050">
        <v>85</v>
      </c>
      <c r="N287" s="1046">
        <v>30</v>
      </c>
      <c r="O287" s="1050">
        <v>5.75</v>
      </c>
      <c r="P287" s="1050">
        <v>8.56</v>
      </c>
      <c r="Q287" s="416"/>
    </row>
    <row r="288" spans="2:17" x14ac:dyDescent="0.25">
      <c r="B288" s="415">
        <v>287</v>
      </c>
      <c r="C288" s="1374" t="s">
        <v>967</v>
      </c>
      <c r="D288" s="421" t="s">
        <v>26</v>
      </c>
      <c r="E288" s="421" t="s">
        <v>17</v>
      </c>
      <c r="F288" s="421" t="s">
        <v>11</v>
      </c>
      <c r="G288" s="421" t="s">
        <v>24</v>
      </c>
      <c r="H288" s="421" t="s">
        <v>22</v>
      </c>
      <c r="I288" s="1066" t="s">
        <v>567</v>
      </c>
      <c r="J288" s="414" t="str">
        <f t="shared" si="4"/>
        <v>A-1Traspaso de Otro BancoIndividualResidencialUsadaCasaBG000000500000.01</v>
      </c>
      <c r="K288" s="1049">
        <v>500000.01</v>
      </c>
      <c r="L288" s="1049">
        <v>99999999</v>
      </c>
      <c r="M288" s="1053">
        <v>80</v>
      </c>
      <c r="N288" s="1048">
        <v>30</v>
      </c>
      <c r="O288" s="1050">
        <v>5.75</v>
      </c>
      <c r="P288" s="1050">
        <v>8.56</v>
      </c>
      <c r="Q288" s="416"/>
    </row>
    <row r="289" spans="2:17" x14ac:dyDescent="0.25">
      <c r="B289" s="415">
        <v>288</v>
      </c>
      <c r="C289" s="595" t="s">
        <v>967</v>
      </c>
      <c r="D289" s="421" t="s">
        <v>26</v>
      </c>
      <c r="E289" s="421" t="s">
        <v>17</v>
      </c>
      <c r="F289" s="421" t="s">
        <v>11</v>
      </c>
      <c r="G289" s="421" t="s">
        <v>24</v>
      </c>
      <c r="H289" s="421" t="s">
        <v>22</v>
      </c>
      <c r="I289" s="1066" t="s">
        <v>913</v>
      </c>
      <c r="J289" s="414" t="str">
        <f t="shared" si="4"/>
        <v>A-1Traspaso de Otro BancoIndividualResidencialUsadaCasaCOPA000000030000.00</v>
      </c>
      <c r="K289" s="1049">
        <v>30000</v>
      </c>
      <c r="L289" s="1049">
        <v>250000</v>
      </c>
      <c r="M289" s="1053">
        <v>90</v>
      </c>
      <c r="N289" s="1048">
        <v>30</v>
      </c>
      <c r="O289" s="1050">
        <v>5.5</v>
      </c>
      <c r="P289" s="1050">
        <v>8.56</v>
      </c>
      <c r="Q289" s="416"/>
    </row>
    <row r="290" spans="2:17" x14ac:dyDescent="0.25">
      <c r="B290" s="415">
        <v>289</v>
      </c>
      <c r="C290" s="595" t="s">
        <v>967</v>
      </c>
      <c r="D290" s="421" t="s">
        <v>26</v>
      </c>
      <c r="E290" s="421" t="s">
        <v>17</v>
      </c>
      <c r="F290" s="421" t="s">
        <v>11</v>
      </c>
      <c r="G290" s="421" t="s">
        <v>24</v>
      </c>
      <c r="H290" s="421" t="s">
        <v>22</v>
      </c>
      <c r="I290" s="1066" t="s">
        <v>913</v>
      </c>
      <c r="J290" s="414" t="str">
        <f t="shared" si="4"/>
        <v>A-1Traspaso de Otro BancoIndividualResidencialUsadaCasaCOPA000000250000.01</v>
      </c>
      <c r="K290" s="1049">
        <v>250000.01</v>
      </c>
      <c r="L290" s="1049">
        <v>500000</v>
      </c>
      <c r="M290" s="1053">
        <v>80</v>
      </c>
      <c r="N290" s="1048">
        <v>30</v>
      </c>
      <c r="O290" s="1050">
        <v>5.25</v>
      </c>
      <c r="P290" s="1050">
        <v>8.56</v>
      </c>
      <c r="Q290" s="416"/>
    </row>
    <row r="291" spans="2:17" x14ac:dyDescent="0.25">
      <c r="B291" s="415">
        <v>290</v>
      </c>
      <c r="C291" s="595" t="s">
        <v>967</v>
      </c>
      <c r="D291" s="421" t="s">
        <v>26</v>
      </c>
      <c r="E291" s="421" t="s">
        <v>17</v>
      </c>
      <c r="F291" s="421" t="s">
        <v>11</v>
      </c>
      <c r="G291" s="421" t="s">
        <v>24</v>
      </c>
      <c r="H291" s="421" t="s">
        <v>22</v>
      </c>
      <c r="I291" s="1067" t="s">
        <v>913</v>
      </c>
      <c r="J291" s="414" t="str">
        <f t="shared" si="4"/>
        <v>A-1Traspaso de Otro BancoIndividualResidencialUsadaCasaCOPA000000500000.01</v>
      </c>
      <c r="K291" s="1049">
        <v>500000.01</v>
      </c>
      <c r="L291" s="1049">
        <v>99999999</v>
      </c>
      <c r="M291" s="1053">
        <v>70</v>
      </c>
      <c r="N291" s="1048">
        <v>30</v>
      </c>
      <c r="O291" s="1050">
        <v>5.25</v>
      </c>
      <c r="P291" s="1050">
        <v>8.56</v>
      </c>
      <c r="Q291" s="416"/>
    </row>
    <row r="292" spans="2:17" x14ac:dyDescent="0.25">
      <c r="B292" s="412">
        <v>291</v>
      </c>
      <c r="C292" s="595" t="s">
        <v>967</v>
      </c>
      <c r="D292" s="421" t="s">
        <v>26</v>
      </c>
      <c r="E292" s="421" t="s">
        <v>17</v>
      </c>
      <c r="F292" s="421" t="s">
        <v>11</v>
      </c>
      <c r="G292" s="421" t="s">
        <v>24</v>
      </c>
      <c r="H292" s="421" t="s">
        <v>22</v>
      </c>
      <c r="I292" s="1067" t="s">
        <v>173</v>
      </c>
      <c r="J292" s="414" t="str">
        <f t="shared" si="4"/>
        <v>A-1Traspaso de Otro BancoIndividualResidencialUsadaCasaFERIA000000040000.00</v>
      </c>
      <c r="K292" s="1056">
        <v>40000</v>
      </c>
      <c r="L292" s="1057">
        <v>200000</v>
      </c>
      <c r="M292" s="1053">
        <v>90</v>
      </c>
      <c r="N292" s="1048">
        <v>30</v>
      </c>
      <c r="O292" s="1050">
        <v>5.5</v>
      </c>
      <c r="P292" s="1050">
        <v>8.56</v>
      </c>
      <c r="Q292" s="416"/>
    </row>
    <row r="293" spans="2:17" x14ac:dyDescent="0.25">
      <c r="B293" s="415">
        <v>292</v>
      </c>
      <c r="C293" s="595" t="s">
        <v>967</v>
      </c>
      <c r="D293" s="421" t="s">
        <v>26</v>
      </c>
      <c r="E293" s="421" t="s">
        <v>17</v>
      </c>
      <c r="F293" s="421" t="s">
        <v>11</v>
      </c>
      <c r="G293" s="421" t="s">
        <v>24</v>
      </c>
      <c r="H293" s="421" t="s">
        <v>22</v>
      </c>
      <c r="I293" s="1067" t="s">
        <v>173</v>
      </c>
      <c r="J293" s="414" t="str">
        <f t="shared" si="4"/>
        <v>A-1Traspaso de Otro BancoIndividualResidencialUsadaCasaFERIA000000200000.01</v>
      </c>
      <c r="K293" s="1057">
        <v>200000.01</v>
      </c>
      <c r="L293" s="1057">
        <v>99999999</v>
      </c>
      <c r="M293" s="1053">
        <v>80</v>
      </c>
      <c r="N293" s="1048">
        <v>30</v>
      </c>
      <c r="O293" s="1050">
        <v>5.25</v>
      </c>
      <c r="P293" s="1050">
        <v>8.56</v>
      </c>
      <c r="Q293" s="416"/>
    </row>
    <row r="294" spans="2:17" x14ac:dyDescent="0.25">
      <c r="B294" s="415">
        <v>293</v>
      </c>
      <c r="C294" s="595" t="s">
        <v>967</v>
      </c>
      <c r="D294" s="421" t="s">
        <v>26</v>
      </c>
      <c r="E294" s="421" t="s">
        <v>17</v>
      </c>
      <c r="F294" s="421" t="s">
        <v>11</v>
      </c>
      <c r="G294" s="421" t="s">
        <v>24</v>
      </c>
      <c r="H294" s="421" t="s">
        <v>22</v>
      </c>
      <c r="I294" s="1067" t="s">
        <v>173</v>
      </c>
      <c r="J294" s="414" t="str">
        <f t="shared" si="4"/>
        <v>A-1Traspaso de Otro BancoIndividualResidencialUsadaCasaFERIA000000500000.01</v>
      </c>
      <c r="K294" s="1049">
        <v>500000.01</v>
      </c>
      <c r="L294" s="1049">
        <v>99999999</v>
      </c>
      <c r="M294" s="1053">
        <v>70</v>
      </c>
      <c r="N294" s="1048">
        <v>30</v>
      </c>
      <c r="O294" s="1050">
        <v>5.25</v>
      </c>
      <c r="P294" s="1050">
        <v>8.56</v>
      </c>
      <c r="Q294" s="416"/>
    </row>
    <row r="295" spans="2:17" x14ac:dyDescent="0.25">
      <c r="B295" s="415">
        <v>294</v>
      </c>
      <c r="C295" s="595" t="s">
        <v>967</v>
      </c>
      <c r="D295" s="421" t="s">
        <v>753</v>
      </c>
      <c r="E295" s="421" t="s">
        <v>9</v>
      </c>
      <c r="F295" s="421" t="s">
        <v>11</v>
      </c>
      <c r="G295" s="421" t="s">
        <v>24</v>
      </c>
      <c r="H295" s="421" t="s">
        <v>25</v>
      </c>
      <c r="I295" s="1067" t="s">
        <v>567</v>
      </c>
      <c r="J295" s="414" t="str">
        <f t="shared" si="4"/>
        <v>A-1Traspaso por compra de vivienda (Ley Preferencial en BG)Ley PreferencialResidencialUsadaApartamentoBG000000030000.00</v>
      </c>
      <c r="K295" s="1049">
        <v>30000</v>
      </c>
      <c r="L295" s="1049">
        <v>40000</v>
      </c>
      <c r="M295" s="1053">
        <v>95</v>
      </c>
      <c r="N295" s="1048">
        <v>30</v>
      </c>
      <c r="O295" s="1053">
        <v>0</v>
      </c>
      <c r="P295" s="1053">
        <v>8.56</v>
      </c>
      <c r="Q295" s="416"/>
    </row>
    <row r="296" spans="2:17" x14ac:dyDescent="0.25">
      <c r="B296" s="415">
        <v>295</v>
      </c>
      <c r="C296" s="595" t="s">
        <v>967</v>
      </c>
      <c r="D296" s="421" t="s">
        <v>753</v>
      </c>
      <c r="E296" s="421" t="s">
        <v>9</v>
      </c>
      <c r="F296" s="421" t="s">
        <v>11</v>
      </c>
      <c r="G296" s="421" t="s">
        <v>24</v>
      </c>
      <c r="H296" s="421" t="s">
        <v>25</v>
      </c>
      <c r="I296" s="1067" t="s">
        <v>567</v>
      </c>
      <c r="J296" s="414" t="str">
        <f t="shared" si="4"/>
        <v>A-1Traspaso por compra de vivienda (Ley Preferencial en BG)Ley PreferencialResidencialUsadaApartamentoBG000000040000.01</v>
      </c>
      <c r="K296" s="1049">
        <v>40000.01</v>
      </c>
      <c r="L296" s="1049">
        <v>80000</v>
      </c>
      <c r="M296" s="1053">
        <v>95</v>
      </c>
      <c r="N296" s="1048">
        <v>30</v>
      </c>
      <c r="O296" s="1050">
        <v>1.5</v>
      </c>
      <c r="P296" s="1053">
        <v>8.56</v>
      </c>
      <c r="Q296" s="416"/>
    </row>
    <row r="297" spans="2:17" x14ac:dyDescent="0.25">
      <c r="B297" s="412">
        <v>296</v>
      </c>
      <c r="C297" s="595" t="s">
        <v>967</v>
      </c>
      <c r="D297" s="421" t="s">
        <v>753</v>
      </c>
      <c r="E297" s="421" t="s">
        <v>9</v>
      </c>
      <c r="F297" s="421" t="s">
        <v>11</v>
      </c>
      <c r="G297" s="421" t="s">
        <v>24</v>
      </c>
      <c r="H297" s="421" t="s">
        <v>25</v>
      </c>
      <c r="I297" s="1067" t="s">
        <v>567</v>
      </c>
      <c r="J297" s="414" t="str">
        <f t="shared" si="4"/>
        <v>A-1Traspaso por compra de vivienda (Ley Preferencial en BG)Ley PreferencialResidencialUsadaApartamentoBG000000080000.01</v>
      </c>
      <c r="K297" s="1049">
        <v>80000.009999999995</v>
      </c>
      <c r="L297" s="1049">
        <v>120000</v>
      </c>
      <c r="M297" s="1053">
        <v>95</v>
      </c>
      <c r="N297" s="1048">
        <v>30</v>
      </c>
      <c r="O297" s="1050">
        <v>1.5</v>
      </c>
      <c r="P297" s="1053">
        <v>8.56</v>
      </c>
      <c r="Q297" s="416"/>
    </row>
    <row r="298" spans="2:17" x14ac:dyDescent="0.25">
      <c r="B298" s="415">
        <v>297</v>
      </c>
      <c r="C298" s="595" t="s">
        <v>967</v>
      </c>
      <c r="D298" s="421" t="s">
        <v>753</v>
      </c>
      <c r="E298" s="421" t="s">
        <v>9</v>
      </c>
      <c r="F298" s="421" t="s">
        <v>11</v>
      </c>
      <c r="G298" s="421" t="s">
        <v>24</v>
      </c>
      <c r="H298" s="421" t="s">
        <v>25</v>
      </c>
      <c r="I298" s="1067" t="s">
        <v>913</v>
      </c>
      <c r="J298" s="414" t="str">
        <f t="shared" si="4"/>
        <v>A-1Traspaso por compra de vivienda (Ley Preferencial en BG)Ley PreferencialResidencialUsadaApartamentoCOPA000000030000.00</v>
      </c>
      <c r="K298" s="1049">
        <v>30000</v>
      </c>
      <c r="L298" s="1049">
        <v>40000</v>
      </c>
      <c r="M298" s="1053">
        <v>95</v>
      </c>
      <c r="N298" s="1048">
        <v>30</v>
      </c>
      <c r="O298" s="1053">
        <v>0</v>
      </c>
      <c r="P298" s="1053">
        <v>4.28</v>
      </c>
      <c r="Q298" s="416"/>
    </row>
    <row r="299" spans="2:17" x14ac:dyDescent="0.25">
      <c r="B299" s="415">
        <v>298</v>
      </c>
      <c r="C299" s="595" t="s">
        <v>967</v>
      </c>
      <c r="D299" s="421" t="s">
        <v>753</v>
      </c>
      <c r="E299" s="421" t="s">
        <v>9</v>
      </c>
      <c r="F299" s="421" t="s">
        <v>11</v>
      </c>
      <c r="G299" s="421" t="s">
        <v>24</v>
      </c>
      <c r="H299" s="421" t="s">
        <v>25</v>
      </c>
      <c r="I299" s="1067" t="s">
        <v>913</v>
      </c>
      <c r="J299" s="414" t="str">
        <f t="shared" si="4"/>
        <v>A-1Traspaso por compra de vivienda (Ley Preferencial en BG)Ley PreferencialResidencialUsadaApartamentoCOPA000000040000.01</v>
      </c>
      <c r="K299" s="1049">
        <v>40000.01</v>
      </c>
      <c r="L299" s="1049">
        <v>80000</v>
      </c>
      <c r="M299" s="1053">
        <v>95</v>
      </c>
      <c r="N299" s="1048">
        <v>30</v>
      </c>
      <c r="O299" s="1050">
        <v>1.5</v>
      </c>
      <c r="P299" s="1053">
        <v>4.28</v>
      </c>
      <c r="Q299" s="416"/>
    </row>
    <row r="300" spans="2:17" x14ac:dyDescent="0.25">
      <c r="B300" s="415">
        <v>299</v>
      </c>
      <c r="C300" s="595" t="s">
        <v>967</v>
      </c>
      <c r="D300" s="421" t="s">
        <v>753</v>
      </c>
      <c r="E300" s="421" t="s">
        <v>9</v>
      </c>
      <c r="F300" s="421" t="s">
        <v>11</v>
      </c>
      <c r="G300" s="421" t="s">
        <v>24</v>
      </c>
      <c r="H300" s="421" t="s">
        <v>25</v>
      </c>
      <c r="I300" s="1067" t="s">
        <v>913</v>
      </c>
      <c r="J300" s="414" t="str">
        <f t="shared" si="4"/>
        <v>A-1Traspaso por compra de vivienda (Ley Preferencial en BG)Ley PreferencialResidencialUsadaApartamentoCOPA000000080000.01</v>
      </c>
      <c r="K300" s="1049">
        <v>80000.009999999995</v>
      </c>
      <c r="L300" s="1049">
        <v>120000</v>
      </c>
      <c r="M300" s="1053">
        <v>95</v>
      </c>
      <c r="N300" s="1048">
        <v>30</v>
      </c>
      <c r="O300" s="1050">
        <v>1.5</v>
      </c>
      <c r="P300" s="1053">
        <v>4.28</v>
      </c>
      <c r="Q300" s="416"/>
    </row>
    <row r="301" spans="2:17" x14ac:dyDescent="0.25">
      <c r="B301" s="415">
        <v>300</v>
      </c>
      <c r="C301" s="595" t="s">
        <v>967</v>
      </c>
      <c r="D301" s="421" t="s">
        <v>753</v>
      </c>
      <c r="E301" s="421" t="s">
        <v>9</v>
      </c>
      <c r="F301" s="421" t="s">
        <v>11</v>
      </c>
      <c r="G301" s="421" t="s">
        <v>24</v>
      </c>
      <c r="H301" s="421" t="s">
        <v>25</v>
      </c>
      <c r="I301" s="1067" t="s">
        <v>173</v>
      </c>
      <c r="J301" s="414" t="str">
        <f t="shared" si="4"/>
        <v>A-1Traspaso por compra de vivienda (Ley Preferencial en BG)Ley PreferencialResidencialUsadaApartamentoFERIA000000030000.00</v>
      </c>
      <c r="K301" s="1049">
        <v>30000</v>
      </c>
      <c r="L301" s="1049">
        <v>40000</v>
      </c>
      <c r="M301" s="1053">
        <v>95</v>
      </c>
      <c r="N301" s="1048">
        <v>30</v>
      </c>
      <c r="O301" s="1053">
        <v>0</v>
      </c>
      <c r="P301" s="1053">
        <v>4.28</v>
      </c>
      <c r="Q301" s="416"/>
    </row>
    <row r="302" spans="2:17" x14ac:dyDescent="0.25">
      <c r="B302" s="412">
        <v>301</v>
      </c>
      <c r="C302" s="595" t="s">
        <v>967</v>
      </c>
      <c r="D302" s="421" t="s">
        <v>753</v>
      </c>
      <c r="E302" s="421" t="s">
        <v>9</v>
      </c>
      <c r="F302" s="421" t="s">
        <v>11</v>
      </c>
      <c r="G302" s="421" t="s">
        <v>24</v>
      </c>
      <c r="H302" s="421" t="s">
        <v>25</v>
      </c>
      <c r="I302" s="1067" t="s">
        <v>173</v>
      </c>
      <c r="J302" s="414" t="str">
        <f t="shared" si="4"/>
        <v>A-1Traspaso por compra de vivienda (Ley Preferencial en BG)Ley PreferencialResidencialUsadaApartamentoFERIA000000040000.01</v>
      </c>
      <c r="K302" s="1049">
        <v>40000.01</v>
      </c>
      <c r="L302" s="1049">
        <v>80000</v>
      </c>
      <c r="M302" s="1053">
        <v>95</v>
      </c>
      <c r="N302" s="1048">
        <v>30</v>
      </c>
      <c r="O302" s="1050">
        <v>1.5</v>
      </c>
      <c r="P302" s="1053">
        <v>4.28</v>
      </c>
      <c r="Q302" s="416"/>
    </row>
    <row r="303" spans="2:17" x14ac:dyDescent="0.25">
      <c r="B303" s="415">
        <v>302</v>
      </c>
      <c r="C303" s="595" t="s">
        <v>967</v>
      </c>
      <c r="D303" s="421" t="s">
        <v>753</v>
      </c>
      <c r="E303" s="421" t="s">
        <v>9</v>
      </c>
      <c r="F303" s="421" t="s">
        <v>11</v>
      </c>
      <c r="G303" s="421" t="s">
        <v>24</v>
      </c>
      <c r="H303" s="421" t="s">
        <v>25</v>
      </c>
      <c r="I303" s="1067" t="s">
        <v>173</v>
      </c>
      <c r="J303" s="414" t="str">
        <f t="shared" si="4"/>
        <v>A-1Traspaso por compra de vivienda (Ley Preferencial en BG)Ley PreferencialResidencialUsadaApartamentoFERIA000000080000.01</v>
      </c>
      <c r="K303" s="1049">
        <v>80000.009999999995</v>
      </c>
      <c r="L303" s="1049">
        <v>120000</v>
      </c>
      <c r="M303" s="1053">
        <v>95</v>
      </c>
      <c r="N303" s="1048">
        <v>30</v>
      </c>
      <c r="O303" s="1050">
        <v>1.5</v>
      </c>
      <c r="P303" s="1053">
        <v>4.28</v>
      </c>
      <c r="Q303" s="416"/>
    </row>
    <row r="304" spans="2:17" x14ac:dyDescent="0.25">
      <c r="B304" s="415">
        <v>303</v>
      </c>
      <c r="C304" s="595" t="s">
        <v>967</v>
      </c>
      <c r="D304" s="421" t="s">
        <v>753</v>
      </c>
      <c r="E304" s="421" t="s">
        <v>9</v>
      </c>
      <c r="F304" s="421" t="s">
        <v>11</v>
      </c>
      <c r="G304" s="421" t="s">
        <v>24</v>
      </c>
      <c r="H304" s="421" t="s">
        <v>22</v>
      </c>
      <c r="I304" s="1067" t="s">
        <v>567</v>
      </c>
      <c r="J304" s="414" t="str">
        <f t="shared" si="4"/>
        <v>A-1Traspaso por compra de vivienda (Ley Preferencial en BG)Ley PreferencialResidencialUsadaCasaBG000000018000.00</v>
      </c>
      <c r="K304" s="1049">
        <v>18000</v>
      </c>
      <c r="L304" s="1049">
        <v>40000</v>
      </c>
      <c r="M304" s="1053">
        <v>98</v>
      </c>
      <c r="N304" s="1048">
        <v>30</v>
      </c>
      <c r="O304" s="1053">
        <v>0</v>
      </c>
      <c r="P304" s="1053">
        <v>8.56</v>
      </c>
      <c r="Q304" s="416"/>
    </row>
    <row r="305" spans="2:17" x14ac:dyDescent="0.25">
      <c r="B305" s="415">
        <v>304</v>
      </c>
      <c r="C305" s="595" t="s">
        <v>967</v>
      </c>
      <c r="D305" s="421" t="s">
        <v>753</v>
      </c>
      <c r="E305" s="421" t="s">
        <v>9</v>
      </c>
      <c r="F305" s="421" t="s">
        <v>11</v>
      </c>
      <c r="G305" s="421" t="s">
        <v>24</v>
      </c>
      <c r="H305" s="421" t="s">
        <v>22</v>
      </c>
      <c r="I305" s="1067" t="s">
        <v>567</v>
      </c>
      <c r="J305" s="414" t="str">
        <f t="shared" si="4"/>
        <v>A-1Traspaso por compra de vivienda (Ley Preferencial en BG)Ley PreferencialResidencialUsadaCasaBG000000030000.01</v>
      </c>
      <c r="K305" s="1049">
        <v>30000.01</v>
      </c>
      <c r="L305" s="1049">
        <v>80000</v>
      </c>
      <c r="M305" s="1053">
        <v>98</v>
      </c>
      <c r="N305" s="1048">
        <v>30</v>
      </c>
      <c r="O305" s="1050">
        <v>1.5</v>
      </c>
      <c r="P305" s="1053">
        <v>8.56</v>
      </c>
      <c r="Q305" s="416"/>
    </row>
    <row r="306" spans="2:17" x14ac:dyDescent="0.25">
      <c r="B306" s="415">
        <v>305</v>
      </c>
      <c r="C306" s="595" t="s">
        <v>967</v>
      </c>
      <c r="D306" s="421" t="s">
        <v>753</v>
      </c>
      <c r="E306" s="421" t="s">
        <v>9</v>
      </c>
      <c r="F306" s="421" t="s">
        <v>11</v>
      </c>
      <c r="G306" s="421" t="s">
        <v>24</v>
      </c>
      <c r="H306" s="421" t="s">
        <v>22</v>
      </c>
      <c r="I306" s="1067" t="s">
        <v>567</v>
      </c>
      <c r="J306" s="414" t="str">
        <f t="shared" si="4"/>
        <v>A-1Traspaso por compra de vivienda (Ley Preferencial en BG)Ley PreferencialResidencialUsadaCasaBG000000080000.01</v>
      </c>
      <c r="K306" s="1049">
        <v>80000.009999999995</v>
      </c>
      <c r="L306" s="1049">
        <v>120000</v>
      </c>
      <c r="M306" s="1053">
        <v>98</v>
      </c>
      <c r="N306" s="1048">
        <v>30</v>
      </c>
      <c r="O306" s="1050">
        <v>1.5</v>
      </c>
      <c r="P306" s="1053">
        <v>8.56</v>
      </c>
      <c r="Q306" s="416"/>
    </row>
    <row r="307" spans="2:17" x14ac:dyDescent="0.25">
      <c r="B307" s="412">
        <v>306</v>
      </c>
      <c r="C307" s="595" t="s">
        <v>967</v>
      </c>
      <c r="D307" s="421" t="s">
        <v>753</v>
      </c>
      <c r="E307" s="421" t="s">
        <v>9</v>
      </c>
      <c r="F307" s="421" t="s">
        <v>11</v>
      </c>
      <c r="G307" s="421" t="s">
        <v>24</v>
      </c>
      <c r="H307" s="421" t="s">
        <v>22</v>
      </c>
      <c r="I307" s="1067" t="s">
        <v>913</v>
      </c>
      <c r="J307" s="414" t="str">
        <f t="shared" si="4"/>
        <v>A-1Traspaso por compra de vivienda (Ley Preferencial en BG)Ley PreferencialResidencialUsadaCasaCOPA000000018000.00</v>
      </c>
      <c r="K307" s="1049">
        <v>18000</v>
      </c>
      <c r="L307" s="1049">
        <v>40000</v>
      </c>
      <c r="M307" s="1053">
        <v>98</v>
      </c>
      <c r="N307" s="1048">
        <v>30</v>
      </c>
      <c r="O307" s="1053">
        <v>0</v>
      </c>
      <c r="P307" s="1053">
        <v>4.28</v>
      </c>
      <c r="Q307" s="416"/>
    </row>
    <row r="308" spans="2:17" x14ac:dyDescent="0.25">
      <c r="B308" s="415">
        <v>307</v>
      </c>
      <c r="C308" s="595" t="s">
        <v>967</v>
      </c>
      <c r="D308" s="421" t="s">
        <v>753</v>
      </c>
      <c r="E308" s="421" t="s">
        <v>9</v>
      </c>
      <c r="F308" s="421" t="s">
        <v>11</v>
      </c>
      <c r="G308" s="421" t="s">
        <v>24</v>
      </c>
      <c r="H308" s="421" t="s">
        <v>22</v>
      </c>
      <c r="I308" s="1067" t="s">
        <v>913</v>
      </c>
      <c r="J308" s="414" t="str">
        <f t="shared" si="4"/>
        <v>A-1Traspaso por compra de vivienda (Ley Preferencial en BG)Ley PreferencialResidencialUsadaCasaCOPA000000030000.01</v>
      </c>
      <c r="K308" s="1049">
        <v>30000.01</v>
      </c>
      <c r="L308" s="1049">
        <v>80000</v>
      </c>
      <c r="M308" s="1053">
        <v>98</v>
      </c>
      <c r="N308" s="1048">
        <v>30</v>
      </c>
      <c r="O308" s="1050">
        <v>1.5</v>
      </c>
      <c r="P308" s="1053">
        <v>4.28</v>
      </c>
      <c r="Q308" s="416"/>
    </row>
    <row r="309" spans="2:17" x14ac:dyDescent="0.25">
      <c r="B309" s="415">
        <v>308</v>
      </c>
      <c r="C309" s="595" t="s">
        <v>967</v>
      </c>
      <c r="D309" s="421" t="s">
        <v>753</v>
      </c>
      <c r="E309" s="421" t="s">
        <v>9</v>
      </c>
      <c r="F309" s="421" t="s">
        <v>11</v>
      </c>
      <c r="G309" s="421" t="s">
        <v>24</v>
      </c>
      <c r="H309" s="421" t="s">
        <v>22</v>
      </c>
      <c r="I309" s="1067" t="s">
        <v>913</v>
      </c>
      <c r="J309" s="414" t="str">
        <f t="shared" si="4"/>
        <v>A-1Traspaso por compra de vivienda (Ley Preferencial en BG)Ley PreferencialResidencialUsadaCasaCOPA000000080000.01</v>
      </c>
      <c r="K309" s="1049">
        <v>80000.009999999995</v>
      </c>
      <c r="L309" s="1049">
        <v>120000</v>
      </c>
      <c r="M309" s="1053">
        <v>98</v>
      </c>
      <c r="N309" s="1048">
        <v>30</v>
      </c>
      <c r="O309" s="1050">
        <v>1.5</v>
      </c>
      <c r="P309" s="1053">
        <v>4.28</v>
      </c>
      <c r="Q309" s="416"/>
    </row>
    <row r="310" spans="2:17" x14ac:dyDescent="0.25">
      <c r="B310" s="415">
        <v>309</v>
      </c>
      <c r="C310" s="596" t="s">
        <v>967</v>
      </c>
      <c r="D310" s="421" t="s">
        <v>753</v>
      </c>
      <c r="E310" s="421" t="s">
        <v>9</v>
      </c>
      <c r="F310" s="421" t="s">
        <v>11</v>
      </c>
      <c r="G310" s="421" t="s">
        <v>24</v>
      </c>
      <c r="H310" s="421" t="s">
        <v>22</v>
      </c>
      <c r="I310" s="1067" t="s">
        <v>173</v>
      </c>
      <c r="J310" s="414" t="str">
        <f t="shared" si="4"/>
        <v>A-1Traspaso por compra de vivienda (Ley Preferencial en BG)Ley PreferencialResidencialUsadaCasaFERIA000000018000.00</v>
      </c>
      <c r="K310" s="1049">
        <v>18000</v>
      </c>
      <c r="L310" s="1049">
        <v>40000</v>
      </c>
      <c r="M310" s="1053">
        <v>98</v>
      </c>
      <c r="N310" s="1048">
        <v>30</v>
      </c>
      <c r="O310" s="1053">
        <v>0</v>
      </c>
      <c r="P310" s="1053">
        <v>4.28</v>
      </c>
      <c r="Q310" s="416"/>
    </row>
    <row r="311" spans="2:17" x14ac:dyDescent="0.25">
      <c r="B311" s="415">
        <v>310</v>
      </c>
      <c r="C311" s="595" t="s">
        <v>967</v>
      </c>
      <c r="D311" s="421" t="s">
        <v>753</v>
      </c>
      <c r="E311" s="421" t="s">
        <v>9</v>
      </c>
      <c r="F311" s="421" t="s">
        <v>11</v>
      </c>
      <c r="G311" s="421" t="s">
        <v>24</v>
      </c>
      <c r="H311" s="421" t="s">
        <v>22</v>
      </c>
      <c r="I311" s="1067" t="s">
        <v>173</v>
      </c>
      <c r="J311" s="414" t="str">
        <f t="shared" si="4"/>
        <v>A-1Traspaso por compra de vivienda (Ley Preferencial en BG)Ley PreferencialResidencialUsadaCasaFERIA000000030000.01</v>
      </c>
      <c r="K311" s="1049">
        <v>30000.01</v>
      </c>
      <c r="L311" s="1049">
        <v>80000</v>
      </c>
      <c r="M311" s="1053">
        <v>98</v>
      </c>
      <c r="N311" s="1048">
        <v>30</v>
      </c>
      <c r="O311" s="1050">
        <v>1.5</v>
      </c>
      <c r="P311" s="1053">
        <v>4.28</v>
      </c>
      <c r="Q311" s="416"/>
    </row>
    <row r="312" spans="2:17" x14ac:dyDescent="0.25">
      <c r="B312" s="412">
        <v>311</v>
      </c>
      <c r="C312" s="595" t="s">
        <v>967</v>
      </c>
      <c r="D312" s="421" t="s">
        <v>753</v>
      </c>
      <c r="E312" s="421" t="s">
        <v>9</v>
      </c>
      <c r="F312" s="421" t="s">
        <v>11</v>
      </c>
      <c r="G312" s="421" t="s">
        <v>24</v>
      </c>
      <c r="H312" s="421" t="s">
        <v>22</v>
      </c>
      <c r="I312" s="1067" t="s">
        <v>173</v>
      </c>
      <c r="J312" s="414" t="str">
        <f t="shared" si="4"/>
        <v>A-1Traspaso por compra de vivienda (Ley Preferencial en BG)Ley PreferencialResidencialUsadaCasaFERIA000000080000.01</v>
      </c>
      <c r="K312" s="1049">
        <v>80000.009999999995</v>
      </c>
      <c r="L312" s="1049">
        <v>120000</v>
      </c>
      <c r="M312" s="1053">
        <v>98</v>
      </c>
      <c r="N312" s="1048">
        <v>30</v>
      </c>
      <c r="O312" s="1050">
        <v>1.5</v>
      </c>
      <c r="P312" s="1053">
        <v>4.28</v>
      </c>
      <c r="Q312" s="416"/>
    </row>
    <row r="313" spans="2:17" x14ac:dyDescent="0.25">
      <c r="B313" s="415">
        <v>312</v>
      </c>
      <c r="C313" s="595" t="s">
        <v>927</v>
      </c>
      <c r="D313" s="421" t="s">
        <v>214</v>
      </c>
      <c r="E313" s="421" t="s">
        <v>17</v>
      </c>
      <c r="F313" s="421" t="s">
        <v>11</v>
      </c>
      <c r="G313" s="421" t="s">
        <v>24</v>
      </c>
      <c r="H313" s="421" t="s">
        <v>25</v>
      </c>
      <c r="I313" s="1067" t="s">
        <v>567</v>
      </c>
      <c r="J313" s="414" t="str">
        <f t="shared" si="4"/>
        <v>ACambio de DeudorIndividualResidencialUsadaApartamentoBG000000005000.00</v>
      </c>
      <c r="K313" s="1049">
        <v>5000</v>
      </c>
      <c r="L313" s="1049">
        <v>50000000</v>
      </c>
      <c r="M313" s="1053">
        <v>100</v>
      </c>
      <c r="N313" s="1048">
        <v>30</v>
      </c>
      <c r="O313" s="1053">
        <v>0</v>
      </c>
      <c r="P313" s="1050">
        <v>8.56</v>
      </c>
      <c r="Q313" s="416"/>
    </row>
    <row r="314" spans="2:17" x14ac:dyDescent="0.25">
      <c r="B314" s="415">
        <v>313</v>
      </c>
      <c r="C314" s="595" t="s">
        <v>927</v>
      </c>
      <c r="D314" s="421" t="s">
        <v>214</v>
      </c>
      <c r="E314" s="421" t="s">
        <v>17</v>
      </c>
      <c r="F314" s="421" t="s">
        <v>11</v>
      </c>
      <c r="G314" s="421" t="s">
        <v>24</v>
      </c>
      <c r="H314" s="421" t="s">
        <v>25</v>
      </c>
      <c r="I314" s="1067" t="s">
        <v>913</v>
      </c>
      <c r="J314" s="414" t="str">
        <f t="shared" si="4"/>
        <v>ACambio de DeudorIndividualResidencialUsadaApartamentoCOPA000000005000.00</v>
      </c>
      <c r="K314" s="1049">
        <v>5000</v>
      </c>
      <c r="L314" s="1049">
        <v>50000000</v>
      </c>
      <c r="M314" s="1053">
        <v>100</v>
      </c>
      <c r="N314" s="1048">
        <v>30</v>
      </c>
      <c r="O314" s="1053">
        <v>0</v>
      </c>
      <c r="P314" s="1050">
        <v>8.56</v>
      </c>
      <c r="Q314" s="416"/>
    </row>
    <row r="315" spans="2:17" x14ac:dyDescent="0.25">
      <c r="B315" s="415">
        <v>314</v>
      </c>
      <c r="C315" s="595" t="s">
        <v>927</v>
      </c>
      <c r="D315" s="421" t="s">
        <v>214</v>
      </c>
      <c r="E315" s="421" t="s">
        <v>17</v>
      </c>
      <c r="F315" s="421" t="s">
        <v>11</v>
      </c>
      <c r="G315" s="421" t="s">
        <v>24</v>
      </c>
      <c r="H315" s="421" t="s">
        <v>25</v>
      </c>
      <c r="I315" s="1067" t="s">
        <v>173</v>
      </c>
      <c r="J315" s="414" t="str">
        <f t="shared" si="4"/>
        <v>ACambio de DeudorIndividualResidencialUsadaApartamentoFERIA000000005000.00</v>
      </c>
      <c r="K315" s="1049">
        <v>5000</v>
      </c>
      <c r="L315" s="1049">
        <v>50000000</v>
      </c>
      <c r="M315" s="1053">
        <v>100</v>
      </c>
      <c r="N315" s="1048">
        <v>30</v>
      </c>
      <c r="O315" s="1053">
        <v>0</v>
      </c>
      <c r="P315" s="1053">
        <v>0</v>
      </c>
      <c r="Q315" s="416"/>
    </row>
    <row r="316" spans="2:17" x14ac:dyDescent="0.25">
      <c r="B316" s="415">
        <v>315</v>
      </c>
      <c r="C316" s="595" t="s">
        <v>927</v>
      </c>
      <c r="D316" s="421" t="s">
        <v>214</v>
      </c>
      <c r="E316" s="421" t="s">
        <v>17</v>
      </c>
      <c r="F316" s="421" t="s">
        <v>11</v>
      </c>
      <c r="G316" s="421" t="s">
        <v>24</v>
      </c>
      <c r="H316" s="421" t="s">
        <v>22</v>
      </c>
      <c r="I316" s="1067" t="s">
        <v>567</v>
      </c>
      <c r="J316" s="414" t="str">
        <f t="shared" si="4"/>
        <v>ACambio de DeudorIndividualResidencialUsadaCasaBG000000005000.00</v>
      </c>
      <c r="K316" s="1049">
        <v>5000</v>
      </c>
      <c r="L316" s="1049">
        <v>50000000</v>
      </c>
      <c r="M316" s="1053">
        <v>100</v>
      </c>
      <c r="N316" s="1048">
        <v>30</v>
      </c>
      <c r="O316" s="1053">
        <v>0</v>
      </c>
      <c r="P316" s="1050">
        <v>8.56</v>
      </c>
      <c r="Q316" s="416"/>
    </row>
    <row r="317" spans="2:17" x14ac:dyDescent="0.25">
      <c r="B317" s="412">
        <v>316</v>
      </c>
      <c r="C317" s="595" t="s">
        <v>927</v>
      </c>
      <c r="D317" s="421" t="s">
        <v>214</v>
      </c>
      <c r="E317" s="421" t="s">
        <v>17</v>
      </c>
      <c r="F317" s="421" t="s">
        <v>11</v>
      </c>
      <c r="G317" s="421" t="s">
        <v>24</v>
      </c>
      <c r="H317" s="421" t="s">
        <v>22</v>
      </c>
      <c r="I317" s="1067" t="s">
        <v>913</v>
      </c>
      <c r="J317" s="414" t="str">
        <f t="shared" si="4"/>
        <v>ACambio de DeudorIndividualResidencialUsadaCasaCOPA000000005000.00</v>
      </c>
      <c r="K317" s="1049">
        <v>5000</v>
      </c>
      <c r="L317" s="1049">
        <v>50000000</v>
      </c>
      <c r="M317" s="1053">
        <v>100</v>
      </c>
      <c r="N317" s="1048">
        <v>30</v>
      </c>
      <c r="O317" s="1053">
        <v>0</v>
      </c>
      <c r="P317" s="1050">
        <v>8.56</v>
      </c>
      <c r="Q317" s="416"/>
    </row>
    <row r="318" spans="2:17" x14ac:dyDescent="0.25">
      <c r="B318" s="415">
        <v>317</v>
      </c>
      <c r="C318" s="595" t="s">
        <v>927</v>
      </c>
      <c r="D318" s="421" t="s">
        <v>214</v>
      </c>
      <c r="E318" s="421" t="s">
        <v>17</v>
      </c>
      <c r="F318" s="421" t="s">
        <v>11</v>
      </c>
      <c r="G318" s="421" t="s">
        <v>24</v>
      </c>
      <c r="H318" s="421" t="s">
        <v>22</v>
      </c>
      <c r="I318" s="1067" t="s">
        <v>173</v>
      </c>
      <c r="J318" s="414" t="str">
        <f t="shared" si="4"/>
        <v>ACambio de DeudorIndividualResidencialUsadaCasaFERIA000000005000.00</v>
      </c>
      <c r="K318" s="1049">
        <v>5000</v>
      </c>
      <c r="L318" s="1049">
        <v>50000000</v>
      </c>
      <c r="M318" s="1053">
        <v>100</v>
      </c>
      <c r="N318" s="1048">
        <v>30</v>
      </c>
      <c r="O318" s="1053">
        <v>0</v>
      </c>
      <c r="P318" s="1053">
        <v>0</v>
      </c>
      <c r="Q318" s="416"/>
    </row>
    <row r="319" spans="2:17" x14ac:dyDescent="0.25">
      <c r="B319" s="415">
        <v>318</v>
      </c>
      <c r="C319" s="595" t="s">
        <v>927</v>
      </c>
      <c r="D319" s="421" t="s">
        <v>214</v>
      </c>
      <c r="E319" s="421" t="s">
        <v>9</v>
      </c>
      <c r="F319" s="421" t="s">
        <v>11</v>
      </c>
      <c r="G319" s="421" t="s">
        <v>24</v>
      </c>
      <c r="H319" s="421" t="s">
        <v>25</v>
      </c>
      <c r="I319" s="1067" t="s">
        <v>567</v>
      </c>
      <c r="J319" s="414" t="str">
        <f t="shared" si="4"/>
        <v>ACambio de DeudorLey PreferencialResidencialUsadaApartamentoBG000000005000.00</v>
      </c>
      <c r="K319" s="1049">
        <v>5000</v>
      </c>
      <c r="L319" s="1049">
        <v>120000</v>
      </c>
      <c r="M319" s="1053">
        <v>100</v>
      </c>
      <c r="N319" s="1048">
        <v>30</v>
      </c>
      <c r="O319" s="1053">
        <v>0</v>
      </c>
      <c r="P319" s="1050">
        <v>8.56</v>
      </c>
      <c r="Q319" s="416"/>
    </row>
    <row r="320" spans="2:17" x14ac:dyDescent="0.25">
      <c r="B320" s="415">
        <v>319</v>
      </c>
      <c r="C320" s="595" t="s">
        <v>927</v>
      </c>
      <c r="D320" s="421" t="s">
        <v>214</v>
      </c>
      <c r="E320" s="421" t="s">
        <v>9</v>
      </c>
      <c r="F320" s="421" t="s">
        <v>11</v>
      </c>
      <c r="G320" s="421" t="s">
        <v>24</v>
      </c>
      <c r="H320" s="421" t="s">
        <v>25</v>
      </c>
      <c r="I320" s="1067" t="s">
        <v>913</v>
      </c>
      <c r="J320" s="414" t="str">
        <f t="shared" si="4"/>
        <v>ACambio de DeudorLey PreferencialResidencialUsadaApartamentoCOPA000000005000.00</v>
      </c>
      <c r="K320" s="1049">
        <v>5000</v>
      </c>
      <c r="L320" s="1049">
        <v>120000</v>
      </c>
      <c r="M320" s="1053">
        <v>100</v>
      </c>
      <c r="N320" s="1048">
        <v>30</v>
      </c>
      <c r="O320" s="1053">
        <v>0</v>
      </c>
      <c r="P320" s="1050">
        <v>8.56</v>
      </c>
      <c r="Q320" s="416"/>
    </row>
    <row r="321" spans="2:17" x14ac:dyDescent="0.25">
      <c r="B321" s="415">
        <v>320</v>
      </c>
      <c r="C321" s="595" t="s">
        <v>927</v>
      </c>
      <c r="D321" s="421" t="s">
        <v>214</v>
      </c>
      <c r="E321" s="421" t="s">
        <v>9</v>
      </c>
      <c r="F321" s="421" t="s">
        <v>11</v>
      </c>
      <c r="G321" s="421" t="s">
        <v>24</v>
      </c>
      <c r="H321" s="421" t="s">
        <v>25</v>
      </c>
      <c r="I321" s="1067" t="s">
        <v>173</v>
      </c>
      <c r="J321" s="414" t="str">
        <f t="shared" si="4"/>
        <v>ACambio de DeudorLey PreferencialResidencialUsadaApartamentoFERIA000000005000.00</v>
      </c>
      <c r="K321" s="1049">
        <v>5000</v>
      </c>
      <c r="L321" s="1049">
        <v>120000</v>
      </c>
      <c r="M321" s="1053">
        <v>100</v>
      </c>
      <c r="N321" s="1048">
        <v>30</v>
      </c>
      <c r="O321" s="1053">
        <v>0</v>
      </c>
      <c r="P321" s="1053">
        <v>4.28</v>
      </c>
      <c r="Q321" s="416"/>
    </row>
    <row r="322" spans="2:17" x14ac:dyDescent="0.25">
      <c r="B322" s="412">
        <v>321</v>
      </c>
      <c r="C322" s="595" t="s">
        <v>927</v>
      </c>
      <c r="D322" s="421" t="s">
        <v>214</v>
      </c>
      <c r="E322" s="421" t="s">
        <v>9</v>
      </c>
      <c r="F322" s="421" t="s">
        <v>11</v>
      </c>
      <c r="G322" s="421" t="s">
        <v>24</v>
      </c>
      <c r="H322" s="421" t="s">
        <v>22</v>
      </c>
      <c r="I322" s="1067" t="s">
        <v>567</v>
      </c>
      <c r="J322" s="414" t="str">
        <f t="shared" ref="J322:J385" si="5">C322&amp;D322&amp;E322&amp;F322&amp;G322&amp;H322&amp;I322 &amp; REPT("0",15-LEN(K322 &amp; IF(IFERROR(FIND(".",K322&amp;""),0)=0,".00","")))&amp;K322 &amp; IF(IFERROR(FIND(".",K322&amp;""),0)=0,".00","")</f>
        <v>ACambio de DeudorLey PreferencialResidencialUsadaCasaBG000000005000.00</v>
      </c>
      <c r="K322" s="1049">
        <v>5000</v>
      </c>
      <c r="L322" s="1049">
        <v>120000</v>
      </c>
      <c r="M322" s="1053">
        <v>100</v>
      </c>
      <c r="N322" s="1048">
        <v>30</v>
      </c>
      <c r="O322" s="1053">
        <v>0</v>
      </c>
      <c r="P322" s="1050">
        <v>8.56</v>
      </c>
      <c r="Q322" s="416"/>
    </row>
    <row r="323" spans="2:17" x14ac:dyDescent="0.25">
      <c r="B323" s="415">
        <v>322</v>
      </c>
      <c r="C323" s="595" t="s">
        <v>927</v>
      </c>
      <c r="D323" s="421" t="s">
        <v>214</v>
      </c>
      <c r="E323" s="421" t="s">
        <v>9</v>
      </c>
      <c r="F323" s="421" t="s">
        <v>11</v>
      </c>
      <c r="G323" s="421" t="s">
        <v>24</v>
      </c>
      <c r="H323" s="421" t="s">
        <v>22</v>
      </c>
      <c r="I323" s="1067" t="s">
        <v>913</v>
      </c>
      <c r="J323" s="414" t="str">
        <f t="shared" si="5"/>
        <v>ACambio de DeudorLey PreferencialResidencialUsadaCasaCOPA000000005000.00</v>
      </c>
      <c r="K323" s="1049">
        <v>5000</v>
      </c>
      <c r="L323" s="1049">
        <v>120000</v>
      </c>
      <c r="M323" s="1053">
        <v>100</v>
      </c>
      <c r="N323" s="1048">
        <v>30</v>
      </c>
      <c r="O323" s="1053">
        <v>0</v>
      </c>
      <c r="P323" s="1050">
        <v>8.56</v>
      </c>
      <c r="Q323" s="416"/>
    </row>
    <row r="324" spans="2:17" x14ac:dyDescent="0.25">
      <c r="B324" s="415">
        <v>323</v>
      </c>
      <c r="C324" s="595" t="s">
        <v>927</v>
      </c>
      <c r="D324" s="421" t="s">
        <v>214</v>
      </c>
      <c r="E324" s="421" t="s">
        <v>9</v>
      </c>
      <c r="F324" s="421" t="s">
        <v>11</v>
      </c>
      <c r="G324" s="421" t="s">
        <v>24</v>
      </c>
      <c r="H324" s="421" t="s">
        <v>22</v>
      </c>
      <c r="I324" s="1067" t="s">
        <v>173</v>
      </c>
      <c r="J324" s="414" t="str">
        <f t="shared" si="5"/>
        <v>ACambio de DeudorLey PreferencialResidencialUsadaCasaFERIA000000005000.00</v>
      </c>
      <c r="K324" s="1049">
        <v>5000</v>
      </c>
      <c r="L324" s="1049">
        <v>120000</v>
      </c>
      <c r="M324" s="1053">
        <v>100</v>
      </c>
      <c r="N324" s="1048">
        <v>30</v>
      </c>
      <c r="O324" s="1053">
        <v>0</v>
      </c>
      <c r="P324" s="1053">
        <v>4.28</v>
      </c>
      <c r="Q324" s="416"/>
    </row>
    <row r="325" spans="2:17" x14ac:dyDescent="0.25">
      <c r="B325" s="415">
        <v>324</v>
      </c>
      <c r="C325" s="595" t="s">
        <v>927</v>
      </c>
      <c r="D325" s="421" t="s">
        <v>28</v>
      </c>
      <c r="E325" s="421" t="s">
        <v>17</v>
      </c>
      <c r="F325" s="421" t="s">
        <v>11</v>
      </c>
      <c r="G325" s="421" t="s">
        <v>24</v>
      </c>
      <c r="H325" s="421" t="s">
        <v>25</v>
      </c>
      <c r="I325" s="1067" t="s">
        <v>567</v>
      </c>
      <c r="J325" s="414" t="str">
        <f t="shared" si="5"/>
        <v>ACambio de Dueño y DeudorIndividualResidencialUsadaApartamentoBG000000005000.00</v>
      </c>
      <c r="K325" s="1049">
        <v>5000</v>
      </c>
      <c r="L325" s="1049">
        <v>50000000</v>
      </c>
      <c r="M325" s="1053">
        <v>100</v>
      </c>
      <c r="N325" s="1048">
        <v>30</v>
      </c>
      <c r="O325" s="1053">
        <v>0</v>
      </c>
      <c r="P325" s="1050">
        <v>8.56</v>
      </c>
      <c r="Q325" s="416"/>
    </row>
    <row r="326" spans="2:17" x14ac:dyDescent="0.25">
      <c r="B326" s="415">
        <v>325</v>
      </c>
      <c r="C326" s="595" t="s">
        <v>927</v>
      </c>
      <c r="D326" s="421" t="s">
        <v>28</v>
      </c>
      <c r="E326" s="421" t="s">
        <v>17</v>
      </c>
      <c r="F326" s="421" t="s">
        <v>11</v>
      </c>
      <c r="G326" s="421" t="s">
        <v>24</v>
      </c>
      <c r="H326" s="421" t="s">
        <v>25</v>
      </c>
      <c r="I326" s="1067" t="s">
        <v>913</v>
      </c>
      <c r="J326" s="414" t="str">
        <f t="shared" si="5"/>
        <v>ACambio de Dueño y DeudorIndividualResidencialUsadaApartamentoCOPA000000005000.00</v>
      </c>
      <c r="K326" s="1049">
        <v>5000</v>
      </c>
      <c r="L326" s="1049">
        <v>50000000</v>
      </c>
      <c r="M326" s="1053">
        <v>100</v>
      </c>
      <c r="N326" s="1048">
        <v>30</v>
      </c>
      <c r="O326" s="1053">
        <v>0</v>
      </c>
      <c r="P326" s="1050">
        <v>8.56</v>
      </c>
      <c r="Q326" s="416"/>
    </row>
    <row r="327" spans="2:17" x14ac:dyDescent="0.25">
      <c r="B327" s="412">
        <v>326</v>
      </c>
      <c r="C327" s="595" t="s">
        <v>927</v>
      </c>
      <c r="D327" s="421" t="s">
        <v>28</v>
      </c>
      <c r="E327" s="421" t="s">
        <v>17</v>
      </c>
      <c r="F327" s="421" t="s">
        <v>11</v>
      </c>
      <c r="G327" s="421" t="s">
        <v>24</v>
      </c>
      <c r="H327" s="421" t="s">
        <v>25</v>
      </c>
      <c r="I327" s="1067" t="s">
        <v>173</v>
      </c>
      <c r="J327" s="414" t="str">
        <f t="shared" si="5"/>
        <v>ACambio de Dueño y DeudorIndividualResidencialUsadaApartamentoFERIA000000005000.00</v>
      </c>
      <c r="K327" s="1049">
        <v>5000</v>
      </c>
      <c r="L327" s="1049">
        <v>50000000</v>
      </c>
      <c r="M327" s="1053">
        <v>100</v>
      </c>
      <c r="N327" s="1048">
        <v>30</v>
      </c>
      <c r="O327" s="1053">
        <v>0</v>
      </c>
      <c r="P327" s="1053">
        <v>0</v>
      </c>
      <c r="Q327" s="416"/>
    </row>
    <row r="328" spans="2:17" x14ac:dyDescent="0.25">
      <c r="B328" s="415">
        <v>327</v>
      </c>
      <c r="C328" s="595" t="s">
        <v>927</v>
      </c>
      <c r="D328" s="421" t="s">
        <v>28</v>
      </c>
      <c r="E328" s="421" t="s">
        <v>17</v>
      </c>
      <c r="F328" s="421" t="s">
        <v>11</v>
      </c>
      <c r="G328" s="421" t="s">
        <v>24</v>
      </c>
      <c r="H328" s="421" t="s">
        <v>22</v>
      </c>
      <c r="I328" s="1067" t="s">
        <v>567</v>
      </c>
      <c r="J328" s="414" t="str">
        <f t="shared" si="5"/>
        <v>ACambio de Dueño y DeudorIndividualResidencialUsadaCasaBG000000005000.00</v>
      </c>
      <c r="K328" s="1049">
        <v>5000</v>
      </c>
      <c r="L328" s="1049">
        <v>50000000</v>
      </c>
      <c r="M328" s="1053">
        <v>100</v>
      </c>
      <c r="N328" s="1048">
        <v>30</v>
      </c>
      <c r="O328" s="1053">
        <v>0</v>
      </c>
      <c r="P328" s="1050">
        <v>8.56</v>
      </c>
      <c r="Q328" s="416"/>
    </row>
    <row r="329" spans="2:17" x14ac:dyDescent="0.25">
      <c r="B329" s="415">
        <v>328</v>
      </c>
      <c r="C329" s="595" t="s">
        <v>927</v>
      </c>
      <c r="D329" s="421" t="s">
        <v>28</v>
      </c>
      <c r="E329" s="421" t="s">
        <v>17</v>
      </c>
      <c r="F329" s="421" t="s">
        <v>11</v>
      </c>
      <c r="G329" s="421" t="s">
        <v>24</v>
      </c>
      <c r="H329" s="421" t="s">
        <v>22</v>
      </c>
      <c r="I329" s="1067" t="s">
        <v>913</v>
      </c>
      <c r="J329" s="414" t="str">
        <f t="shared" si="5"/>
        <v>ACambio de Dueño y DeudorIndividualResidencialUsadaCasaCOPA000000005000.00</v>
      </c>
      <c r="K329" s="1049">
        <v>5000</v>
      </c>
      <c r="L329" s="1049">
        <v>50000000</v>
      </c>
      <c r="M329" s="1053">
        <v>100</v>
      </c>
      <c r="N329" s="1048">
        <v>30</v>
      </c>
      <c r="O329" s="1053">
        <v>0</v>
      </c>
      <c r="P329" s="1050">
        <v>8.56</v>
      </c>
      <c r="Q329" s="416"/>
    </row>
    <row r="330" spans="2:17" x14ac:dyDescent="0.25">
      <c r="B330" s="415">
        <v>329</v>
      </c>
      <c r="C330" s="595" t="s">
        <v>927</v>
      </c>
      <c r="D330" s="421" t="s">
        <v>28</v>
      </c>
      <c r="E330" s="421" t="s">
        <v>17</v>
      </c>
      <c r="F330" s="421" t="s">
        <v>11</v>
      </c>
      <c r="G330" s="421" t="s">
        <v>24</v>
      </c>
      <c r="H330" s="421" t="s">
        <v>22</v>
      </c>
      <c r="I330" s="1067" t="s">
        <v>173</v>
      </c>
      <c r="J330" s="414" t="str">
        <f t="shared" si="5"/>
        <v>ACambio de Dueño y DeudorIndividualResidencialUsadaCasaFERIA000000005000.00</v>
      </c>
      <c r="K330" s="1049">
        <v>5000</v>
      </c>
      <c r="L330" s="1049">
        <v>50000000</v>
      </c>
      <c r="M330" s="1053">
        <v>100</v>
      </c>
      <c r="N330" s="1048">
        <v>30</v>
      </c>
      <c r="O330" s="1053">
        <v>0</v>
      </c>
      <c r="P330" s="1053">
        <v>0</v>
      </c>
      <c r="Q330" s="416"/>
    </row>
    <row r="331" spans="2:17" x14ac:dyDescent="0.25">
      <c r="B331" s="415">
        <v>330</v>
      </c>
      <c r="C331" s="595" t="s">
        <v>927</v>
      </c>
      <c r="D331" s="421" t="s">
        <v>28</v>
      </c>
      <c r="E331" s="421" t="s">
        <v>9</v>
      </c>
      <c r="F331" s="421" t="s">
        <v>11</v>
      </c>
      <c r="G331" s="421" t="s">
        <v>24</v>
      </c>
      <c r="H331" s="421" t="s">
        <v>25</v>
      </c>
      <c r="I331" s="1067" t="s">
        <v>567</v>
      </c>
      <c r="J331" s="414" t="str">
        <f t="shared" si="5"/>
        <v>ACambio de Dueño y DeudorLey PreferencialResidencialUsadaApartamentoBG000000005000.00</v>
      </c>
      <c r="K331" s="1049">
        <v>5000</v>
      </c>
      <c r="L331" s="1049">
        <v>120000</v>
      </c>
      <c r="M331" s="1053">
        <v>100</v>
      </c>
      <c r="N331" s="1048">
        <v>30</v>
      </c>
      <c r="O331" s="1053">
        <v>0</v>
      </c>
      <c r="P331" s="1050">
        <v>8.56</v>
      </c>
      <c r="Q331" s="416"/>
    </row>
    <row r="332" spans="2:17" x14ac:dyDescent="0.25">
      <c r="B332" s="412">
        <v>331</v>
      </c>
      <c r="C332" s="595" t="s">
        <v>927</v>
      </c>
      <c r="D332" s="421" t="s">
        <v>28</v>
      </c>
      <c r="E332" s="421" t="s">
        <v>9</v>
      </c>
      <c r="F332" s="421" t="s">
        <v>11</v>
      </c>
      <c r="G332" s="421" t="s">
        <v>24</v>
      </c>
      <c r="H332" s="421" t="s">
        <v>25</v>
      </c>
      <c r="I332" s="1067" t="s">
        <v>913</v>
      </c>
      <c r="J332" s="414" t="str">
        <f t="shared" si="5"/>
        <v>ACambio de Dueño y DeudorLey PreferencialResidencialUsadaApartamentoCOPA000000005000.00</v>
      </c>
      <c r="K332" s="1049">
        <v>5000</v>
      </c>
      <c r="L332" s="1049">
        <v>120000</v>
      </c>
      <c r="M332" s="1053">
        <v>100</v>
      </c>
      <c r="N332" s="1048">
        <v>30</v>
      </c>
      <c r="O332" s="1053">
        <v>0</v>
      </c>
      <c r="P332" s="1050">
        <v>8.56</v>
      </c>
      <c r="Q332" s="416"/>
    </row>
    <row r="333" spans="2:17" x14ac:dyDescent="0.25">
      <c r="B333" s="415">
        <v>332</v>
      </c>
      <c r="C333" s="595" t="s">
        <v>927</v>
      </c>
      <c r="D333" s="421" t="s">
        <v>28</v>
      </c>
      <c r="E333" s="421" t="s">
        <v>9</v>
      </c>
      <c r="F333" s="421" t="s">
        <v>11</v>
      </c>
      <c r="G333" s="421" t="s">
        <v>24</v>
      </c>
      <c r="H333" s="421" t="s">
        <v>25</v>
      </c>
      <c r="I333" s="1067" t="s">
        <v>173</v>
      </c>
      <c r="J333" s="414" t="str">
        <f t="shared" si="5"/>
        <v>ACambio de Dueño y DeudorLey PreferencialResidencialUsadaApartamentoFERIA000000005000.00</v>
      </c>
      <c r="K333" s="1049">
        <v>5000</v>
      </c>
      <c r="L333" s="1049">
        <v>120000</v>
      </c>
      <c r="M333" s="1053">
        <v>100</v>
      </c>
      <c r="N333" s="1048">
        <v>30</v>
      </c>
      <c r="O333" s="1053">
        <v>0</v>
      </c>
      <c r="P333" s="1053">
        <v>4.28</v>
      </c>
      <c r="Q333" s="416"/>
    </row>
    <row r="334" spans="2:17" x14ac:dyDescent="0.25">
      <c r="B334" s="415">
        <v>333</v>
      </c>
      <c r="C334" s="595" t="s">
        <v>927</v>
      </c>
      <c r="D334" s="421" t="s">
        <v>28</v>
      </c>
      <c r="E334" s="421" t="s">
        <v>9</v>
      </c>
      <c r="F334" s="421" t="s">
        <v>11</v>
      </c>
      <c r="G334" s="421" t="s">
        <v>24</v>
      </c>
      <c r="H334" s="421" t="s">
        <v>22</v>
      </c>
      <c r="I334" s="1067" t="s">
        <v>567</v>
      </c>
      <c r="J334" s="414" t="str">
        <f t="shared" si="5"/>
        <v>ACambio de Dueño y DeudorLey PreferencialResidencialUsadaCasaBG000000005000.00</v>
      </c>
      <c r="K334" s="1049">
        <v>5000</v>
      </c>
      <c r="L334" s="1049">
        <v>120000</v>
      </c>
      <c r="M334" s="1053">
        <v>100</v>
      </c>
      <c r="N334" s="1048">
        <v>30</v>
      </c>
      <c r="O334" s="1053">
        <v>0</v>
      </c>
      <c r="P334" s="1050">
        <v>8.56</v>
      </c>
      <c r="Q334" s="416"/>
    </row>
    <row r="335" spans="2:17" x14ac:dyDescent="0.25">
      <c r="B335" s="415">
        <v>334</v>
      </c>
      <c r="C335" s="595" t="s">
        <v>927</v>
      </c>
      <c r="D335" s="421" t="s">
        <v>28</v>
      </c>
      <c r="E335" s="421" t="s">
        <v>9</v>
      </c>
      <c r="F335" s="421" t="s">
        <v>11</v>
      </c>
      <c r="G335" s="421" t="s">
        <v>24</v>
      </c>
      <c r="H335" s="421" t="s">
        <v>22</v>
      </c>
      <c r="I335" s="1067" t="s">
        <v>913</v>
      </c>
      <c r="J335" s="414" t="str">
        <f t="shared" si="5"/>
        <v>ACambio de Dueño y DeudorLey PreferencialResidencialUsadaCasaCOPA000000005000.00</v>
      </c>
      <c r="K335" s="1049">
        <v>5000</v>
      </c>
      <c r="L335" s="1049">
        <v>120000</v>
      </c>
      <c r="M335" s="1053">
        <v>100</v>
      </c>
      <c r="N335" s="1048">
        <v>30</v>
      </c>
      <c r="O335" s="1053">
        <v>0</v>
      </c>
      <c r="P335" s="1050">
        <v>8.56</v>
      </c>
      <c r="Q335" s="416"/>
    </row>
    <row r="336" spans="2:17" x14ac:dyDescent="0.25">
      <c r="B336" s="415">
        <v>335</v>
      </c>
      <c r="C336" s="595" t="s">
        <v>927</v>
      </c>
      <c r="D336" s="421" t="s">
        <v>28</v>
      </c>
      <c r="E336" s="421" t="s">
        <v>9</v>
      </c>
      <c r="F336" s="421" t="s">
        <v>11</v>
      </c>
      <c r="G336" s="421" t="s">
        <v>24</v>
      </c>
      <c r="H336" s="421" t="s">
        <v>22</v>
      </c>
      <c r="I336" s="1067" t="s">
        <v>173</v>
      </c>
      <c r="J336" s="414" t="str">
        <f t="shared" si="5"/>
        <v>ACambio de Dueño y DeudorLey PreferencialResidencialUsadaCasaFERIA000000005000.00</v>
      </c>
      <c r="K336" s="1049">
        <v>5000</v>
      </c>
      <c r="L336" s="1049">
        <v>120000</v>
      </c>
      <c r="M336" s="1053">
        <v>100</v>
      </c>
      <c r="N336" s="1048">
        <v>30</v>
      </c>
      <c r="O336" s="1053">
        <v>0</v>
      </c>
      <c r="P336" s="1053">
        <v>4.28</v>
      </c>
      <c r="Q336" s="416"/>
    </row>
    <row r="337" spans="2:17" x14ac:dyDescent="0.25">
      <c r="B337" s="412">
        <v>336</v>
      </c>
      <c r="C337" s="595" t="s">
        <v>927</v>
      </c>
      <c r="D337" s="421" t="s">
        <v>30</v>
      </c>
      <c r="E337" s="421" t="s">
        <v>17</v>
      </c>
      <c r="F337" s="421" t="s">
        <v>11</v>
      </c>
      <c r="G337" s="421" t="s">
        <v>24</v>
      </c>
      <c r="H337" s="421" t="s">
        <v>25</v>
      </c>
      <c r="I337" s="1067" t="s">
        <v>567</v>
      </c>
      <c r="J337" s="414" t="str">
        <f t="shared" si="5"/>
        <v>ACambio de DueñoIndividualResidencialUsadaApartamentoBG000000005000.00</v>
      </c>
      <c r="K337" s="1049">
        <v>5000</v>
      </c>
      <c r="L337" s="1049">
        <v>50000000</v>
      </c>
      <c r="M337" s="1053">
        <v>100</v>
      </c>
      <c r="N337" s="1048">
        <v>30</v>
      </c>
      <c r="O337" s="1053">
        <v>0</v>
      </c>
      <c r="P337" s="1050">
        <v>8.56</v>
      </c>
      <c r="Q337" s="416"/>
    </row>
    <row r="338" spans="2:17" x14ac:dyDescent="0.25">
      <c r="B338" s="415">
        <v>337</v>
      </c>
      <c r="C338" s="595" t="s">
        <v>927</v>
      </c>
      <c r="D338" s="421" t="s">
        <v>30</v>
      </c>
      <c r="E338" s="421" t="s">
        <v>17</v>
      </c>
      <c r="F338" s="421" t="s">
        <v>11</v>
      </c>
      <c r="G338" s="421" t="s">
        <v>24</v>
      </c>
      <c r="H338" s="421" t="s">
        <v>25</v>
      </c>
      <c r="I338" s="1067" t="s">
        <v>913</v>
      </c>
      <c r="J338" s="414" t="str">
        <f t="shared" si="5"/>
        <v>ACambio de DueñoIndividualResidencialUsadaApartamentoCOPA000000005000.00</v>
      </c>
      <c r="K338" s="1049">
        <v>5000</v>
      </c>
      <c r="L338" s="1049">
        <v>50000000</v>
      </c>
      <c r="M338" s="1053">
        <v>100</v>
      </c>
      <c r="N338" s="1048">
        <v>30</v>
      </c>
      <c r="O338" s="1053">
        <v>0</v>
      </c>
      <c r="P338" s="1050">
        <v>8.56</v>
      </c>
      <c r="Q338" s="416"/>
    </row>
    <row r="339" spans="2:17" x14ac:dyDescent="0.25">
      <c r="B339" s="415">
        <v>338</v>
      </c>
      <c r="C339" s="595" t="s">
        <v>927</v>
      </c>
      <c r="D339" s="421" t="s">
        <v>30</v>
      </c>
      <c r="E339" s="421" t="s">
        <v>17</v>
      </c>
      <c r="F339" s="421" t="s">
        <v>11</v>
      </c>
      <c r="G339" s="421" t="s">
        <v>24</v>
      </c>
      <c r="H339" s="421" t="s">
        <v>25</v>
      </c>
      <c r="I339" s="1067" t="s">
        <v>173</v>
      </c>
      <c r="J339" s="414" t="str">
        <f t="shared" si="5"/>
        <v>ACambio de DueñoIndividualResidencialUsadaApartamentoFERIA000000005000.00</v>
      </c>
      <c r="K339" s="1049">
        <v>5000</v>
      </c>
      <c r="L339" s="1049">
        <v>50000000</v>
      </c>
      <c r="M339" s="1053">
        <v>100</v>
      </c>
      <c r="N339" s="1048">
        <v>30</v>
      </c>
      <c r="O339" s="1053">
        <v>0</v>
      </c>
      <c r="P339" s="1053">
        <v>0</v>
      </c>
      <c r="Q339" s="416"/>
    </row>
    <row r="340" spans="2:17" x14ac:dyDescent="0.25">
      <c r="B340" s="415">
        <v>339</v>
      </c>
      <c r="C340" s="595" t="s">
        <v>927</v>
      </c>
      <c r="D340" s="421" t="s">
        <v>30</v>
      </c>
      <c r="E340" s="421" t="s">
        <v>17</v>
      </c>
      <c r="F340" s="421" t="s">
        <v>11</v>
      </c>
      <c r="G340" s="421" t="s">
        <v>24</v>
      </c>
      <c r="H340" s="421" t="s">
        <v>22</v>
      </c>
      <c r="I340" s="1067" t="s">
        <v>567</v>
      </c>
      <c r="J340" s="414" t="str">
        <f t="shared" si="5"/>
        <v>ACambio de DueñoIndividualResidencialUsadaCasaBG000000005000.00</v>
      </c>
      <c r="K340" s="1049">
        <v>5000</v>
      </c>
      <c r="L340" s="1049">
        <v>50000000</v>
      </c>
      <c r="M340" s="1053">
        <v>100</v>
      </c>
      <c r="N340" s="1048">
        <v>30</v>
      </c>
      <c r="O340" s="1053">
        <v>0</v>
      </c>
      <c r="P340" s="1050">
        <v>8.56</v>
      </c>
      <c r="Q340" s="416"/>
    </row>
    <row r="341" spans="2:17" x14ac:dyDescent="0.25">
      <c r="B341" s="415">
        <v>340</v>
      </c>
      <c r="C341" s="595" t="s">
        <v>927</v>
      </c>
      <c r="D341" s="421" t="s">
        <v>30</v>
      </c>
      <c r="E341" s="421" t="s">
        <v>17</v>
      </c>
      <c r="F341" s="421" t="s">
        <v>11</v>
      </c>
      <c r="G341" s="421" t="s">
        <v>24</v>
      </c>
      <c r="H341" s="421" t="s">
        <v>22</v>
      </c>
      <c r="I341" s="1067" t="s">
        <v>913</v>
      </c>
      <c r="J341" s="414" t="str">
        <f t="shared" si="5"/>
        <v>ACambio de DueñoIndividualResidencialUsadaCasaCOPA000000005000.00</v>
      </c>
      <c r="K341" s="1049">
        <v>5000</v>
      </c>
      <c r="L341" s="1049">
        <v>50000000</v>
      </c>
      <c r="M341" s="1053">
        <v>100</v>
      </c>
      <c r="N341" s="1048">
        <v>30</v>
      </c>
      <c r="O341" s="1053">
        <v>0</v>
      </c>
      <c r="P341" s="1050">
        <v>8.56</v>
      </c>
      <c r="Q341" s="416"/>
    </row>
    <row r="342" spans="2:17" x14ac:dyDescent="0.25">
      <c r="B342" s="412">
        <v>341</v>
      </c>
      <c r="C342" s="595" t="s">
        <v>927</v>
      </c>
      <c r="D342" s="421" t="s">
        <v>30</v>
      </c>
      <c r="E342" s="421" t="s">
        <v>17</v>
      </c>
      <c r="F342" s="421" t="s">
        <v>11</v>
      </c>
      <c r="G342" s="421" t="s">
        <v>24</v>
      </c>
      <c r="H342" s="421" t="s">
        <v>22</v>
      </c>
      <c r="I342" s="1067" t="s">
        <v>173</v>
      </c>
      <c r="J342" s="414" t="str">
        <f t="shared" si="5"/>
        <v>ACambio de DueñoIndividualResidencialUsadaCasaFERIA000000005000.00</v>
      </c>
      <c r="K342" s="1049">
        <v>5000</v>
      </c>
      <c r="L342" s="1049">
        <v>50000000</v>
      </c>
      <c r="M342" s="1053">
        <v>100</v>
      </c>
      <c r="N342" s="1048">
        <v>30</v>
      </c>
      <c r="O342" s="1053">
        <v>0</v>
      </c>
      <c r="P342" s="1053">
        <v>0</v>
      </c>
      <c r="Q342" s="416"/>
    </row>
    <row r="343" spans="2:17" x14ac:dyDescent="0.25">
      <c r="B343" s="415">
        <v>342</v>
      </c>
      <c r="C343" s="595" t="s">
        <v>927</v>
      </c>
      <c r="D343" s="421" t="s">
        <v>30</v>
      </c>
      <c r="E343" s="421" t="s">
        <v>9</v>
      </c>
      <c r="F343" s="421" t="s">
        <v>11</v>
      </c>
      <c r="G343" s="421" t="s">
        <v>24</v>
      </c>
      <c r="H343" s="421" t="s">
        <v>25</v>
      </c>
      <c r="I343" s="1067" t="s">
        <v>567</v>
      </c>
      <c r="J343" s="414" t="str">
        <f t="shared" si="5"/>
        <v>ACambio de DueñoLey PreferencialResidencialUsadaApartamentoBG000000005000.00</v>
      </c>
      <c r="K343" s="1049">
        <v>5000</v>
      </c>
      <c r="L343" s="1049">
        <v>120000</v>
      </c>
      <c r="M343" s="1053">
        <v>100</v>
      </c>
      <c r="N343" s="1048">
        <v>30</v>
      </c>
      <c r="O343" s="1053">
        <v>0</v>
      </c>
      <c r="P343" s="1050">
        <v>8.56</v>
      </c>
      <c r="Q343" s="416"/>
    </row>
    <row r="344" spans="2:17" x14ac:dyDescent="0.25">
      <c r="B344" s="415">
        <v>343</v>
      </c>
      <c r="C344" s="595" t="s">
        <v>927</v>
      </c>
      <c r="D344" s="421" t="s">
        <v>30</v>
      </c>
      <c r="E344" s="421" t="s">
        <v>9</v>
      </c>
      <c r="F344" s="421" t="s">
        <v>11</v>
      </c>
      <c r="G344" s="421" t="s">
        <v>24</v>
      </c>
      <c r="H344" s="421" t="s">
        <v>25</v>
      </c>
      <c r="I344" s="1067" t="s">
        <v>913</v>
      </c>
      <c r="J344" s="414" t="str">
        <f t="shared" si="5"/>
        <v>ACambio de DueñoLey PreferencialResidencialUsadaApartamentoCOPA000000005000.00</v>
      </c>
      <c r="K344" s="1049">
        <v>5000</v>
      </c>
      <c r="L344" s="1049">
        <v>120000</v>
      </c>
      <c r="M344" s="1053">
        <v>100</v>
      </c>
      <c r="N344" s="1048">
        <v>30</v>
      </c>
      <c r="O344" s="1053">
        <v>0</v>
      </c>
      <c r="P344" s="1050">
        <v>8.56</v>
      </c>
      <c r="Q344" s="416"/>
    </row>
    <row r="345" spans="2:17" x14ac:dyDescent="0.25">
      <c r="B345" s="415">
        <v>344</v>
      </c>
      <c r="C345" s="595" t="s">
        <v>927</v>
      </c>
      <c r="D345" s="421" t="s">
        <v>30</v>
      </c>
      <c r="E345" s="421" t="s">
        <v>9</v>
      </c>
      <c r="F345" s="421" t="s">
        <v>11</v>
      </c>
      <c r="G345" s="421" t="s">
        <v>24</v>
      </c>
      <c r="H345" s="421" t="s">
        <v>25</v>
      </c>
      <c r="I345" s="1067" t="s">
        <v>173</v>
      </c>
      <c r="J345" s="414" t="str">
        <f t="shared" si="5"/>
        <v>ACambio de DueñoLey PreferencialResidencialUsadaApartamentoFERIA000000005000.00</v>
      </c>
      <c r="K345" s="1049">
        <v>5000</v>
      </c>
      <c r="L345" s="1049">
        <v>120000</v>
      </c>
      <c r="M345" s="1053">
        <v>100</v>
      </c>
      <c r="N345" s="1048">
        <v>30</v>
      </c>
      <c r="O345" s="1053">
        <v>0</v>
      </c>
      <c r="P345" s="1053">
        <v>4.28</v>
      </c>
      <c r="Q345" s="416"/>
    </row>
    <row r="346" spans="2:17" x14ac:dyDescent="0.25">
      <c r="B346" s="415">
        <v>345</v>
      </c>
      <c r="C346" s="595" t="s">
        <v>927</v>
      </c>
      <c r="D346" s="421" t="s">
        <v>30</v>
      </c>
      <c r="E346" s="421" t="s">
        <v>9</v>
      </c>
      <c r="F346" s="421" t="s">
        <v>11</v>
      </c>
      <c r="G346" s="421" t="s">
        <v>24</v>
      </c>
      <c r="H346" s="421" t="s">
        <v>22</v>
      </c>
      <c r="I346" s="1067" t="s">
        <v>567</v>
      </c>
      <c r="J346" s="414" t="str">
        <f t="shared" si="5"/>
        <v>ACambio de DueñoLey PreferencialResidencialUsadaCasaBG000000005000.00</v>
      </c>
      <c r="K346" s="1049">
        <v>5000</v>
      </c>
      <c r="L346" s="1049">
        <v>120000</v>
      </c>
      <c r="M346" s="1053">
        <v>100</v>
      </c>
      <c r="N346" s="1048">
        <v>30</v>
      </c>
      <c r="O346" s="1053">
        <v>0</v>
      </c>
      <c r="P346" s="1050">
        <v>8.56</v>
      </c>
      <c r="Q346" s="416"/>
    </row>
    <row r="347" spans="2:17" x14ac:dyDescent="0.25">
      <c r="B347" s="412">
        <v>346</v>
      </c>
      <c r="C347" s="595" t="s">
        <v>927</v>
      </c>
      <c r="D347" s="421" t="s">
        <v>30</v>
      </c>
      <c r="E347" s="421" t="s">
        <v>9</v>
      </c>
      <c r="F347" s="421" t="s">
        <v>11</v>
      </c>
      <c r="G347" s="421" t="s">
        <v>24</v>
      </c>
      <c r="H347" s="421" t="s">
        <v>22</v>
      </c>
      <c r="I347" s="1067" t="s">
        <v>913</v>
      </c>
      <c r="J347" s="414" t="str">
        <f t="shared" si="5"/>
        <v>ACambio de DueñoLey PreferencialResidencialUsadaCasaCOPA000000005000.00</v>
      </c>
      <c r="K347" s="1049">
        <v>5000</v>
      </c>
      <c r="L347" s="1049">
        <v>120000</v>
      </c>
      <c r="M347" s="1053">
        <v>100</v>
      </c>
      <c r="N347" s="1048">
        <v>30</v>
      </c>
      <c r="O347" s="1053">
        <v>0</v>
      </c>
      <c r="P347" s="1050">
        <v>8.56</v>
      </c>
      <c r="Q347" s="416"/>
    </row>
    <row r="348" spans="2:17" x14ac:dyDescent="0.25">
      <c r="B348" s="415">
        <v>347</v>
      </c>
      <c r="C348" s="595" t="s">
        <v>927</v>
      </c>
      <c r="D348" s="421" t="s">
        <v>30</v>
      </c>
      <c r="E348" s="421" t="s">
        <v>9</v>
      </c>
      <c r="F348" s="421" t="s">
        <v>11</v>
      </c>
      <c r="G348" s="421" t="s">
        <v>24</v>
      </c>
      <c r="H348" s="421" t="s">
        <v>22</v>
      </c>
      <c r="I348" s="1067" t="s">
        <v>173</v>
      </c>
      <c r="J348" s="414" t="str">
        <f t="shared" si="5"/>
        <v>ACambio de DueñoLey PreferencialResidencialUsadaCasaFERIA000000005000.00</v>
      </c>
      <c r="K348" s="1049">
        <v>5000</v>
      </c>
      <c r="L348" s="1049">
        <v>120000</v>
      </c>
      <c r="M348" s="1053">
        <v>100</v>
      </c>
      <c r="N348" s="1048">
        <v>30</v>
      </c>
      <c r="O348" s="1053">
        <v>0</v>
      </c>
      <c r="P348" s="1053">
        <v>4.28</v>
      </c>
      <c r="Q348" s="416"/>
    </row>
    <row r="349" spans="2:17" x14ac:dyDescent="0.25">
      <c r="B349" s="415">
        <v>348</v>
      </c>
      <c r="C349" s="595" t="s">
        <v>927</v>
      </c>
      <c r="D349" s="421" t="s">
        <v>31</v>
      </c>
      <c r="E349" s="421" t="s">
        <v>17</v>
      </c>
      <c r="F349" s="421" t="s">
        <v>11</v>
      </c>
      <c r="G349" s="421" t="s">
        <v>24</v>
      </c>
      <c r="H349" s="421" t="s">
        <v>25</v>
      </c>
      <c r="I349" s="1067" t="s">
        <v>567</v>
      </c>
      <c r="J349" s="414" t="str">
        <f t="shared" si="5"/>
        <v>ACambio de Fiador SolidarioIndividualResidencialUsadaApartamentoBG000000005000.00</v>
      </c>
      <c r="K349" s="1049">
        <v>5000</v>
      </c>
      <c r="L349" s="1049">
        <v>50000000</v>
      </c>
      <c r="M349" s="1053">
        <v>100</v>
      </c>
      <c r="N349" s="1048">
        <v>30</v>
      </c>
      <c r="O349" s="1053">
        <v>0</v>
      </c>
      <c r="P349" s="1050">
        <v>8.56</v>
      </c>
      <c r="Q349" s="416"/>
    </row>
    <row r="350" spans="2:17" x14ac:dyDescent="0.25">
      <c r="B350" s="415">
        <v>349</v>
      </c>
      <c r="C350" s="595" t="s">
        <v>927</v>
      </c>
      <c r="D350" s="421" t="s">
        <v>31</v>
      </c>
      <c r="E350" s="421" t="s">
        <v>17</v>
      </c>
      <c r="F350" s="421" t="s">
        <v>11</v>
      </c>
      <c r="G350" s="421" t="s">
        <v>24</v>
      </c>
      <c r="H350" s="421" t="s">
        <v>25</v>
      </c>
      <c r="I350" s="1067" t="s">
        <v>913</v>
      </c>
      <c r="J350" s="414" t="str">
        <f t="shared" si="5"/>
        <v>ACambio de Fiador SolidarioIndividualResidencialUsadaApartamentoCOPA000000005000.00</v>
      </c>
      <c r="K350" s="1049">
        <v>5000</v>
      </c>
      <c r="L350" s="1049">
        <v>50000000</v>
      </c>
      <c r="M350" s="1053">
        <v>100</v>
      </c>
      <c r="N350" s="1048">
        <v>30</v>
      </c>
      <c r="O350" s="1053">
        <v>0</v>
      </c>
      <c r="P350" s="1050">
        <v>8.56</v>
      </c>
      <c r="Q350" s="416"/>
    </row>
    <row r="351" spans="2:17" x14ac:dyDescent="0.25">
      <c r="B351" s="415">
        <v>350</v>
      </c>
      <c r="C351" s="595" t="s">
        <v>927</v>
      </c>
      <c r="D351" s="421" t="s">
        <v>31</v>
      </c>
      <c r="E351" s="421" t="s">
        <v>17</v>
      </c>
      <c r="F351" s="421" t="s">
        <v>11</v>
      </c>
      <c r="G351" s="421" t="s">
        <v>24</v>
      </c>
      <c r="H351" s="421" t="s">
        <v>25</v>
      </c>
      <c r="I351" s="1067" t="s">
        <v>173</v>
      </c>
      <c r="J351" s="414" t="str">
        <f t="shared" si="5"/>
        <v>ACambio de Fiador SolidarioIndividualResidencialUsadaApartamentoFERIA000000005000.00</v>
      </c>
      <c r="K351" s="1049">
        <v>5000</v>
      </c>
      <c r="L351" s="1049">
        <v>50000000</v>
      </c>
      <c r="M351" s="1053">
        <v>100</v>
      </c>
      <c r="N351" s="1048">
        <v>30</v>
      </c>
      <c r="O351" s="1053">
        <v>0</v>
      </c>
      <c r="P351" s="1053">
        <v>0</v>
      </c>
      <c r="Q351" s="416"/>
    </row>
    <row r="352" spans="2:17" x14ac:dyDescent="0.25">
      <c r="B352" s="412">
        <v>351</v>
      </c>
      <c r="C352" s="595" t="s">
        <v>927</v>
      </c>
      <c r="D352" s="421" t="s">
        <v>31</v>
      </c>
      <c r="E352" s="421" t="s">
        <v>17</v>
      </c>
      <c r="F352" s="421" t="s">
        <v>11</v>
      </c>
      <c r="G352" s="421" t="s">
        <v>24</v>
      </c>
      <c r="H352" s="421" t="s">
        <v>22</v>
      </c>
      <c r="I352" s="1067" t="s">
        <v>567</v>
      </c>
      <c r="J352" s="414" t="str">
        <f t="shared" si="5"/>
        <v>ACambio de Fiador SolidarioIndividualResidencialUsadaCasaBG000000005000.00</v>
      </c>
      <c r="K352" s="1049">
        <v>5000</v>
      </c>
      <c r="L352" s="1049">
        <v>50000000</v>
      </c>
      <c r="M352" s="1053">
        <v>100</v>
      </c>
      <c r="N352" s="1048">
        <v>30</v>
      </c>
      <c r="O352" s="1053">
        <v>0</v>
      </c>
      <c r="P352" s="1050">
        <v>8.56</v>
      </c>
      <c r="Q352" s="416"/>
    </row>
    <row r="353" spans="2:17" x14ac:dyDescent="0.25">
      <c r="B353" s="415">
        <v>352</v>
      </c>
      <c r="C353" s="595" t="s">
        <v>927</v>
      </c>
      <c r="D353" s="421" t="s">
        <v>31</v>
      </c>
      <c r="E353" s="421" t="s">
        <v>17</v>
      </c>
      <c r="F353" s="421" t="s">
        <v>11</v>
      </c>
      <c r="G353" s="421" t="s">
        <v>24</v>
      </c>
      <c r="H353" s="421" t="s">
        <v>22</v>
      </c>
      <c r="I353" s="1067" t="s">
        <v>913</v>
      </c>
      <c r="J353" s="414" t="str">
        <f t="shared" si="5"/>
        <v>ACambio de Fiador SolidarioIndividualResidencialUsadaCasaCOPA000000005000.00</v>
      </c>
      <c r="K353" s="1049">
        <v>5000</v>
      </c>
      <c r="L353" s="1049">
        <v>50000000</v>
      </c>
      <c r="M353" s="1053">
        <v>100</v>
      </c>
      <c r="N353" s="1048">
        <v>30</v>
      </c>
      <c r="O353" s="1053">
        <v>0</v>
      </c>
      <c r="P353" s="1050">
        <v>8.56</v>
      </c>
      <c r="Q353" s="416"/>
    </row>
    <row r="354" spans="2:17" x14ac:dyDescent="0.25">
      <c r="B354" s="415">
        <v>353</v>
      </c>
      <c r="C354" s="595" t="s">
        <v>927</v>
      </c>
      <c r="D354" s="421" t="s">
        <v>31</v>
      </c>
      <c r="E354" s="421" t="s">
        <v>17</v>
      </c>
      <c r="F354" s="421" t="s">
        <v>11</v>
      </c>
      <c r="G354" s="421" t="s">
        <v>24</v>
      </c>
      <c r="H354" s="421" t="s">
        <v>22</v>
      </c>
      <c r="I354" s="1067" t="s">
        <v>173</v>
      </c>
      <c r="J354" s="414" t="str">
        <f t="shared" si="5"/>
        <v>ACambio de Fiador SolidarioIndividualResidencialUsadaCasaFERIA000000005000.00</v>
      </c>
      <c r="K354" s="1049">
        <v>5000</v>
      </c>
      <c r="L354" s="1049">
        <v>50000000</v>
      </c>
      <c r="M354" s="1053">
        <v>100</v>
      </c>
      <c r="N354" s="1048">
        <v>30</v>
      </c>
      <c r="O354" s="1053">
        <v>0</v>
      </c>
      <c r="P354" s="1053">
        <v>0</v>
      </c>
      <c r="Q354" s="416"/>
    </row>
    <row r="355" spans="2:17" x14ac:dyDescent="0.25">
      <c r="B355" s="415">
        <v>354</v>
      </c>
      <c r="C355" s="595" t="s">
        <v>927</v>
      </c>
      <c r="D355" s="421" t="s">
        <v>31</v>
      </c>
      <c r="E355" s="421" t="s">
        <v>9</v>
      </c>
      <c r="F355" s="421" t="s">
        <v>11</v>
      </c>
      <c r="G355" s="421" t="s">
        <v>24</v>
      </c>
      <c r="H355" s="421" t="s">
        <v>25</v>
      </c>
      <c r="I355" s="1067" t="s">
        <v>567</v>
      </c>
      <c r="J355" s="414" t="str">
        <f t="shared" si="5"/>
        <v>ACambio de Fiador SolidarioLey PreferencialResidencialUsadaApartamentoBG000000005000.00</v>
      </c>
      <c r="K355" s="1049">
        <v>5000</v>
      </c>
      <c r="L355" s="1049">
        <v>120000</v>
      </c>
      <c r="M355" s="1053">
        <v>100</v>
      </c>
      <c r="N355" s="1048">
        <v>30</v>
      </c>
      <c r="O355" s="1053">
        <v>0</v>
      </c>
      <c r="P355" s="1050">
        <v>8.56</v>
      </c>
      <c r="Q355" s="416"/>
    </row>
    <row r="356" spans="2:17" x14ac:dyDescent="0.25">
      <c r="B356" s="415">
        <v>355</v>
      </c>
      <c r="C356" s="595" t="s">
        <v>927</v>
      </c>
      <c r="D356" s="421" t="s">
        <v>31</v>
      </c>
      <c r="E356" s="421" t="s">
        <v>9</v>
      </c>
      <c r="F356" s="421" t="s">
        <v>11</v>
      </c>
      <c r="G356" s="421" t="s">
        <v>24</v>
      </c>
      <c r="H356" s="421" t="s">
        <v>25</v>
      </c>
      <c r="I356" s="1067" t="s">
        <v>913</v>
      </c>
      <c r="J356" s="414" t="str">
        <f t="shared" si="5"/>
        <v>ACambio de Fiador SolidarioLey PreferencialResidencialUsadaApartamentoCOPA000000005000.00</v>
      </c>
      <c r="K356" s="1049">
        <v>5000</v>
      </c>
      <c r="L356" s="1049">
        <v>120000</v>
      </c>
      <c r="M356" s="1053">
        <v>100</v>
      </c>
      <c r="N356" s="1048">
        <v>30</v>
      </c>
      <c r="O356" s="1053">
        <v>0</v>
      </c>
      <c r="P356" s="1050">
        <v>8.56</v>
      </c>
      <c r="Q356" s="416"/>
    </row>
    <row r="357" spans="2:17" x14ac:dyDescent="0.25">
      <c r="B357" s="412">
        <v>356</v>
      </c>
      <c r="C357" s="595" t="s">
        <v>927</v>
      </c>
      <c r="D357" s="421" t="s">
        <v>31</v>
      </c>
      <c r="E357" s="421" t="s">
        <v>9</v>
      </c>
      <c r="F357" s="421" t="s">
        <v>11</v>
      </c>
      <c r="G357" s="421" t="s">
        <v>24</v>
      </c>
      <c r="H357" s="421" t="s">
        <v>25</v>
      </c>
      <c r="I357" s="1067" t="s">
        <v>173</v>
      </c>
      <c r="J357" s="414" t="str">
        <f t="shared" si="5"/>
        <v>ACambio de Fiador SolidarioLey PreferencialResidencialUsadaApartamentoFERIA000000005000.00</v>
      </c>
      <c r="K357" s="1049">
        <v>5000</v>
      </c>
      <c r="L357" s="1049">
        <v>120000</v>
      </c>
      <c r="M357" s="1053">
        <v>100</v>
      </c>
      <c r="N357" s="1048">
        <v>30</v>
      </c>
      <c r="O357" s="1053">
        <v>0</v>
      </c>
      <c r="P357" s="1053">
        <v>4.28</v>
      </c>
      <c r="Q357" s="416"/>
    </row>
    <row r="358" spans="2:17" x14ac:dyDescent="0.25">
      <c r="B358" s="415">
        <v>357</v>
      </c>
      <c r="C358" s="595" t="s">
        <v>927</v>
      </c>
      <c r="D358" s="421" t="s">
        <v>31</v>
      </c>
      <c r="E358" s="421" t="s">
        <v>9</v>
      </c>
      <c r="F358" s="421" t="s">
        <v>11</v>
      </c>
      <c r="G358" s="421" t="s">
        <v>24</v>
      </c>
      <c r="H358" s="421" t="s">
        <v>22</v>
      </c>
      <c r="I358" s="1067" t="s">
        <v>567</v>
      </c>
      <c r="J358" s="414" t="str">
        <f t="shared" si="5"/>
        <v>ACambio de Fiador SolidarioLey PreferencialResidencialUsadaCasaBG000000005000.00</v>
      </c>
      <c r="K358" s="1049">
        <v>5000</v>
      </c>
      <c r="L358" s="1049">
        <v>120000</v>
      </c>
      <c r="M358" s="1053">
        <v>100</v>
      </c>
      <c r="N358" s="1048">
        <v>30</v>
      </c>
      <c r="O358" s="1053">
        <v>0</v>
      </c>
      <c r="P358" s="1050">
        <v>8.56</v>
      </c>
      <c r="Q358" s="416"/>
    </row>
    <row r="359" spans="2:17" x14ac:dyDescent="0.25">
      <c r="B359" s="415">
        <v>358</v>
      </c>
      <c r="C359" s="595" t="s">
        <v>927</v>
      </c>
      <c r="D359" s="421" t="s">
        <v>31</v>
      </c>
      <c r="E359" s="421" t="s">
        <v>9</v>
      </c>
      <c r="F359" s="421" t="s">
        <v>11</v>
      </c>
      <c r="G359" s="421" t="s">
        <v>24</v>
      </c>
      <c r="H359" s="421" t="s">
        <v>22</v>
      </c>
      <c r="I359" s="1067" t="s">
        <v>913</v>
      </c>
      <c r="J359" s="414" t="str">
        <f t="shared" si="5"/>
        <v>ACambio de Fiador SolidarioLey PreferencialResidencialUsadaCasaCOPA000000005000.00</v>
      </c>
      <c r="K359" s="1049">
        <v>5000</v>
      </c>
      <c r="L359" s="1049">
        <v>120000</v>
      </c>
      <c r="M359" s="1053">
        <v>100</v>
      </c>
      <c r="N359" s="1048">
        <v>30</v>
      </c>
      <c r="O359" s="1053">
        <v>0</v>
      </c>
      <c r="P359" s="1050">
        <v>8.56</v>
      </c>
      <c r="Q359" s="416"/>
    </row>
    <row r="360" spans="2:17" x14ac:dyDescent="0.25">
      <c r="B360" s="415">
        <v>359</v>
      </c>
      <c r="C360" s="595" t="s">
        <v>927</v>
      </c>
      <c r="D360" s="421" t="s">
        <v>31</v>
      </c>
      <c r="E360" s="421" t="s">
        <v>9</v>
      </c>
      <c r="F360" s="421" t="s">
        <v>11</v>
      </c>
      <c r="G360" s="421" t="s">
        <v>24</v>
      </c>
      <c r="H360" s="421" t="s">
        <v>22</v>
      </c>
      <c r="I360" s="1067" t="s">
        <v>173</v>
      </c>
      <c r="J360" s="414" t="str">
        <f t="shared" si="5"/>
        <v>ACambio de Fiador SolidarioLey PreferencialResidencialUsadaCasaFERIA000000005000.00</v>
      </c>
      <c r="K360" s="1049">
        <v>5000</v>
      </c>
      <c r="L360" s="1049">
        <v>120000</v>
      </c>
      <c r="M360" s="1053">
        <v>100</v>
      </c>
      <c r="N360" s="1048">
        <v>30</v>
      </c>
      <c r="O360" s="1053">
        <v>0</v>
      </c>
      <c r="P360" s="1053">
        <v>4.28</v>
      </c>
      <c r="Q360" s="416"/>
    </row>
    <row r="361" spans="2:17" x14ac:dyDescent="0.25">
      <c r="B361" s="415">
        <v>360</v>
      </c>
      <c r="C361" s="1374" t="s">
        <v>927</v>
      </c>
      <c r="D361" s="421" t="s">
        <v>16</v>
      </c>
      <c r="E361" s="421" t="s">
        <v>17</v>
      </c>
      <c r="F361" s="421" t="s">
        <v>27</v>
      </c>
      <c r="G361" s="421" t="s">
        <v>24</v>
      </c>
      <c r="H361" s="421" t="s">
        <v>25</v>
      </c>
      <c r="I361" s="1067" t="s">
        <v>567</v>
      </c>
      <c r="J361" s="414" t="str">
        <f t="shared" si="5"/>
        <v>ACasa CashIndividualRefinanciamientoUsadaApartamentoBG000000030000.00</v>
      </c>
      <c r="K361" s="1049">
        <v>30000</v>
      </c>
      <c r="L361" s="1049">
        <v>250000</v>
      </c>
      <c r="M361" s="1053">
        <v>85</v>
      </c>
      <c r="N361" s="1048">
        <v>20</v>
      </c>
      <c r="O361" s="1050">
        <v>6.5</v>
      </c>
      <c r="P361" s="1053">
        <v>0</v>
      </c>
      <c r="Q361" s="416"/>
    </row>
    <row r="362" spans="2:17" x14ac:dyDescent="0.25">
      <c r="B362" s="412">
        <v>361</v>
      </c>
      <c r="C362" s="1374" t="s">
        <v>927</v>
      </c>
      <c r="D362" s="421" t="s">
        <v>16</v>
      </c>
      <c r="E362" s="421" t="s">
        <v>17</v>
      </c>
      <c r="F362" s="421" t="s">
        <v>27</v>
      </c>
      <c r="G362" s="421" t="s">
        <v>24</v>
      </c>
      <c r="H362" s="421" t="s">
        <v>25</v>
      </c>
      <c r="I362" s="1067" t="s">
        <v>567</v>
      </c>
      <c r="J362" s="414" t="str">
        <f t="shared" si="5"/>
        <v>ACasa CashIndividualRefinanciamientoUsadaApartamentoBG000000250000.01</v>
      </c>
      <c r="K362" s="1049">
        <v>250000.01</v>
      </c>
      <c r="L362" s="1049">
        <v>500000</v>
      </c>
      <c r="M362" s="1053">
        <v>85</v>
      </c>
      <c r="N362" s="1048">
        <v>20</v>
      </c>
      <c r="O362" s="1050">
        <v>6.5</v>
      </c>
      <c r="P362" s="1053">
        <v>0</v>
      </c>
      <c r="Q362" s="416"/>
    </row>
    <row r="363" spans="2:17" x14ac:dyDescent="0.25">
      <c r="B363" s="415">
        <v>362</v>
      </c>
      <c r="C363" s="1374" t="s">
        <v>927</v>
      </c>
      <c r="D363" s="421" t="s">
        <v>16</v>
      </c>
      <c r="E363" s="421" t="s">
        <v>17</v>
      </c>
      <c r="F363" s="421" t="s">
        <v>27</v>
      </c>
      <c r="G363" s="421" t="s">
        <v>24</v>
      </c>
      <c r="H363" s="421" t="s">
        <v>25</v>
      </c>
      <c r="I363" s="1067" t="s">
        <v>567</v>
      </c>
      <c r="J363" s="414" t="str">
        <f t="shared" si="5"/>
        <v>ACasa CashIndividualRefinanciamientoUsadaApartamentoBG000000500000.01</v>
      </c>
      <c r="K363" s="1049">
        <v>500000.01</v>
      </c>
      <c r="L363" s="1049">
        <v>99999999</v>
      </c>
      <c r="M363" s="1053">
        <v>70</v>
      </c>
      <c r="N363" s="1048">
        <v>20</v>
      </c>
      <c r="O363" s="1050">
        <v>6.5</v>
      </c>
      <c r="P363" s="1053">
        <v>0</v>
      </c>
      <c r="Q363" s="416"/>
    </row>
    <row r="364" spans="2:17" x14ac:dyDescent="0.25">
      <c r="B364" s="415">
        <v>363</v>
      </c>
      <c r="C364" s="595" t="s">
        <v>927</v>
      </c>
      <c r="D364" s="421" t="s">
        <v>16</v>
      </c>
      <c r="E364" s="421" t="s">
        <v>17</v>
      </c>
      <c r="F364" s="421" t="s">
        <v>27</v>
      </c>
      <c r="G364" s="421" t="s">
        <v>24</v>
      </c>
      <c r="H364" s="421" t="s">
        <v>25</v>
      </c>
      <c r="I364" s="1067" t="s">
        <v>913</v>
      </c>
      <c r="J364" s="414" t="str">
        <f t="shared" si="5"/>
        <v>ACasa CashIndividualRefinanciamientoUsadaApartamentoCOPA000000030000.00</v>
      </c>
      <c r="K364" s="1049">
        <v>30000</v>
      </c>
      <c r="L364" s="1049">
        <v>250000</v>
      </c>
      <c r="M364" s="1053">
        <v>90</v>
      </c>
      <c r="N364" s="1048">
        <v>20</v>
      </c>
      <c r="O364" s="1053">
        <v>6.25</v>
      </c>
      <c r="P364" s="1053">
        <v>0</v>
      </c>
      <c r="Q364" s="416"/>
    </row>
    <row r="365" spans="2:17" x14ac:dyDescent="0.25">
      <c r="B365" s="415">
        <v>364</v>
      </c>
      <c r="C365" s="595" t="s">
        <v>927</v>
      </c>
      <c r="D365" s="421" t="s">
        <v>16</v>
      </c>
      <c r="E365" s="421" t="s">
        <v>17</v>
      </c>
      <c r="F365" s="421" t="s">
        <v>27</v>
      </c>
      <c r="G365" s="421" t="s">
        <v>24</v>
      </c>
      <c r="H365" s="421" t="s">
        <v>25</v>
      </c>
      <c r="I365" s="1067" t="s">
        <v>913</v>
      </c>
      <c r="J365" s="414" t="str">
        <f t="shared" si="5"/>
        <v>ACasa CashIndividualRefinanciamientoUsadaApartamentoCOPA000000250000.01</v>
      </c>
      <c r="K365" s="1049">
        <v>250000.01</v>
      </c>
      <c r="L365" s="1049">
        <v>500000</v>
      </c>
      <c r="M365" s="1053">
        <v>80</v>
      </c>
      <c r="N365" s="1048">
        <v>20</v>
      </c>
      <c r="O365" s="1053">
        <v>6</v>
      </c>
      <c r="P365" s="1053">
        <v>0</v>
      </c>
      <c r="Q365" s="416"/>
    </row>
    <row r="366" spans="2:17" x14ac:dyDescent="0.25">
      <c r="B366" s="415">
        <v>365</v>
      </c>
      <c r="C366" s="595" t="s">
        <v>927</v>
      </c>
      <c r="D366" s="421" t="s">
        <v>16</v>
      </c>
      <c r="E366" s="421" t="s">
        <v>17</v>
      </c>
      <c r="F366" s="421" t="s">
        <v>27</v>
      </c>
      <c r="G366" s="421" t="s">
        <v>24</v>
      </c>
      <c r="H366" s="421" t="s">
        <v>25</v>
      </c>
      <c r="I366" s="1067" t="s">
        <v>913</v>
      </c>
      <c r="J366" s="414" t="str">
        <f t="shared" si="5"/>
        <v>ACasa CashIndividualRefinanciamientoUsadaApartamentoCOPA000000500000.01</v>
      </c>
      <c r="K366" s="1049">
        <v>500000.01</v>
      </c>
      <c r="L366" s="1049">
        <v>99999999</v>
      </c>
      <c r="M366" s="1053">
        <v>70</v>
      </c>
      <c r="N366" s="1048">
        <v>20</v>
      </c>
      <c r="O366" s="1053">
        <v>6</v>
      </c>
      <c r="P366" s="1053">
        <v>0</v>
      </c>
      <c r="Q366" s="416"/>
    </row>
    <row r="367" spans="2:17" x14ac:dyDescent="0.25">
      <c r="B367" s="412">
        <v>366</v>
      </c>
      <c r="C367" s="595" t="s">
        <v>927</v>
      </c>
      <c r="D367" s="421" t="s">
        <v>16</v>
      </c>
      <c r="E367" s="421" t="s">
        <v>17</v>
      </c>
      <c r="F367" s="421" t="s">
        <v>27</v>
      </c>
      <c r="G367" s="421" t="s">
        <v>24</v>
      </c>
      <c r="H367" s="421" t="s">
        <v>25</v>
      </c>
      <c r="I367" s="1067" t="s">
        <v>173</v>
      </c>
      <c r="J367" s="414" t="str">
        <f t="shared" si="5"/>
        <v>ACasa CashIndividualRefinanciamientoUsadaApartamentoFERIA000000030000.00</v>
      </c>
      <c r="K367" s="1049">
        <v>30000</v>
      </c>
      <c r="L367" s="1049">
        <v>250000</v>
      </c>
      <c r="M367" s="1053">
        <v>90</v>
      </c>
      <c r="N367" s="1048">
        <v>20</v>
      </c>
      <c r="O367" s="1050">
        <v>6.5</v>
      </c>
      <c r="P367" s="1053">
        <v>0</v>
      </c>
      <c r="Q367" s="416"/>
    </row>
    <row r="368" spans="2:17" x14ac:dyDescent="0.25">
      <c r="B368" s="415">
        <v>367</v>
      </c>
      <c r="C368" s="595" t="s">
        <v>927</v>
      </c>
      <c r="D368" s="421" t="s">
        <v>16</v>
      </c>
      <c r="E368" s="421" t="s">
        <v>17</v>
      </c>
      <c r="F368" s="421" t="s">
        <v>27</v>
      </c>
      <c r="G368" s="421" t="s">
        <v>24</v>
      </c>
      <c r="H368" s="421" t="s">
        <v>25</v>
      </c>
      <c r="I368" s="1067" t="s">
        <v>173</v>
      </c>
      <c r="J368" s="414" t="str">
        <f t="shared" si="5"/>
        <v>ACasa CashIndividualRefinanciamientoUsadaApartamentoFERIA000000250000.01</v>
      </c>
      <c r="K368" s="1049">
        <v>250000.01</v>
      </c>
      <c r="L368" s="1049">
        <v>500000</v>
      </c>
      <c r="M368" s="1053">
        <v>90</v>
      </c>
      <c r="N368" s="1048">
        <v>20</v>
      </c>
      <c r="O368" s="1050">
        <v>6.5</v>
      </c>
      <c r="P368" s="1053">
        <v>0</v>
      </c>
      <c r="Q368" s="416"/>
    </row>
    <row r="369" spans="2:17" x14ac:dyDescent="0.25">
      <c r="B369" s="415">
        <v>368</v>
      </c>
      <c r="C369" s="595" t="s">
        <v>927</v>
      </c>
      <c r="D369" s="421" t="s">
        <v>16</v>
      </c>
      <c r="E369" s="421" t="s">
        <v>17</v>
      </c>
      <c r="F369" s="421" t="s">
        <v>27</v>
      </c>
      <c r="G369" s="421" t="s">
        <v>24</v>
      </c>
      <c r="H369" s="421" t="s">
        <v>25</v>
      </c>
      <c r="I369" s="1067" t="s">
        <v>173</v>
      </c>
      <c r="J369" s="414" t="str">
        <f t="shared" si="5"/>
        <v>ACasa CashIndividualRefinanciamientoUsadaApartamentoFERIA000000500000.01</v>
      </c>
      <c r="K369" s="1049">
        <v>500000.01</v>
      </c>
      <c r="L369" s="1049">
        <v>99999999</v>
      </c>
      <c r="M369" s="1053">
        <v>90</v>
      </c>
      <c r="N369" s="1048">
        <v>20</v>
      </c>
      <c r="O369" s="1050">
        <v>6.5</v>
      </c>
      <c r="P369" s="1053">
        <v>0</v>
      </c>
      <c r="Q369" s="416"/>
    </row>
    <row r="370" spans="2:17" x14ac:dyDescent="0.25">
      <c r="B370" s="415">
        <v>369</v>
      </c>
      <c r="C370" s="1374" t="s">
        <v>927</v>
      </c>
      <c r="D370" s="421" t="s">
        <v>16</v>
      </c>
      <c r="E370" s="421" t="s">
        <v>17</v>
      </c>
      <c r="F370" s="421" t="s">
        <v>27</v>
      </c>
      <c r="G370" s="421" t="s">
        <v>24</v>
      </c>
      <c r="H370" s="421" t="s">
        <v>22</v>
      </c>
      <c r="I370" s="1067" t="s">
        <v>567</v>
      </c>
      <c r="J370" s="414" t="str">
        <f t="shared" si="5"/>
        <v>ACasa CashIndividualRefinanciamientoUsadaCasaBG000000030000.00</v>
      </c>
      <c r="K370" s="1049">
        <v>30000</v>
      </c>
      <c r="L370" s="1049">
        <v>250000</v>
      </c>
      <c r="M370" s="1053">
        <v>85</v>
      </c>
      <c r="N370" s="1048">
        <v>20</v>
      </c>
      <c r="O370" s="1050">
        <v>6.5</v>
      </c>
      <c r="P370" s="1053">
        <v>0</v>
      </c>
      <c r="Q370" s="416"/>
    </row>
    <row r="371" spans="2:17" x14ac:dyDescent="0.25">
      <c r="B371" s="415">
        <v>370</v>
      </c>
      <c r="C371" s="1374" t="s">
        <v>927</v>
      </c>
      <c r="D371" s="421" t="s">
        <v>16</v>
      </c>
      <c r="E371" s="421" t="s">
        <v>17</v>
      </c>
      <c r="F371" s="421" t="s">
        <v>27</v>
      </c>
      <c r="G371" s="421" t="s">
        <v>24</v>
      </c>
      <c r="H371" s="421" t="s">
        <v>22</v>
      </c>
      <c r="I371" s="1067" t="s">
        <v>567</v>
      </c>
      <c r="J371" s="414" t="str">
        <f t="shared" si="5"/>
        <v>ACasa CashIndividualRefinanciamientoUsadaCasaBG000000250000.01</v>
      </c>
      <c r="K371" s="1049">
        <v>250000.01</v>
      </c>
      <c r="L371" s="1049">
        <v>500000</v>
      </c>
      <c r="M371" s="1053">
        <v>85</v>
      </c>
      <c r="N371" s="1048">
        <v>20</v>
      </c>
      <c r="O371" s="1050">
        <v>6.5</v>
      </c>
      <c r="P371" s="1053">
        <v>0</v>
      </c>
      <c r="Q371" s="416"/>
    </row>
    <row r="372" spans="2:17" x14ac:dyDescent="0.25">
      <c r="B372" s="412">
        <v>371</v>
      </c>
      <c r="C372" s="1374" t="s">
        <v>927</v>
      </c>
      <c r="D372" s="421" t="s">
        <v>16</v>
      </c>
      <c r="E372" s="421" t="s">
        <v>17</v>
      </c>
      <c r="F372" s="421" t="s">
        <v>27</v>
      </c>
      <c r="G372" s="421" t="s">
        <v>24</v>
      </c>
      <c r="H372" s="421" t="s">
        <v>22</v>
      </c>
      <c r="I372" s="1067" t="s">
        <v>567</v>
      </c>
      <c r="J372" s="414" t="str">
        <f t="shared" si="5"/>
        <v>ACasa CashIndividualRefinanciamientoUsadaCasaBG000000500000.01</v>
      </c>
      <c r="K372" s="1049">
        <v>500000.01</v>
      </c>
      <c r="L372" s="1049">
        <v>99999999</v>
      </c>
      <c r="M372" s="1053">
        <v>70</v>
      </c>
      <c r="N372" s="1048">
        <v>20</v>
      </c>
      <c r="O372" s="1050">
        <v>6.5</v>
      </c>
      <c r="P372" s="1053">
        <v>0</v>
      </c>
      <c r="Q372" s="416"/>
    </row>
    <row r="373" spans="2:17" x14ac:dyDescent="0.25">
      <c r="B373" s="415">
        <v>372</v>
      </c>
      <c r="C373" s="595" t="s">
        <v>927</v>
      </c>
      <c r="D373" s="421" t="s">
        <v>16</v>
      </c>
      <c r="E373" s="421" t="s">
        <v>17</v>
      </c>
      <c r="F373" s="421" t="s">
        <v>27</v>
      </c>
      <c r="G373" s="421" t="s">
        <v>24</v>
      </c>
      <c r="H373" s="421" t="s">
        <v>22</v>
      </c>
      <c r="I373" s="1067" t="s">
        <v>913</v>
      </c>
      <c r="J373" s="414" t="str">
        <f t="shared" si="5"/>
        <v>ACasa CashIndividualRefinanciamientoUsadaCasaCOPA000000030000.00</v>
      </c>
      <c r="K373" s="1049">
        <v>30000</v>
      </c>
      <c r="L373" s="1049">
        <v>250000</v>
      </c>
      <c r="M373" s="1053">
        <v>90</v>
      </c>
      <c r="N373" s="1048">
        <v>20</v>
      </c>
      <c r="O373" s="1053">
        <v>6.25</v>
      </c>
      <c r="P373" s="1053">
        <v>0</v>
      </c>
      <c r="Q373" s="416"/>
    </row>
    <row r="374" spans="2:17" x14ac:dyDescent="0.25">
      <c r="B374" s="415">
        <v>373</v>
      </c>
      <c r="C374" s="595" t="s">
        <v>927</v>
      </c>
      <c r="D374" s="421" t="s">
        <v>16</v>
      </c>
      <c r="E374" s="421" t="s">
        <v>17</v>
      </c>
      <c r="F374" s="421" t="s">
        <v>27</v>
      </c>
      <c r="G374" s="421" t="s">
        <v>24</v>
      </c>
      <c r="H374" s="421" t="s">
        <v>22</v>
      </c>
      <c r="I374" s="1067" t="s">
        <v>913</v>
      </c>
      <c r="J374" s="414" t="str">
        <f t="shared" si="5"/>
        <v>ACasa CashIndividualRefinanciamientoUsadaCasaCOPA000000250000.01</v>
      </c>
      <c r="K374" s="1049">
        <v>250000.01</v>
      </c>
      <c r="L374" s="1049">
        <v>500000</v>
      </c>
      <c r="M374" s="1053">
        <v>80</v>
      </c>
      <c r="N374" s="1048">
        <v>20</v>
      </c>
      <c r="O374" s="1053">
        <v>6</v>
      </c>
      <c r="P374" s="1053">
        <v>0</v>
      </c>
      <c r="Q374" s="416"/>
    </row>
    <row r="375" spans="2:17" x14ac:dyDescent="0.25">
      <c r="B375" s="415">
        <v>374</v>
      </c>
      <c r="C375" s="595" t="s">
        <v>927</v>
      </c>
      <c r="D375" s="421" t="s">
        <v>16</v>
      </c>
      <c r="E375" s="421" t="s">
        <v>17</v>
      </c>
      <c r="F375" s="421" t="s">
        <v>27</v>
      </c>
      <c r="G375" s="421" t="s">
        <v>24</v>
      </c>
      <c r="H375" s="421" t="s">
        <v>22</v>
      </c>
      <c r="I375" s="1067" t="s">
        <v>913</v>
      </c>
      <c r="J375" s="414" t="str">
        <f t="shared" si="5"/>
        <v>ACasa CashIndividualRefinanciamientoUsadaCasaCOPA000000500000.01</v>
      </c>
      <c r="K375" s="1049">
        <v>500000.01</v>
      </c>
      <c r="L375" s="1049">
        <v>99999999</v>
      </c>
      <c r="M375" s="1053">
        <v>70</v>
      </c>
      <c r="N375" s="1048">
        <v>20</v>
      </c>
      <c r="O375" s="1053">
        <v>6</v>
      </c>
      <c r="P375" s="1053">
        <v>0</v>
      </c>
      <c r="Q375" s="416"/>
    </row>
    <row r="376" spans="2:17" x14ac:dyDescent="0.25">
      <c r="B376" s="415">
        <v>375</v>
      </c>
      <c r="C376" s="595" t="s">
        <v>927</v>
      </c>
      <c r="D376" s="421" t="s">
        <v>16</v>
      </c>
      <c r="E376" s="421" t="s">
        <v>17</v>
      </c>
      <c r="F376" s="421" t="s">
        <v>27</v>
      </c>
      <c r="G376" s="421" t="s">
        <v>24</v>
      </c>
      <c r="H376" s="421" t="s">
        <v>22</v>
      </c>
      <c r="I376" s="1067" t="s">
        <v>173</v>
      </c>
      <c r="J376" s="414" t="str">
        <f t="shared" si="5"/>
        <v>ACasa CashIndividualRefinanciamientoUsadaCasaFERIA000000030000.00</v>
      </c>
      <c r="K376" s="1049">
        <v>30000</v>
      </c>
      <c r="L376" s="1049">
        <v>250000</v>
      </c>
      <c r="M376" s="1053">
        <v>90</v>
      </c>
      <c r="N376" s="1048">
        <v>20</v>
      </c>
      <c r="O376" s="1050">
        <v>6.5</v>
      </c>
      <c r="P376" s="1053">
        <v>0</v>
      </c>
      <c r="Q376" s="416"/>
    </row>
    <row r="377" spans="2:17" x14ac:dyDescent="0.25">
      <c r="B377" s="412">
        <v>376</v>
      </c>
      <c r="C377" s="595" t="s">
        <v>927</v>
      </c>
      <c r="D377" s="421" t="s">
        <v>16</v>
      </c>
      <c r="E377" s="421" t="s">
        <v>17</v>
      </c>
      <c r="F377" s="421" t="s">
        <v>27</v>
      </c>
      <c r="G377" s="421" t="s">
        <v>24</v>
      </c>
      <c r="H377" s="421" t="s">
        <v>22</v>
      </c>
      <c r="I377" s="1067" t="s">
        <v>173</v>
      </c>
      <c r="J377" s="414" t="str">
        <f t="shared" si="5"/>
        <v>ACasa CashIndividualRefinanciamientoUsadaCasaFERIA000000250000.01</v>
      </c>
      <c r="K377" s="1049">
        <v>250000.01</v>
      </c>
      <c r="L377" s="1049">
        <v>500000</v>
      </c>
      <c r="M377" s="1053">
        <v>90</v>
      </c>
      <c r="N377" s="1048">
        <v>20</v>
      </c>
      <c r="O377" s="1050">
        <v>6.5</v>
      </c>
      <c r="P377" s="1053">
        <v>0</v>
      </c>
      <c r="Q377" s="416"/>
    </row>
    <row r="378" spans="2:17" x14ac:dyDescent="0.25">
      <c r="B378" s="415">
        <v>377</v>
      </c>
      <c r="C378" s="595" t="s">
        <v>927</v>
      </c>
      <c r="D378" s="421" t="s">
        <v>16</v>
      </c>
      <c r="E378" s="421" t="s">
        <v>17</v>
      </c>
      <c r="F378" s="421" t="s">
        <v>27</v>
      </c>
      <c r="G378" s="421" t="s">
        <v>24</v>
      </c>
      <c r="H378" s="421" t="s">
        <v>22</v>
      </c>
      <c r="I378" s="1067" t="s">
        <v>173</v>
      </c>
      <c r="J378" s="414" t="str">
        <f t="shared" si="5"/>
        <v>ACasa CashIndividualRefinanciamientoUsadaCasaFERIA000000500000.01</v>
      </c>
      <c r="K378" s="1049">
        <v>500000.01</v>
      </c>
      <c r="L378" s="1049">
        <v>99999999</v>
      </c>
      <c r="M378" s="1053">
        <v>90</v>
      </c>
      <c r="N378" s="1048">
        <v>20</v>
      </c>
      <c r="O378" s="1050">
        <v>6.5</v>
      </c>
      <c r="P378" s="1053">
        <v>0</v>
      </c>
      <c r="Q378" s="416"/>
    </row>
    <row r="379" spans="2:17" x14ac:dyDescent="0.25">
      <c r="B379" s="415">
        <v>378</v>
      </c>
      <c r="C379" s="1374" t="s">
        <v>927</v>
      </c>
      <c r="D379" s="421" t="s">
        <v>16</v>
      </c>
      <c r="E379" s="421" t="s">
        <v>17</v>
      </c>
      <c r="F379" s="421" t="s">
        <v>11</v>
      </c>
      <c r="G379" s="421" t="s">
        <v>24</v>
      </c>
      <c r="H379" s="421" t="s">
        <v>25</v>
      </c>
      <c r="I379" s="1067" t="s">
        <v>567</v>
      </c>
      <c r="J379" s="414" t="str">
        <f t="shared" si="5"/>
        <v>ACasa CashIndividualResidencialUsadaApartamentoBG000000030000.00</v>
      </c>
      <c r="K379" s="1049">
        <v>30000</v>
      </c>
      <c r="L379" s="1049">
        <v>250000</v>
      </c>
      <c r="M379" s="1053">
        <v>85</v>
      </c>
      <c r="N379" s="1048">
        <v>20</v>
      </c>
      <c r="O379" s="1050">
        <v>6.5</v>
      </c>
      <c r="P379" s="1053">
        <v>0</v>
      </c>
      <c r="Q379" s="416"/>
    </row>
    <row r="380" spans="2:17" x14ac:dyDescent="0.25">
      <c r="B380" s="415">
        <v>379</v>
      </c>
      <c r="C380" s="1374" t="s">
        <v>927</v>
      </c>
      <c r="D380" s="421" t="s">
        <v>16</v>
      </c>
      <c r="E380" s="421" t="s">
        <v>17</v>
      </c>
      <c r="F380" s="421" t="s">
        <v>11</v>
      </c>
      <c r="G380" s="421" t="s">
        <v>24</v>
      </c>
      <c r="H380" s="421" t="s">
        <v>25</v>
      </c>
      <c r="I380" s="1067" t="s">
        <v>567</v>
      </c>
      <c r="J380" s="414" t="str">
        <f t="shared" si="5"/>
        <v>ACasa CashIndividualResidencialUsadaApartamentoBG000000250000.01</v>
      </c>
      <c r="K380" s="1049">
        <v>250000.01</v>
      </c>
      <c r="L380" s="1049">
        <v>500000</v>
      </c>
      <c r="M380" s="1053">
        <v>85</v>
      </c>
      <c r="N380" s="1048">
        <v>20</v>
      </c>
      <c r="O380" s="1050">
        <v>6.5</v>
      </c>
      <c r="P380" s="1053">
        <v>0</v>
      </c>
      <c r="Q380" s="416"/>
    </row>
    <row r="381" spans="2:17" x14ac:dyDescent="0.25">
      <c r="B381" s="415">
        <v>380</v>
      </c>
      <c r="C381" s="1374" t="s">
        <v>927</v>
      </c>
      <c r="D381" s="421" t="s">
        <v>16</v>
      </c>
      <c r="E381" s="421" t="s">
        <v>17</v>
      </c>
      <c r="F381" s="421" t="s">
        <v>11</v>
      </c>
      <c r="G381" s="421" t="s">
        <v>24</v>
      </c>
      <c r="H381" s="421" t="s">
        <v>25</v>
      </c>
      <c r="I381" s="1067" t="s">
        <v>567</v>
      </c>
      <c r="J381" s="414" t="str">
        <f t="shared" si="5"/>
        <v>ACasa CashIndividualResidencialUsadaApartamentoBG000000500000.01</v>
      </c>
      <c r="K381" s="1049">
        <v>500000.01</v>
      </c>
      <c r="L381" s="1049">
        <v>99999999</v>
      </c>
      <c r="M381" s="1053">
        <v>70</v>
      </c>
      <c r="N381" s="1048">
        <v>20</v>
      </c>
      <c r="O381" s="1050">
        <v>6.5</v>
      </c>
      <c r="P381" s="1053">
        <v>0</v>
      </c>
      <c r="Q381" s="416"/>
    </row>
    <row r="382" spans="2:17" x14ac:dyDescent="0.25">
      <c r="B382" s="412">
        <v>381</v>
      </c>
      <c r="C382" s="595" t="s">
        <v>927</v>
      </c>
      <c r="D382" s="421" t="s">
        <v>16</v>
      </c>
      <c r="E382" s="421" t="s">
        <v>17</v>
      </c>
      <c r="F382" s="421" t="s">
        <v>11</v>
      </c>
      <c r="G382" s="421" t="s">
        <v>24</v>
      </c>
      <c r="H382" s="421" t="s">
        <v>25</v>
      </c>
      <c r="I382" s="1067" t="s">
        <v>913</v>
      </c>
      <c r="J382" s="414" t="str">
        <f t="shared" si="5"/>
        <v>ACasa CashIndividualResidencialUsadaApartamentoCOPA000000030000.00</v>
      </c>
      <c r="K382" s="1049">
        <v>30000</v>
      </c>
      <c r="L382" s="1049">
        <v>250000</v>
      </c>
      <c r="M382" s="1053">
        <v>90</v>
      </c>
      <c r="N382" s="1048">
        <v>20</v>
      </c>
      <c r="O382" s="1053">
        <v>6.25</v>
      </c>
      <c r="P382" s="1053">
        <v>0</v>
      </c>
      <c r="Q382" s="416"/>
    </row>
    <row r="383" spans="2:17" x14ac:dyDescent="0.25">
      <c r="B383" s="415">
        <v>382</v>
      </c>
      <c r="C383" s="595" t="s">
        <v>927</v>
      </c>
      <c r="D383" s="421" t="s">
        <v>16</v>
      </c>
      <c r="E383" s="421" t="s">
        <v>17</v>
      </c>
      <c r="F383" s="421" t="s">
        <v>11</v>
      </c>
      <c r="G383" s="421" t="s">
        <v>24</v>
      </c>
      <c r="H383" s="421" t="s">
        <v>25</v>
      </c>
      <c r="I383" s="1067" t="s">
        <v>913</v>
      </c>
      <c r="J383" s="414" t="str">
        <f t="shared" si="5"/>
        <v>ACasa CashIndividualResidencialUsadaApartamentoCOPA000000250000.01</v>
      </c>
      <c r="K383" s="1049">
        <v>250000.01</v>
      </c>
      <c r="L383" s="1049">
        <v>500000</v>
      </c>
      <c r="M383" s="1053">
        <v>80</v>
      </c>
      <c r="N383" s="1048">
        <v>20</v>
      </c>
      <c r="O383" s="1053">
        <v>6</v>
      </c>
      <c r="P383" s="1053">
        <v>0</v>
      </c>
      <c r="Q383" s="416"/>
    </row>
    <row r="384" spans="2:17" x14ac:dyDescent="0.25">
      <c r="B384" s="415">
        <v>383</v>
      </c>
      <c r="C384" s="595" t="s">
        <v>927</v>
      </c>
      <c r="D384" s="421" t="s">
        <v>16</v>
      </c>
      <c r="E384" s="421" t="s">
        <v>17</v>
      </c>
      <c r="F384" s="421" t="s">
        <v>11</v>
      </c>
      <c r="G384" s="421" t="s">
        <v>24</v>
      </c>
      <c r="H384" s="421" t="s">
        <v>25</v>
      </c>
      <c r="I384" s="1067" t="s">
        <v>913</v>
      </c>
      <c r="J384" s="414" t="str">
        <f t="shared" si="5"/>
        <v>ACasa CashIndividualResidencialUsadaApartamentoCOPA000000500000.01</v>
      </c>
      <c r="K384" s="1049">
        <v>500000.01</v>
      </c>
      <c r="L384" s="1049">
        <v>99999999</v>
      </c>
      <c r="M384" s="1053">
        <v>70</v>
      </c>
      <c r="N384" s="1048">
        <v>20</v>
      </c>
      <c r="O384" s="1053">
        <v>6</v>
      </c>
      <c r="P384" s="1053">
        <v>0</v>
      </c>
      <c r="Q384" s="416"/>
    </row>
    <row r="385" spans="2:17" x14ac:dyDescent="0.25">
      <c r="B385" s="415">
        <v>384</v>
      </c>
      <c r="C385" s="595" t="s">
        <v>927</v>
      </c>
      <c r="D385" s="421" t="s">
        <v>16</v>
      </c>
      <c r="E385" s="421" t="s">
        <v>17</v>
      </c>
      <c r="F385" s="421" t="s">
        <v>11</v>
      </c>
      <c r="G385" s="421" t="s">
        <v>24</v>
      </c>
      <c r="H385" s="421" t="s">
        <v>25</v>
      </c>
      <c r="I385" s="1067" t="s">
        <v>173</v>
      </c>
      <c r="J385" s="414" t="str">
        <f t="shared" si="5"/>
        <v>ACasa CashIndividualResidencialUsadaApartamentoFERIA000000030000.00</v>
      </c>
      <c r="K385" s="1049">
        <v>30000</v>
      </c>
      <c r="L385" s="1049">
        <v>250000</v>
      </c>
      <c r="M385" s="1053">
        <v>90</v>
      </c>
      <c r="N385" s="1048">
        <v>20</v>
      </c>
      <c r="O385" s="1050">
        <v>6.5</v>
      </c>
      <c r="P385" s="1053">
        <v>0</v>
      </c>
      <c r="Q385" s="416"/>
    </row>
    <row r="386" spans="2:17" x14ac:dyDescent="0.25">
      <c r="B386" s="415">
        <v>385</v>
      </c>
      <c r="C386" s="595" t="s">
        <v>927</v>
      </c>
      <c r="D386" s="421" t="s">
        <v>16</v>
      </c>
      <c r="E386" s="421" t="s">
        <v>17</v>
      </c>
      <c r="F386" s="421" t="s">
        <v>11</v>
      </c>
      <c r="G386" s="421" t="s">
        <v>24</v>
      </c>
      <c r="H386" s="421" t="s">
        <v>25</v>
      </c>
      <c r="I386" s="1067" t="s">
        <v>173</v>
      </c>
      <c r="J386" s="414" t="str">
        <f t="shared" ref="J386:J449" si="6">C386&amp;D386&amp;E386&amp;F386&amp;G386&amp;H386&amp;I386 &amp; REPT("0",15-LEN(K386 &amp; IF(IFERROR(FIND(".",K386&amp;""),0)=0,".00","")))&amp;K386 &amp; IF(IFERROR(FIND(".",K386&amp;""),0)=0,".00","")</f>
        <v>ACasa CashIndividualResidencialUsadaApartamentoFERIA000000250000.01</v>
      </c>
      <c r="K386" s="1049">
        <v>250000.01</v>
      </c>
      <c r="L386" s="1049">
        <v>500000</v>
      </c>
      <c r="M386" s="1053">
        <v>90</v>
      </c>
      <c r="N386" s="1048">
        <v>20</v>
      </c>
      <c r="O386" s="1050">
        <v>6.5</v>
      </c>
      <c r="P386" s="1053">
        <v>0</v>
      </c>
      <c r="Q386" s="416"/>
    </row>
    <row r="387" spans="2:17" x14ac:dyDescent="0.25">
      <c r="B387" s="412">
        <v>386</v>
      </c>
      <c r="C387" s="595" t="s">
        <v>927</v>
      </c>
      <c r="D387" s="421" t="s">
        <v>16</v>
      </c>
      <c r="E387" s="421" t="s">
        <v>17</v>
      </c>
      <c r="F387" s="421" t="s">
        <v>11</v>
      </c>
      <c r="G387" s="421" t="s">
        <v>24</v>
      </c>
      <c r="H387" s="421" t="s">
        <v>25</v>
      </c>
      <c r="I387" s="1067" t="s">
        <v>173</v>
      </c>
      <c r="J387" s="414" t="str">
        <f t="shared" si="6"/>
        <v>ACasa CashIndividualResidencialUsadaApartamentoFERIA000000500000.01</v>
      </c>
      <c r="K387" s="1049">
        <v>500000.01</v>
      </c>
      <c r="L387" s="1049">
        <v>99999999</v>
      </c>
      <c r="M387" s="1053">
        <v>90</v>
      </c>
      <c r="N387" s="1048">
        <v>20</v>
      </c>
      <c r="O387" s="1050">
        <v>6.5</v>
      </c>
      <c r="P387" s="1053">
        <v>0</v>
      </c>
      <c r="Q387" s="416"/>
    </row>
    <row r="388" spans="2:17" x14ac:dyDescent="0.25">
      <c r="B388" s="415">
        <v>387</v>
      </c>
      <c r="C388" s="1374" t="s">
        <v>927</v>
      </c>
      <c r="D388" s="421" t="s">
        <v>16</v>
      </c>
      <c r="E388" s="421" t="s">
        <v>17</v>
      </c>
      <c r="F388" s="421" t="s">
        <v>11</v>
      </c>
      <c r="G388" s="421" t="s">
        <v>24</v>
      </c>
      <c r="H388" s="421" t="s">
        <v>22</v>
      </c>
      <c r="I388" s="1067" t="s">
        <v>567</v>
      </c>
      <c r="J388" s="414" t="str">
        <f t="shared" si="6"/>
        <v>ACasa CashIndividualResidencialUsadaCasaBG000000030000.00</v>
      </c>
      <c r="K388" s="1049">
        <v>30000</v>
      </c>
      <c r="L388" s="1049">
        <v>250000</v>
      </c>
      <c r="M388" s="1053">
        <v>85</v>
      </c>
      <c r="N388" s="1048">
        <v>20</v>
      </c>
      <c r="O388" s="1050">
        <v>6.5</v>
      </c>
      <c r="P388" s="1053">
        <v>0</v>
      </c>
      <c r="Q388" s="416"/>
    </row>
    <row r="389" spans="2:17" x14ac:dyDescent="0.25">
      <c r="B389" s="415">
        <v>388</v>
      </c>
      <c r="C389" s="1374" t="s">
        <v>927</v>
      </c>
      <c r="D389" s="421" t="s">
        <v>16</v>
      </c>
      <c r="E389" s="421" t="s">
        <v>17</v>
      </c>
      <c r="F389" s="421" t="s">
        <v>11</v>
      </c>
      <c r="G389" s="421" t="s">
        <v>24</v>
      </c>
      <c r="H389" s="421" t="s">
        <v>22</v>
      </c>
      <c r="I389" s="1067" t="s">
        <v>567</v>
      </c>
      <c r="J389" s="414" t="str">
        <f t="shared" si="6"/>
        <v>ACasa CashIndividualResidencialUsadaCasaBG000000250000.01</v>
      </c>
      <c r="K389" s="1049">
        <v>250000.01</v>
      </c>
      <c r="L389" s="1049">
        <v>500000</v>
      </c>
      <c r="M389" s="1053">
        <v>85</v>
      </c>
      <c r="N389" s="1048">
        <v>20</v>
      </c>
      <c r="O389" s="1050">
        <v>6.5</v>
      </c>
      <c r="P389" s="1053">
        <v>0</v>
      </c>
      <c r="Q389" s="416"/>
    </row>
    <row r="390" spans="2:17" x14ac:dyDescent="0.25">
      <c r="B390" s="415">
        <v>389</v>
      </c>
      <c r="C390" s="1374" t="s">
        <v>927</v>
      </c>
      <c r="D390" s="421" t="s">
        <v>16</v>
      </c>
      <c r="E390" s="421" t="s">
        <v>17</v>
      </c>
      <c r="F390" s="421" t="s">
        <v>11</v>
      </c>
      <c r="G390" s="421" t="s">
        <v>24</v>
      </c>
      <c r="H390" s="421" t="s">
        <v>22</v>
      </c>
      <c r="I390" s="1067" t="s">
        <v>567</v>
      </c>
      <c r="J390" s="414" t="str">
        <f t="shared" si="6"/>
        <v>ACasa CashIndividualResidencialUsadaCasaBG000000500000.01</v>
      </c>
      <c r="K390" s="1049">
        <v>500000.01</v>
      </c>
      <c r="L390" s="1049">
        <v>99999999</v>
      </c>
      <c r="M390" s="1053">
        <v>70</v>
      </c>
      <c r="N390" s="1048">
        <v>20</v>
      </c>
      <c r="O390" s="1050">
        <v>6.5</v>
      </c>
      <c r="P390" s="1053">
        <v>0</v>
      </c>
      <c r="Q390" s="416"/>
    </row>
    <row r="391" spans="2:17" x14ac:dyDescent="0.25">
      <c r="B391" s="415">
        <v>390</v>
      </c>
      <c r="C391" s="595" t="s">
        <v>927</v>
      </c>
      <c r="D391" s="421" t="s">
        <v>16</v>
      </c>
      <c r="E391" s="421" t="s">
        <v>17</v>
      </c>
      <c r="F391" s="421" t="s">
        <v>11</v>
      </c>
      <c r="G391" s="421" t="s">
        <v>24</v>
      </c>
      <c r="H391" s="421" t="s">
        <v>22</v>
      </c>
      <c r="I391" s="1067" t="s">
        <v>913</v>
      </c>
      <c r="J391" s="414" t="str">
        <f t="shared" si="6"/>
        <v>ACasa CashIndividualResidencialUsadaCasaCOPA000000030000.00</v>
      </c>
      <c r="K391" s="1049">
        <v>30000</v>
      </c>
      <c r="L391" s="1049">
        <v>250000</v>
      </c>
      <c r="M391" s="1053">
        <v>90</v>
      </c>
      <c r="N391" s="1048">
        <v>20</v>
      </c>
      <c r="O391" s="1053">
        <v>6.25</v>
      </c>
      <c r="P391" s="1053">
        <v>0</v>
      </c>
      <c r="Q391" s="416"/>
    </row>
    <row r="392" spans="2:17" x14ac:dyDescent="0.25">
      <c r="B392" s="412">
        <v>391</v>
      </c>
      <c r="C392" s="595" t="s">
        <v>927</v>
      </c>
      <c r="D392" s="421" t="s">
        <v>16</v>
      </c>
      <c r="E392" s="421" t="s">
        <v>17</v>
      </c>
      <c r="F392" s="421" t="s">
        <v>11</v>
      </c>
      <c r="G392" s="421" t="s">
        <v>24</v>
      </c>
      <c r="H392" s="421" t="s">
        <v>22</v>
      </c>
      <c r="I392" s="1067" t="s">
        <v>913</v>
      </c>
      <c r="J392" s="414" t="str">
        <f t="shared" si="6"/>
        <v>ACasa CashIndividualResidencialUsadaCasaCOPA000000250000.01</v>
      </c>
      <c r="K392" s="1049">
        <v>250000.01</v>
      </c>
      <c r="L392" s="1049">
        <v>500000</v>
      </c>
      <c r="M392" s="1053">
        <v>80</v>
      </c>
      <c r="N392" s="1048">
        <v>20</v>
      </c>
      <c r="O392" s="1053">
        <v>6</v>
      </c>
      <c r="P392" s="1053">
        <v>0</v>
      </c>
      <c r="Q392" s="416"/>
    </row>
    <row r="393" spans="2:17" x14ac:dyDescent="0.25">
      <c r="B393" s="415">
        <v>392</v>
      </c>
      <c r="C393" s="595" t="s">
        <v>927</v>
      </c>
      <c r="D393" s="421" t="s">
        <v>16</v>
      </c>
      <c r="E393" s="421" t="s">
        <v>17</v>
      </c>
      <c r="F393" s="421" t="s">
        <v>11</v>
      </c>
      <c r="G393" s="421" t="s">
        <v>24</v>
      </c>
      <c r="H393" s="421" t="s">
        <v>22</v>
      </c>
      <c r="I393" s="1067" t="s">
        <v>913</v>
      </c>
      <c r="J393" s="414" t="str">
        <f t="shared" si="6"/>
        <v>ACasa CashIndividualResidencialUsadaCasaCOPA000000500000.01</v>
      </c>
      <c r="K393" s="1049">
        <v>500000.01</v>
      </c>
      <c r="L393" s="1049">
        <v>99999999</v>
      </c>
      <c r="M393" s="1053">
        <v>70</v>
      </c>
      <c r="N393" s="1048">
        <v>20</v>
      </c>
      <c r="O393" s="1050">
        <v>6</v>
      </c>
      <c r="P393" s="1053">
        <v>0</v>
      </c>
      <c r="Q393" s="416"/>
    </row>
    <row r="394" spans="2:17" x14ac:dyDescent="0.25">
      <c r="B394" s="415">
        <v>393</v>
      </c>
      <c r="C394" s="595" t="s">
        <v>927</v>
      </c>
      <c r="D394" s="421" t="s">
        <v>16</v>
      </c>
      <c r="E394" s="421" t="s">
        <v>17</v>
      </c>
      <c r="F394" s="421" t="s">
        <v>11</v>
      </c>
      <c r="G394" s="421" t="s">
        <v>24</v>
      </c>
      <c r="H394" s="421" t="s">
        <v>22</v>
      </c>
      <c r="I394" s="1067" t="s">
        <v>173</v>
      </c>
      <c r="J394" s="414" t="str">
        <f t="shared" si="6"/>
        <v>ACasa CashIndividualResidencialUsadaCasaFERIA000000030000.00</v>
      </c>
      <c r="K394" s="1049">
        <v>30000</v>
      </c>
      <c r="L394" s="1049">
        <v>250000</v>
      </c>
      <c r="M394" s="1053">
        <v>90</v>
      </c>
      <c r="N394" s="1048">
        <v>20</v>
      </c>
      <c r="O394" s="1050">
        <v>6.5</v>
      </c>
      <c r="P394" s="1053">
        <v>0</v>
      </c>
      <c r="Q394" s="416"/>
    </row>
    <row r="395" spans="2:17" x14ac:dyDescent="0.25">
      <c r="B395" s="415">
        <v>394</v>
      </c>
      <c r="C395" s="595" t="s">
        <v>927</v>
      </c>
      <c r="D395" s="421" t="s">
        <v>16</v>
      </c>
      <c r="E395" s="421" t="s">
        <v>17</v>
      </c>
      <c r="F395" s="421" t="s">
        <v>11</v>
      </c>
      <c r="G395" s="421" t="s">
        <v>24</v>
      </c>
      <c r="H395" s="421" t="s">
        <v>22</v>
      </c>
      <c r="I395" s="1067" t="s">
        <v>173</v>
      </c>
      <c r="J395" s="414" t="str">
        <f t="shared" si="6"/>
        <v>ACasa CashIndividualResidencialUsadaCasaFERIA000000250000.01</v>
      </c>
      <c r="K395" s="1049">
        <v>250000.01</v>
      </c>
      <c r="L395" s="1049">
        <v>500000</v>
      </c>
      <c r="M395" s="1053">
        <v>90</v>
      </c>
      <c r="N395" s="1048">
        <v>20</v>
      </c>
      <c r="O395" s="1050">
        <v>6.5</v>
      </c>
      <c r="P395" s="1053">
        <v>0</v>
      </c>
      <c r="Q395" s="416"/>
    </row>
    <row r="396" spans="2:17" x14ac:dyDescent="0.25">
      <c r="B396" s="415">
        <v>395</v>
      </c>
      <c r="C396" s="595" t="s">
        <v>927</v>
      </c>
      <c r="D396" s="421" t="s">
        <v>16</v>
      </c>
      <c r="E396" s="421" t="s">
        <v>17</v>
      </c>
      <c r="F396" s="421" t="s">
        <v>11</v>
      </c>
      <c r="G396" s="421" t="s">
        <v>24</v>
      </c>
      <c r="H396" s="421" t="s">
        <v>22</v>
      </c>
      <c r="I396" s="1067" t="s">
        <v>173</v>
      </c>
      <c r="J396" s="414" t="str">
        <f t="shared" si="6"/>
        <v>ACasa CashIndividualResidencialUsadaCasaFERIA000000500000.01</v>
      </c>
      <c r="K396" s="1049">
        <v>500000.01</v>
      </c>
      <c r="L396" s="1049">
        <v>99999999</v>
      </c>
      <c r="M396" s="1053">
        <v>90</v>
      </c>
      <c r="N396" s="1048">
        <v>20</v>
      </c>
      <c r="O396" s="1050">
        <v>6.5</v>
      </c>
      <c r="P396" s="1053">
        <v>0</v>
      </c>
      <c r="Q396" s="416"/>
    </row>
    <row r="397" spans="2:17" x14ac:dyDescent="0.25">
      <c r="B397" s="412">
        <v>396</v>
      </c>
      <c r="C397" s="1374" t="s">
        <v>927</v>
      </c>
      <c r="D397" s="421" t="s">
        <v>16</v>
      </c>
      <c r="E397" s="421" t="s">
        <v>17</v>
      </c>
      <c r="F397" s="421" t="s">
        <v>20</v>
      </c>
      <c r="G397" s="421" t="s">
        <v>24</v>
      </c>
      <c r="H397" s="421" t="s">
        <v>25</v>
      </c>
      <c r="I397" s="1067" t="s">
        <v>567</v>
      </c>
      <c r="J397" s="414" t="str">
        <f t="shared" si="6"/>
        <v>ACasa CashIndividualSegunda HipotecaUsadaApartamentoBG000000030000.00</v>
      </c>
      <c r="K397" s="1049">
        <v>30000</v>
      </c>
      <c r="L397" s="1049">
        <v>250000</v>
      </c>
      <c r="M397" s="1053">
        <v>85</v>
      </c>
      <c r="N397" s="1048">
        <v>20</v>
      </c>
      <c r="O397" s="1050">
        <v>6.5</v>
      </c>
      <c r="P397" s="1053">
        <v>0</v>
      </c>
      <c r="Q397" s="416"/>
    </row>
    <row r="398" spans="2:17" x14ac:dyDescent="0.25">
      <c r="B398" s="415">
        <v>397</v>
      </c>
      <c r="C398" s="1374" t="s">
        <v>927</v>
      </c>
      <c r="D398" s="421" t="s">
        <v>16</v>
      </c>
      <c r="E398" s="421" t="s">
        <v>17</v>
      </c>
      <c r="F398" s="421" t="s">
        <v>20</v>
      </c>
      <c r="G398" s="421" t="s">
        <v>24</v>
      </c>
      <c r="H398" s="421" t="s">
        <v>25</v>
      </c>
      <c r="I398" s="1067" t="s">
        <v>567</v>
      </c>
      <c r="J398" s="414" t="str">
        <f t="shared" si="6"/>
        <v>ACasa CashIndividualSegunda HipotecaUsadaApartamentoBG000000250000.01</v>
      </c>
      <c r="K398" s="1049">
        <v>250000.01</v>
      </c>
      <c r="L398" s="1049">
        <v>500000</v>
      </c>
      <c r="M398" s="1053">
        <v>85</v>
      </c>
      <c r="N398" s="1048">
        <v>20</v>
      </c>
      <c r="O398" s="1050">
        <v>6.5</v>
      </c>
      <c r="P398" s="1053">
        <v>0</v>
      </c>
      <c r="Q398" s="416"/>
    </row>
    <row r="399" spans="2:17" x14ac:dyDescent="0.25">
      <c r="B399" s="415">
        <v>398</v>
      </c>
      <c r="C399" s="1374" t="s">
        <v>927</v>
      </c>
      <c r="D399" s="421" t="s">
        <v>16</v>
      </c>
      <c r="E399" s="421" t="s">
        <v>17</v>
      </c>
      <c r="F399" s="421" t="s">
        <v>20</v>
      </c>
      <c r="G399" s="421" t="s">
        <v>24</v>
      </c>
      <c r="H399" s="421" t="s">
        <v>25</v>
      </c>
      <c r="I399" s="1067" t="s">
        <v>567</v>
      </c>
      <c r="J399" s="414" t="str">
        <f t="shared" si="6"/>
        <v>ACasa CashIndividualSegunda HipotecaUsadaApartamentoBG000000500000.01</v>
      </c>
      <c r="K399" s="1049">
        <v>500000.01</v>
      </c>
      <c r="L399" s="1049">
        <v>99999999</v>
      </c>
      <c r="M399" s="1053">
        <v>70</v>
      </c>
      <c r="N399" s="1048">
        <v>20</v>
      </c>
      <c r="O399" s="1050">
        <v>6.5</v>
      </c>
      <c r="P399" s="1053">
        <v>0</v>
      </c>
      <c r="Q399" s="416"/>
    </row>
    <row r="400" spans="2:17" x14ac:dyDescent="0.25">
      <c r="B400" s="415">
        <v>399</v>
      </c>
      <c r="C400" s="595" t="s">
        <v>927</v>
      </c>
      <c r="D400" s="421" t="s">
        <v>16</v>
      </c>
      <c r="E400" s="421" t="s">
        <v>17</v>
      </c>
      <c r="F400" s="421" t="s">
        <v>20</v>
      </c>
      <c r="G400" s="421" t="s">
        <v>24</v>
      </c>
      <c r="H400" s="421" t="s">
        <v>25</v>
      </c>
      <c r="I400" s="1067" t="s">
        <v>913</v>
      </c>
      <c r="J400" s="414" t="str">
        <f t="shared" si="6"/>
        <v>ACasa CashIndividualSegunda HipotecaUsadaApartamentoCOPA000000030000.00</v>
      </c>
      <c r="K400" s="1049">
        <v>30000</v>
      </c>
      <c r="L400" s="1049">
        <v>250000</v>
      </c>
      <c r="M400" s="1053">
        <v>90</v>
      </c>
      <c r="N400" s="1048">
        <v>20</v>
      </c>
      <c r="O400" s="1050">
        <v>6.25</v>
      </c>
      <c r="P400" s="1053">
        <v>0</v>
      </c>
      <c r="Q400" s="416"/>
    </row>
    <row r="401" spans="2:17" x14ac:dyDescent="0.25">
      <c r="B401" s="415">
        <v>400</v>
      </c>
      <c r="C401" s="596" t="s">
        <v>927</v>
      </c>
      <c r="D401" s="421" t="s">
        <v>16</v>
      </c>
      <c r="E401" s="421" t="s">
        <v>17</v>
      </c>
      <c r="F401" s="421" t="s">
        <v>20</v>
      </c>
      <c r="G401" s="421" t="s">
        <v>24</v>
      </c>
      <c r="H401" s="421" t="s">
        <v>25</v>
      </c>
      <c r="I401" s="1067" t="s">
        <v>913</v>
      </c>
      <c r="J401" s="414" t="str">
        <f t="shared" si="6"/>
        <v>ACasa CashIndividualSegunda HipotecaUsadaApartamentoCOPA000000250000.01</v>
      </c>
      <c r="K401" s="1049">
        <v>250000.01</v>
      </c>
      <c r="L401" s="1049">
        <v>500000</v>
      </c>
      <c r="M401" s="1053">
        <v>80</v>
      </c>
      <c r="N401" s="1048">
        <v>20</v>
      </c>
      <c r="O401" s="1050">
        <v>6</v>
      </c>
      <c r="P401" s="1053">
        <v>0</v>
      </c>
      <c r="Q401" s="416"/>
    </row>
    <row r="402" spans="2:17" x14ac:dyDescent="0.25">
      <c r="B402" s="412">
        <v>401</v>
      </c>
      <c r="C402" s="595" t="s">
        <v>927</v>
      </c>
      <c r="D402" s="421" t="s">
        <v>16</v>
      </c>
      <c r="E402" s="421" t="s">
        <v>17</v>
      </c>
      <c r="F402" s="421" t="s">
        <v>20</v>
      </c>
      <c r="G402" s="421" t="s">
        <v>24</v>
      </c>
      <c r="H402" s="421" t="s">
        <v>25</v>
      </c>
      <c r="I402" s="1067" t="s">
        <v>913</v>
      </c>
      <c r="J402" s="414" t="str">
        <f t="shared" si="6"/>
        <v>ACasa CashIndividualSegunda HipotecaUsadaApartamentoCOPA000000500000.01</v>
      </c>
      <c r="K402" s="1049">
        <v>500000.01</v>
      </c>
      <c r="L402" s="1049">
        <v>99999999</v>
      </c>
      <c r="M402" s="1053">
        <v>70</v>
      </c>
      <c r="N402" s="1048">
        <v>20</v>
      </c>
      <c r="O402" s="1050">
        <v>6</v>
      </c>
      <c r="P402" s="1053">
        <v>0</v>
      </c>
      <c r="Q402" s="416"/>
    </row>
    <row r="403" spans="2:17" x14ac:dyDescent="0.25">
      <c r="B403" s="415">
        <v>402</v>
      </c>
      <c r="C403" s="595" t="s">
        <v>927</v>
      </c>
      <c r="D403" s="421" t="s">
        <v>16</v>
      </c>
      <c r="E403" s="421" t="s">
        <v>17</v>
      </c>
      <c r="F403" s="421" t="s">
        <v>20</v>
      </c>
      <c r="G403" s="421" t="s">
        <v>24</v>
      </c>
      <c r="H403" s="421" t="s">
        <v>25</v>
      </c>
      <c r="I403" s="1067" t="s">
        <v>173</v>
      </c>
      <c r="J403" s="414" t="str">
        <f t="shared" si="6"/>
        <v>ACasa CashIndividualSegunda HipotecaUsadaApartamentoFERIA000000030000.00</v>
      </c>
      <c r="K403" s="1049">
        <v>30000</v>
      </c>
      <c r="L403" s="1049">
        <v>250000</v>
      </c>
      <c r="M403" s="1053">
        <v>90</v>
      </c>
      <c r="N403" s="1048">
        <v>20</v>
      </c>
      <c r="O403" s="1050">
        <v>6.5</v>
      </c>
      <c r="P403" s="1053">
        <v>0</v>
      </c>
      <c r="Q403" s="416"/>
    </row>
    <row r="404" spans="2:17" x14ac:dyDescent="0.25">
      <c r="B404" s="415">
        <v>403</v>
      </c>
      <c r="C404" s="595" t="s">
        <v>927</v>
      </c>
      <c r="D404" s="421" t="s">
        <v>16</v>
      </c>
      <c r="E404" s="421" t="s">
        <v>17</v>
      </c>
      <c r="F404" s="421" t="s">
        <v>20</v>
      </c>
      <c r="G404" s="421" t="s">
        <v>24</v>
      </c>
      <c r="H404" s="421" t="s">
        <v>25</v>
      </c>
      <c r="I404" s="1067" t="s">
        <v>173</v>
      </c>
      <c r="J404" s="414" t="str">
        <f t="shared" si="6"/>
        <v>ACasa CashIndividualSegunda HipotecaUsadaApartamentoFERIA000000250000.01</v>
      </c>
      <c r="K404" s="1049">
        <v>250000.01</v>
      </c>
      <c r="L404" s="1049">
        <v>500000</v>
      </c>
      <c r="M404" s="1053">
        <v>90</v>
      </c>
      <c r="N404" s="1048">
        <v>20</v>
      </c>
      <c r="O404" s="1050">
        <v>6.5</v>
      </c>
      <c r="P404" s="1053">
        <v>0</v>
      </c>
      <c r="Q404" s="416"/>
    </row>
    <row r="405" spans="2:17" x14ac:dyDescent="0.25">
      <c r="B405" s="415">
        <v>404</v>
      </c>
      <c r="C405" s="595" t="s">
        <v>927</v>
      </c>
      <c r="D405" s="421" t="s">
        <v>16</v>
      </c>
      <c r="E405" s="421" t="s">
        <v>17</v>
      </c>
      <c r="F405" s="421" t="s">
        <v>20</v>
      </c>
      <c r="G405" s="421" t="s">
        <v>24</v>
      </c>
      <c r="H405" s="421" t="s">
        <v>25</v>
      </c>
      <c r="I405" s="1067" t="s">
        <v>173</v>
      </c>
      <c r="J405" s="414" t="str">
        <f t="shared" si="6"/>
        <v>ACasa CashIndividualSegunda HipotecaUsadaApartamentoFERIA000000500000.01</v>
      </c>
      <c r="K405" s="1049">
        <v>500000.01</v>
      </c>
      <c r="L405" s="1049">
        <v>99999999</v>
      </c>
      <c r="M405" s="1053">
        <v>90</v>
      </c>
      <c r="N405" s="1048">
        <v>20</v>
      </c>
      <c r="O405" s="1050">
        <v>6.5</v>
      </c>
      <c r="P405" s="1053">
        <v>0</v>
      </c>
      <c r="Q405" s="416"/>
    </row>
    <row r="406" spans="2:17" x14ac:dyDescent="0.25">
      <c r="B406" s="415">
        <v>405</v>
      </c>
      <c r="C406" s="1374" t="s">
        <v>927</v>
      </c>
      <c r="D406" s="421" t="s">
        <v>16</v>
      </c>
      <c r="E406" s="421" t="s">
        <v>17</v>
      </c>
      <c r="F406" s="421" t="s">
        <v>20</v>
      </c>
      <c r="G406" s="421" t="s">
        <v>24</v>
      </c>
      <c r="H406" s="421" t="s">
        <v>22</v>
      </c>
      <c r="I406" s="1067" t="s">
        <v>567</v>
      </c>
      <c r="J406" s="414" t="str">
        <f t="shared" si="6"/>
        <v>ACasa CashIndividualSegunda HipotecaUsadaCasaBG000000030000.00</v>
      </c>
      <c r="K406" s="1049">
        <v>30000</v>
      </c>
      <c r="L406" s="1049">
        <v>250000</v>
      </c>
      <c r="M406" s="1053">
        <v>85</v>
      </c>
      <c r="N406" s="1048">
        <v>20</v>
      </c>
      <c r="O406" s="1050">
        <v>6.5</v>
      </c>
      <c r="P406" s="1053">
        <v>0</v>
      </c>
      <c r="Q406" s="416"/>
    </row>
    <row r="407" spans="2:17" x14ac:dyDescent="0.25">
      <c r="B407" s="412">
        <v>406</v>
      </c>
      <c r="C407" s="1374" t="s">
        <v>927</v>
      </c>
      <c r="D407" s="421" t="s">
        <v>16</v>
      </c>
      <c r="E407" s="421" t="s">
        <v>17</v>
      </c>
      <c r="F407" s="421" t="s">
        <v>20</v>
      </c>
      <c r="G407" s="421" t="s">
        <v>24</v>
      </c>
      <c r="H407" s="421" t="s">
        <v>22</v>
      </c>
      <c r="I407" s="1067" t="s">
        <v>567</v>
      </c>
      <c r="J407" s="414" t="str">
        <f t="shared" si="6"/>
        <v>ACasa CashIndividualSegunda HipotecaUsadaCasaBG000000250000.01</v>
      </c>
      <c r="K407" s="1049">
        <v>250000.01</v>
      </c>
      <c r="L407" s="1049">
        <v>500000</v>
      </c>
      <c r="M407" s="1053">
        <v>85</v>
      </c>
      <c r="N407" s="1048">
        <v>20</v>
      </c>
      <c r="O407" s="1050">
        <v>6.5</v>
      </c>
      <c r="P407" s="1053">
        <v>0</v>
      </c>
      <c r="Q407" s="416"/>
    </row>
    <row r="408" spans="2:17" x14ac:dyDescent="0.25">
      <c r="B408" s="415">
        <v>407</v>
      </c>
      <c r="C408" s="1374" t="s">
        <v>927</v>
      </c>
      <c r="D408" s="421" t="s">
        <v>16</v>
      </c>
      <c r="E408" s="421" t="s">
        <v>17</v>
      </c>
      <c r="F408" s="421" t="s">
        <v>20</v>
      </c>
      <c r="G408" s="421" t="s">
        <v>24</v>
      </c>
      <c r="H408" s="421" t="s">
        <v>22</v>
      </c>
      <c r="I408" s="1067" t="s">
        <v>567</v>
      </c>
      <c r="J408" s="414" t="str">
        <f t="shared" si="6"/>
        <v>ACasa CashIndividualSegunda HipotecaUsadaCasaBG000000500000.01</v>
      </c>
      <c r="K408" s="1049">
        <v>500000.01</v>
      </c>
      <c r="L408" s="1049">
        <v>99999999</v>
      </c>
      <c r="M408" s="1053">
        <v>70</v>
      </c>
      <c r="N408" s="1048">
        <v>20</v>
      </c>
      <c r="O408" s="1050">
        <v>6.5</v>
      </c>
      <c r="P408" s="1053">
        <v>0</v>
      </c>
      <c r="Q408" s="416"/>
    </row>
    <row r="409" spans="2:17" x14ac:dyDescent="0.25">
      <c r="B409" s="415">
        <v>408</v>
      </c>
      <c r="C409" s="595" t="s">
        <v>927</v>
      </c>
      <c r="D409" s="421" t="s">
        <v>16</v>
      </c>
      <c r="E409" s="421" t="s">
        <v>17</v>
      </c>
      <c r="F409" s="421" t="s">
        <v>20</v>
      </c>
      <c r="G409" s="421" t="s">
        <v>24</v>
      </c>
      <c r="H409" s="421" t="s">
        <v>22</v>
      </c>
      <c r="I409" s="1067" t="s">
        <v>913</v>
      </c>
      <c r="J409" s="414" t="str">
        <f t="shared" si="6"/>
        <v>ACasa CashIndividualSegunda HipotecaUsadaCasaCOPA000000030000.00</v>
      </c>
      <c r="K409" s="1049">
        <v>30000</v>
      </c>
      <c r="L409" s="1049">
        <v>250000</v>
      </c>
      <c r="M409" s="1053">
        <v>90</v>
      </c>
      <c r="N409" s="1048">
        <v>20</v>
      </c>
      <c r="O409" s="1053">
        <v>6.25</v>
      </c>
      <c r="P409" s="1053">
        <v>0</v>
      </c>
      <c r="Q409" s="416"/>
    </row>
    <row r="410" spans="2:17" x14ac:dyDescent="0.25">
      <c r="B410" s="415">
        <v>409</v>
      </c>
      <c r="C410" s="595" t="s">
        <v>927</v>
      </c>
      <c r="D410" s="421" t="s">
        <v>16</v>
      </c>
      <c r="E410" s="421" t="s">
        <v>17</v>
      </c>
      <c r="F410" s="421" t="s">
        <v>20</v>
      </c>
      <c r="G410" s="421" t="s">
        <v>24</v>
      </c>
      <c r="H410" s="421" t="s">
        <v>22</v>
      </c>
      <c r="I410" s="1067" t="s">
        <v>913</v>
      </c>
      <c r="J410" s="414" t="str">
        <f t="shared" si="6"/>
        <v>ACasa CashIndividualSegunda HipotecaUsadaCasaCOPA000000250000.01</v>
      </c>
      <c r="K410" s="1049">
        <v>250000.01</v>
      </c>
      <c r="L410" s="1049">
        <v>500000</v>
      </c>
      <c r="M410" s="1053">
        <v>80</v>
      </c>
      <c r="N410" s="1048">
        <v>20</v>
      </c>
      <c r="O410" s="1053">
        <v>6</v>
      </c>
      <c r="P410" s="1053">
        <v>0</v>
      </c>
      <c r="Q410" s="416"/>
    </row>
    <row r="411" spans="2:17" x14ac:dyDescent="0.25">
      <c r="B411" s="415">
        <v>410</v>
      </c>
      <c r="C411" s="595" t="s">
        <v>927</v>
      </c>
      <c r="D411" s="421" t="s">
        <v>16</v>
      </c>
      <c r="E411" s="421" t="s">
        <v>17</v>
      </c>
      <c r="F411" s="421" t="s">
        <v>20</v>
      </c>
      <c r="G411" s="421" t="s">
        <v>24</v>
      </c>
      <c r="H411" s="421" t="s">
        <v>22</v>
      </c>
      <c r="I411" s="1067" t="s">
        <v>913</v>
      </c>
      <c r="J411" s="414" t="str">
        <f t="shared" si="6"/>
        <v>ACasa CashIndividualSegunda HipotecaUsadaCasaCOPA000000500000.01</v>
      </c>
      <c r="K411" s="1049">
        <v>500000.01</v>
      </c>
      <c r="L411" s="1049">
        <v>99999999</v>
      </c>
      <c r="M411" s="1053">
        <v>70</v>
      </c>
      <c r="N411" s="1048">
        <v>20</v>
      </c>
      <c r="O411" s="1053">
        <v>6</v>
      </c>
      <c r="P411" s="1053">
        <v>0</v>
      </c>
      <c r="Q411" s="416"/>
    </row>
    <row r="412" spans="2:17" x14ac:dyDescent="0.25">
      <c r="B412" s="412">
        <v>411</v>
      </c>
      <c r="C412" s="595" t="s">
        <v>927</v>
      </c>
      <c r="D412" s="421" t="s">
        <v>16</v>
      </c>
      <c r="E412" s="421" t="s">
        <v>17</v>
      </c>
      <c r="F412" s="421" t="s">
        <v>20</v>
      </c>
      <c r="G412" s="421" t="s">
        <v>24</v>
      </c>
      <c r="H412" s="421" t="s">
        <v>22</v>
      </c>
      <c r="I412" s="1067" t="s">
        <v>173</v>
      </c>
      <c r="J412" s="414" t="str">
        <f t="shared" si="6"/>
        <v>ACasa CashIndividualSegunda HipotecaUsadaCasaFERIA000000030000.00</v>
      </c>
      <c r="K412" s="1049">
        <v>30000</v>
      </c>
      <c r="L412" s="1049">
        <v>250000</v>
      </c>
      <c r="M412" s="1053">
        <v>90</v>
      </c>
      <c r="N412" s="1048">
        <v>20</v>
      </c>
      <c r="O412" s="1050">
        <v>6.5</v>
      </c>
      <c r="P412" s="1053">
        <v>0</v>
      </c>
      <c r="Q412" s="416"/>
    </row>
    <row r="413" spans="2:17" x14ac:dyDescent="0.25">
      <c r="B413" s="415">
        <v>412</v>
      </c>
      <c r="C413" s="595" t="s">
        <v>927</v>
      </c>
      <c r="D413" s="421" t="s">
        <v>16</v>
      </c>
      <c r="E413" s="421" t="s">
        <v>17</v>
      </c>
      <c r="F413" s="421" t="s">
        <v>20</v>
      </c>
      <c r="G413" s="421" t="s">
        <v>24</v>
      </c>
      <c r="H413" s="421" t="s">
        <v>22</v>
      </c>
      <c r="I413" s="1067" t="s">
        <v>173</v>
      </c>
      <c r="J413" s="414" t="str">
        <f t="shared" si="6"/>
        <v>ACasa CashIndividualSegunda HipotecaUsadaCasaFERIA000000250000.01</v>
      </c>
      <c r="K413" s="1049">
        <v>250000.01</v>
      </c>
      <c r="L413" s="1049">
        <v>500000</v>
      </c>
      <c r="M413" s="1053">
        <v>90</v>
      </c>
      <c r="N413" s="1048">
        <v>20</v>
      </c>
      <c r="O413" s="1050">
        <v>6.5</v>
      </c>
      <c r="P413" s="1053">
        <v>0</v>
      </c>
      <c r="Q413" s="416"/>
    </row>
    <row r="414" spans="2:17" x14ac:dyDescent="0.25">
      <c r="B414" s="415">
        <v>413</v>
      </c>
      <c r="C414" s="595" t="s">
        <v>927</v>
      </c>
      <c r="D414" s="421" t="s">
        <v>16</v>
      </c>
      <c r="E414" s="421" t="s">
        <v>17</v>
      </c>
      <c r="F414" s="421" t="s">
        <v>20</v>
      </c>
      <c r="G414" s="421" t="s">
        <v>24</v>
      </c>
      <c r="H414" s="421" t="s">
        <v>22</v>
      </c>
      <c r="I414" s="1067" t="s">
        <v>173</v>
      </c>
      <c r="J414" s="414" t="str">
        <f t="shared" si="6"/>
        <v>ACasa CashIndividualSegunda HipotecaUsadaCasaFERIA000000500000.01</v>
      </c>
      <c r="K414" s="1049">
        <v>500000.01</v>
      </c>
      <c r="L414" s="1049">
        <v>99999999</v>
      </c>
      <c r="M414" s="1053">
        <v>90</v>
      </c>
      <c r="N414" s="1048">
        <v>20</v>
      </c>
      <c r="O414" s="1050">
        <v>6.5</v>
      </c>
      <c r="P414" s="1053">
        <v>0</v>
      </c>
      <c r="Q414" s="416"/>
    </row>
    <row r="415" spans="2:17" x14ac:dyDescent="0.25">
      <c r="B415" s="415">
        <v>414</v>
      </c>
      <c r="C415" s="595" t="s">
        <v>927</v>
      </c>
      <c r="D415" s="421" t="s">
        <v>8</v>
      </c>
      <c r="E415" s="421" t="s">
        <v>762</v>
      </c>
      <c r="F415" s="421" t="s">
        <v>11</v>
      </c>
      <c r="G415" s="421" t="s">
        <v>21</v>
      </c>
      <c r="H415" s="421" t="s">
        <v>25</v>
      </c>
      <c r="I415" s="1067" t="s">
        <v>567</v>
      </c>
      <c r="J415" s="414" t="str">
        <f t="shared" si="6"/>
        <v>ACompra de ViviendaCasco AntiguoResidencialNuevaApartamentoBG000000030000.00</v>
      </c>
      <c r="K415" s="1049">
        <v>30000</v>
      </c>
      <c r="L415" s="1049">
        <v>99999999</v>
      </c>
      <c r="M415" s="1053">
        <v>80</v>
      </c>
      <c r="N415" s="1048">
        <v>30</v>
      </c>
      <c r="O415" s="1050">
        <v>3.5</v>
      </c>
      <c r="P415" s="1053">
        <v>8.56</v>
      </c>
      <c r="Q415" s="416"/>
    </row>
    <row r="416" spans="2:17" x14ac:dyDescent="0.25">
      <c r="B416" s="415">
        <v>415</v>
      </c>
      <c r="C416" s="595" t="s">
        <v>927</v>
      </c>
      <c r="D416" s="421" t="s">
        <v>8</v>
      </c>
      <c r="E416" s="421" t="s">
        <v>762</v>
      </c>
      <c r="F416" s="421" t="s">
        <v>11</v>
      </c>
      <c r="G416" s="421" t="s">
        <v>21</v>
      </c>
      <c r="H416" s="421" t="s">
        <v>25</v>
      </c>
      <c r="I416" s="1067" t="s">
        <v>913</v>
      </c>
      <c r="J416" s="414" t="str">
        <f t="shared" si="6"/>
        <v>ACompra de ViviendaCasco AntiguoResidencialNuevaApartamentoCOPA000000030000.00</v>
      </c>
      <c r="K416" s="1049">
        <v>30000</v>
      </c>
      <c r="L416" s="1049">
        <v>99999999</v>
      </c>
      <c r="M416" s="1053">
        <v>80</v>
      </c>
      <c r="N416" s="1048">
        <v>30</v>
      </c>
      <c r="O416" s="1050">
        <v>3.25</v>
      </c>
      <c r="P416" s="1050">
        <v>8.56</v>
      </c>
      <c r="Q416" s="416"/>
    </row>
    <row r="417" spans="2:17" x14ac:dyDescent="0.25">
      <c r="B417" s="412">
        <v>416</v>
      </c>
      <c r="C417" s="595" t="s">
        <v>927</v>
      </c>
      <c r="D417" s="421" t="s">
        <v>8</v>
      </c>
      <c r="E417" s="421" t="s">
        <v>762</v>
      </c>
      <c r="F417" s="421" t="s">
        <v>11</v>
      </c>
      <c r="G417" s="421" t="s">
        <v>21</v>
      </c>
      <c r="H417" s="421" t="s">
        <v>25</v>
      </c>
      <c r="I417" s="1067" t="s">
        <v>173</v>
      </c>
      <c r="J417" s="414" t="str">
        <f t="shared" si="6"/>
        <v>ACompra de ViviendaCasco AntiguoResidencialNuevaApartamentoFERIA000000030000.00</v>
      </c>
      <c r="K417" s="1049">
        <v>30000</v>
      </c>
      <c r="L417" s="1049">
        <v>99999999</v>
      </c>
      <c r="M417" s="1053">
        <v>80</v>
      </c>
      <c r="N417" s="1048">
        <v>30</v>
      </c>
      <c r="O417" s="1050">
        <v>3.5</v>
      </c>
      <c r="P417" s="1053">
        <v>4.28</v>
      </c>
      <c r="Q417" s="416"/>
    </row>
    <row r="418" spans="2:17" x14ac:dyDescent="0.25">
      <c r="B418" s="415">
        <v>417</v>
      </c>
      <c r="C418" s="595" t="s">
        <v>927</v>
      </c>
      <c r="D418" s="421" t="s">
        <v>8</v>
      </c>
      <c r="E418" s="421" t="s">
        <v>762</v>
      </c>
      <c r="F418" s="421" t="s">
        <v>11</v>
      </c>
      <c r="G418" s="421" t="s">
        <v>21</v>
      </c>
      <c r="H418" s="421" t="s">
        <v>22</v>
      </c>
      <c r="I418" s="1067" t="s">
        <v>567</v>
      </c>
      <c r="J418" s="414" t="str">
        <f t="shared" si="6"/>
        <v>ACompra de ViviendaCasco AntiguoResidencialNuevaCasaBG000000030000.00</v>
      </c>
      <c r="K418" s="1049">
        <v>30000</v>
      </c>
      <c r="L418" s="1049">
        <v>99999999</v>
      </c>
      <c r="M418" s="1053">
        <v>80</v>
      </c>
      <c r="N418" s="1048">
        <v>30</v>
      </c>
      <c r="O418" s="1050">
        <v>3.5</v>
      </c>
      <c r="P418" s="1053">
        <v>8.56</v>
      </c>
      <c r="Q418" s="416"/>
    </row>
    <row r="419" spans="2:17" x14ac:dyDescent="0.25">
      <c r="B419" s="415">
        <v>418</v>
      </c>
      <c r="C419" s="595" t="s">
        <v>927</v>
      </c>
      <c r="D419" s="421" t="s">
        <v>8</v>
      </c>
      <c r="E419" s="421" t="s">
        <v>762</v>
      </c>
      <c r="F419" s="421" t="s">
        <v>11</v>
      </c>
      <c r="G419" s="421" t="s">
        <v>21</v>
      </c>
      <c r="H419" s="421" t="s">
        <v>22</v>
      </c>
      <c r="I419" s="1067" t="s">
        <v>913</v>
      </c>
      <c r="J419" s="414" t="str">
        <f t="shared" si="6"/>
        <v>ACompra de ViviendaCasco AntiguoResidencialNuevaCasaCOPA000000030000.00</v>
      </c>
      <c r="K419" s="1049">
        <v>30000</v>
      </c>
      <c r="L419" s="1049">
        <v>99999999</v>
      </c>
      <c r="M419" s="1053">
        <v>80</v>
      </c>
      <c r="N419" s="1048">
        <v>30</v>
      </c>
      <c r="O419" s="1050">
        <v>3.25</v>
      </c>
      <c r="P419" s="1050">
        <v>8.56</v>
      </c>
      <c r="Q419" s="416"/>
    </row>
    <row r="420" spans="2:17" x14ac:dyDescent="0.25">
      <c r="B420" s="415">
        <v>419</v>
      </c>
      <c r="C420" s="595" t="s">
        <v>927</v>
      </c>
      <c r="D420" s="421" t="s">
        <v>8</v>
      </c>
      <c r="E420" s="421" t="s">
        <v>762</v>
      </c>
      <c r="F420" s="421" t="s">
        <v>11</v>
      </c>
      <c r="G420" s="421" t="s">
        <v>21</v>
      </c>
      <c r="H420" s="421" t="s">
        <v>22</v>
      </c>
      <c r="I420" s="1067" t="s">
        <v>173</v>
      </c>
      <c r="J420" s="414" t="str">
        <f t="shared" si="6"/>
        <v>ACompra de ViviendaCasco AntiguoResidencialNuevaCasaFERIA000000030000.00</v>
      </c>
      <c r="K420" s="1049">
        <v>30000</v>
      </c>
      <c r="L420" s="1049">
        <v>99999999</v>
      </c>
      <c r="M420" s="1053">
        <v>80</v>
      </c>
      <c r="N420" s="1048">
        <v>30</v>
      </c>
      <c r="O420" s="1050">
        <v>3.5</v>
      </c>
      <c r="P420" s="1053">
        <v>4.28</v>
      </c>
      <c r="Q420" s="416"/>
    </row>
    <row r="421" spans="2:17" x14ac:dyDescent="0.25">
      <c r="B421" s="415">
        <v>420</v>
      </c>
      <c r="C421" s="595" t="s">
        <v>927</v>
      </c>
      <c r="D421" s="421" t="s">
        <v>8</v>
      </c>
      <c r="E421" s="421" t="s">
        <v>762</v>
      </c>
      <c r="F421" s="421" t="s">
        <v>11</v>
      </c>
      <c r="G421" s="421" t="s">
        <v>24</v>
      </c>
      <c r="H421" s="421" t="s">
        <v>25</v>
      </c>
      <c r="I421" s="1067" t="s">
        <v>567</v>
      </c>
      <c r="J421" s="414" t="str">
        <f t="shared" si="6"/>
        <v>ACompra de ViviendaCasco AntiguoResidencialUsadaApartamentoBG000000030000.00</v>
      </c>
      <c r="K421" s="1049">
        <v>30000</v>
      </c>
      <c r="L421" s="1049">
        <v>99999999</v>
      </c>
      <c r="M421" s="1053">
        <v>80</v>
      </c>
      <c r="N421" s="1048">
        <v>30</v>
      </c>
      <c r="O421" s="1050">
        <v>3.5</v>
      </c>
      <c r="P421" s="1053">
        <v>8.56</v>
      </c>
      <c r="Q421" s="416"/>
    </row>
    <row r="422" spans="2:17" x14ac:dyDescent="0.25">
      <c r="B422" s="412">
        <v>421</v>
      </c>
      <c r="C422" s="595" t="s">
        <v>927</v>
      </c>
      <c r="D422" s="421" t="s">
        <v>8</v>
      </c>
      <c r="E422" s="421" t="s">
        <v>762</v>
      </c>
      <c r="F422" s="421" t="s">
        <v>11</v>
      </c>
      <c r="G422" s="421" t="s">
        <v>24</v>
      </c>
      <c r="H422" s="421" t="s">
        <v>25</v>
      </c>
      <c r="I422" s="1067" t="s">
        <v>913</v>
      </c>
      <c r="J422" s="414" t="str">
        <f t="shared" si="6"/>
        <v>ACompra de ViviendaCasco AntiguoResidencialUsadaApartamentoCOPA000000030000.00</v>
      </c>
      <c r="K422" s="1049">
        <v>30000</v>
      </c>
      <c r="L422" s="1049">
        <v>99999999</v>
      </c>
      <c r="M422" s="1053">
        <v>80</v>
      </c>
      <c r="N422" s="1048">
        <v>30</v>
      </c>
      <c r="O422" s="1050">
        <v>3.25</v>
      </c>
      <c r="P422" s="1050">
        <v>8.56</v>
      </c>
      <c r="Q422" s="416"/>
    </row>
    <row r="423" spans="2:17" x14ac:dyDescent="0.25">
      <c r="B423" s="415">
        <v>422</v>
      </c>
      <c r="C423" s="595" t="s">
        <v>927</v>
      </c>
      <c r="D423" s="421" t="s">
        <v>8</v>
      </c>
      <c r="E423" s="421" t="s">
        <v>762</v>
      </c>
      <c r="F423" s="421" t="s">
        <v>11</v>
      </c>
      <c r="G423" s="421" t="s">
        <v>24</v>
      </c>
      <c r="H423" s="421" t="s">
        <v>25</v>
      </c>
      <c r="I423" s="1067" t="s">
        <v>173</v>
      </c>
      <c r="J423" s="414" t="str">
        <f t="shared" si="6"/>
        <v>ACompra de ViviendaCasco AntiguoResidencialUsadaApartamentoFERIA000000030000.00</v>
      </c>
      <c r="K423" s="1049">
        <v>30000</v>
      </c>
      <c r="L423" s="1049">
        <v>99999999</v>
      </c>
      <c r="M423" s="1053">
        <v>80</v>
      </c>
      <c r="N423" s="1048">
        <v>30</v>
      </c>
      <c r="O423" s="1050">
        <v>3.5</v>
      </c>
      <c r="P423" s="1053">
        <v>4.28</v>
      </c>
      <c r="Q423" s="416"/>
    </row>
    <row r="424" spans="2:17" x14ac:dyDescent="0.25">
      <c r="B424" s="415">
        <v>423</v>
      </c>
      <c r="C424" s="595" t="s">
        <v>927</v>
      </c>
      <c r="D424" s="421" t="s">
        <v>8</v>
      </c>
      <c r="E424" s="421" t="s">
        <v>762</v>
      </c>
      <c r="F424" s="421" t="s">
        <v>11</v>
      </c>
      <c r="G424" s="421" t="s">
        <v>24</v>
      </c>
      <c r="H424" s="421" t="s">
        <v>22</v>
      </c>
      <c r="I424" s="1067" t="s">
        <v>567</v>
      </c>
      <c r="J424" s="414" t="str">
        <f t="shared" si="6"/>
        <v>ACompra de ViviendaCasco AntiguoResidencialUsadaCasaBG000000030000.00</v>
      </c>
      <c r="K424" s="1049">
        <v>30000</v>
      </c>
      <c r="L424" s="1049">
        <v>99999999</v>
      </c>
      <c r="M424" s="1053">
        <v>80</v>
      </c>
      <c r="N424" s="1048">
        <v>30</v>
      </c>
      <c r="O424" s="1050">
        <v>3.5</v>
      </c>
      <c r="P424" s="1053">
        <v>8.56</v>
      </c>
      <c r="Q424" s="416"/>
    </row>
    <row r="425" spans="2:17" x14ac:dyDescent="0.25">
      <c r="B425" s="415">
        <v>424</v>
      </c>
      <c r="C425" s="595" t="s">
        <v>927</v>
      </c>
      <c r="D425" s="421" t="s">
        <v>8</v>
      </c>
      <c r="E425" s="421" t="s">
        <v>762</v>
      </c>
      <c r="F425" s="421" t="s">
        <v>11</v>
      </c>
      <c r="G425" s="421" t="s">
        <v>24</v>
      </c>
      <c r="H425" s="421" t="s">
        <v>22</v>
      </c>
      <c r="I425" s="1067" t="s">
        <v>913</v>
      </c>
      <c r="J425" s="414" t="str">
        <f t="shared" si="6"/>
        <v>ACompra de ViviendaCasco AntiguoResidencialUsadaCasaCOPA000000030000.00</v>
      </c>
      <c r="K425" s="1049">
        <v>30000</v>
      </c>
      <c r="L425" s="1049">
        <v>99999999</v>
      </c>
      <c r="M425" s="1053">
        <v>80</v>
      </c>
      <c r="N425" s="1048">
        <v>30</v>
      </c>
      <c r="O425" s="1050">
        <v>3.25</v>
      </c>
      <c r="P425" s="1050">
        <v>8.56</v>
      </c>
      <c r="Q425" s="416"/>
    </row>
    <row r="426" spans="2:17" x14ac:dyDescent="0.25">
      <c r="B426" s="415">
        <v>425</v>
      </c>
      <c r="C426" s="595" t="s">
        <v>927</v>
      </c>
      <c r="D426" s="421" t="s">
        <v>8</v>
      </c>
      <c r="E426" s="421" t="s">
        <v>762</v>
      </c>
      <c r="F426" s="421" t="s">
        <v>11</v>
      </c>
      <c r="G426" s="421" t="s">
        <v>24</v>
      </c>
      <c r="H426" s="421" t="s">
        <v>22</v>
      </c>
      <c r="I426" s="1067" t="s">
        <v>173</v>
      </c>
      <c r="J426" s="414" t="str">
        <f t="shared" si="6"/>
        <v>ACompra de ViviendaCasco AntiguoResidencialUsadaCasaFERIA000000030000.00</v>
      </c>
      <c r="K426" s="1049">
        <v>30000</v>
      </c>
      <c r="L426" s="1049">
        <v>99999999</v>
      </c>
      <c r="M426" s="1053">
        <v>80</v>
      </c>
      <c r="N426" s="1048">
        <v>30</v>
      </c>
      <c r="O426" s="1050">
        <v>3.5</v>
      </c>
      <c r="P426" s="1053">
        <v>4.28</v>
      </c>
      <c r="Q426" s="416"/>
    </row>
    <row r="427" spans="2:17" x14ac:dyDescent="0.25">
      <c r="B427" s="412">
        <v>426</v>
      </c>
      <c r="C427" s="1374" t="s">
        <v>927</v>
      </c>
      <c r="D427" s="421" t="s">
        <v>8</v>
      </c>
      <c r="E427" s="421" t="s">
        <v>17</v>
      </c>
      <c r="F427" s="421" t="s">
        <v>752</v>
      </c>
      <c r="G427" s="421" t="s">
        <v>24</v>
      </c>
      <c r="H427" s="421" t="s">
        <v>25</v>
      </c>
      <c r="I427" s="1067" t="s">
        <v>567</v>
      </c>
      <c r="J427" s="414" t="str">
        <f t="shared" si="6"/>
        <v>ACompra de ViviendaIndividualReposeído (BG)UsadaApartamentoBG000000040000.00</v>
      </c>
      <c r="K427" s="1049">
        <v>40000</v>
      </c>
      <c r="L427" s="1049">
        <v>250000</v>
      </c>
      <c r="M427" s="1050">
        <v>90</v>
      </c>
      <c r="N427" s="1046">
        <v>25</v>
      </c>
      <c r="O427" s="1050">
        <v>6</v>
      </c>
      <c r="P427" s="1050">
        <v>8.56</v>
      </c>
      <c r="Q427" s="416"/>
    </row>
    <row r="428" spans="2:17" x14ac:dyDescent="0.25">
      <c r="B428" s="415">
        <v>427</v>
      </c>
      <c r="C428" s="1374" t="s">
        <v>927</v>
      </c>
      <c r="D428" s="421" t="s">
        <v>8</v>
      </c>
      <c r="E428" s="421" t="s">
        <v>17</v>
      </c>
      <c r="F428" s="421" t="s">
        <v>752</v>
      </c>
      <c r="G428" s="421" t="s">
        <v>24</v>
      </c>
      <c r="H428" s="421" t="s">
        <v>25</v>
      </c>
      <c r="I428" s="1067" t="s">
        <v>567</v>
      </c>
      <c r="J428" s="414" t="str">
        <f t="shared" si="6"/>
        <v>ACompra de ViviendaIndividualReposeído (BG)UsadaApartamentoBG000000250000.01</v>
      </c>
      <c r="K428" s="1049">
        <v>250000.01</v>
      </c>
      <c r="L428" s="1049">
        <v>500000</v>
      </c>
      <c r="M428" s="1050">
        <v>90</v>
      </c>
      <c r="N428" s="1046">
        <v>25</v>
      </c>
      <c r="O428" s="1050">
        <v>6</v>
      </c>
      <c r="P428" s="1050">
        <v>8.56</v>
      </c>
      <c r="Q428" s="416"/>
    </row>
    <row r="429" spans="2:17" x14ac:dyDescent="0.25">
      <c r="B429" s="415">
        <v>428</v>
      </c>
      <c r="C429" s="1374" t="s">
        <v>927</v>
      </c>
      <c r="D429" s="421" t="s">
        <v>8</v>
      </c>
      <c r="E429" s="421" t="s">
        <v>17</v>
      </c>
      <c r="F429" s="421" t="s">
        <v>752</v>
      </c>
      <c r="G429" s="421" t="s">
        <v>24</v>
      </c>
      <c r="H429" s="421" t="s">
        <v>25</v>
      </c>
      <c r="I429" s="1067" t="s">
        <v>567</v>
      </c>
      <c r="J429" s="414" t="str">
        <f t="shared" si="6"/>
        <v>ACompra de ViviendaIndividualReposeído (BG)UsadaApartamentoBG000000500000.01</v>
      </c>
      <c r="K429" s="1049">
        <v>500000.01</v>
      </c>
      <c r="L429" s="1049">
        <v>99999999</v>
      </c>
      <c r="M429" s="1050">
        <v>90</v>
      </c>
      <c r="N429" s="1046">
        <v>25</v>
      </c>
      <c r="O429" s="1050">
        <v>6</v>
      </c>
      <c r="P429" s="1050">
        <v>8.56</v>
      </c>
      <c r="Q429" s="416"/>
    </row>
    <row r="430" spans="2:17" x14ac:dyDescent="0.25">
      <c r="B430" s="415">
        <v>429</v>
      </c>
      <c r="C430" s="595" t="s">
        <v>927</v>
      </c>
      <c r="D430" s="421" t="s">
        <v>8</v>
      </c>
      <c r="E430" s="421" t="s">
        <v>17</v>
      </c>
      <c r="F430" s="421" t="s">
        <v>752</v>
      </c>
      <c r="G430" s="421" t="s">
        <v>24</v>
      </c>
      <c r="H430" s="421" t="s">
        <v>25</v>
      </c>
      <c r="I430" s="1067" t="s">
        <v>913</v>
      </c>
      <c r="J430" s="414" t="str">
        <f t="shared" si="6"/>
        <v>ACompra de ViviendaIndividualReposeído (BG)UsadaApartamentoCOPA000000030000.00</v>
      </c>
      <c r="K430" s="1049">
        <v>30000</v>
      </c>
      <c r="L430" s="1049">
        <v>250000</v>
      </c>
      <c r="M430" s="1053">
        <v>98</v>
      </c>
      <c r="N430" s="1048">
        <v>30</v>
      </c>
      <c r="O430" s="1053">
        <v>5.5</v>
      </c>
      <c r="P430" s="1050">
        <v>8.56</v>
      </c>
      <c r="Q430" s="416"/>
    </row>
    <row r="431" spans="2:17" x14ac:dyDescent="0.25">
      <c r="B431" s="415">
        <v>430</v>
      </c>
      <c r="C431" s="595" t="s">
        <v>927</v>
      </c>
      <c r="D431" s="421" t="s">
        <v>8</v>
      </c>
      <c r="E431" s="421" t="s">
        <v>17</v>
      </c>
      <c r="F431" s="421" t="s">
        <v>752</v>
      </c>
      <c r="G431" s="421" t="s">
        <v>24</v>
      </c>
      <c r="H431" s="421" t="s">
        <v>25</v>
      </c>
      <c r="I431" s="1067" t="s">
        <v>913</v>
      </c>
      <c r="J431" s="414" t="str">
        <f t="shared" si="6"/>
        <v>ACompra de ViviendaIndividualReposeído (BG)UsadaApartamentoCOPA000000250000.01</v>
      </c>
      <c r="K431" s="1049">
        <v>250000.01</v>
      </c>
      <c r="L431" s="1049">
        <v>500000</v>
      </c>
      <c r="M431" s="1053">
        <v>90</v>
      </c>
      <c r="N431" s="1048">
        <v>30</v>
      </c>
      <c r="O431" s="1050">
        <v>5.5</v>
      </c>
      <c r="P431" s="1050">
        <v>8.56</v>
      </c>
      <c r="Q431" s="416"/>
    </row>
    <row r="432" spans="2:17" x14ac:dyDescent="0.25">
      <c r="B432" s="412">
        <v>431</v>
      </c>
      <c r="C432" s="595" t="s">
        <v>927</v>
      </c>
      <c r="D432" s="421" t="s">
        <v>8</v>
      </c>
      <c r="E432" s="421" t="s">
        <v>17</v>
      </c>
      <c r="F432" s="421" t="s">
        <v>752</v>
      </c>
      <c r="G432" s="421" t="s">
        <v>24</v>
      </c>
      <c r="H432" s="421" t="s">
        <v>25</v>
      </c>
      <c r="I432" s="1067" t="s">
        <v>913</v>
      </c>
      <c r="J432" s="414" t="str">
        <f t="shared" si="6"/>
        <v>ACompra de ViviendaIndividualReposeído (BG)UsadaApartamentoCOPA000000500000.01</v>
      </c>
      <c r="K432" s="1049">
        <v>500000.01</v>
      </c>
      <c r="L432" s="1049">
        <v>99999999</v>
      </c>
      <c r="M432" s="1053">
        <v>70</v>
      </c>
      <c r="N432" s="1048">
        <v>30</v>
      </c>
      <c r="O432" s="1050">
        <v>5.25</v>
      </c>
      <c r="P432" s="1050">
        <v>8.56</v>
      </c>
      <c r="Q432" s="416"/>
    </row>
    <row r="433" spans="2:17" x14ac:dyDescent="0.25">
      <c r="B433" s="415">
        <v>432</v>
      </c>
      <c r="C433" s="595" t="s">
        <v>927</v>
      </c>
      <c r="D433" s="421" t="s">
        <v>8</v>
      </c>
      <c r="E433" s="421" t="s">
        <v>17</v>
      </c>
      <c r="F433" s="421" t="s">
        <v>752</v>
      </c>
      <c r="G433" s="421" t="s">
        <v>24</v>
      </c>
      <c r="H433" s="421" t="s">
        <v>25</v>
      </c>
      <c r="I433" s="1067" t="s">
        <v>173</v>
      </c>
      <c r="J433" s="414" t="str">
        <f t="shared" si="6"/>
        <v>ACompra de ViviendaIndividualReposeído (BG)UsadaApartamentoFERIA000000030000.00</v>
      </c>
      <c r="K433" s="1049">
        <v>30000</v>
      </c>
      <c r="L433" s="1049">
        <v>250000</v>
      </c>
      <c r="M433" s="1053">
        <v>98</v>
      </c>
      <c r="N433" s="1048">
        <v>30</v>
      </c>
      <c r="O433" s="1050">
        <v>6</v>
      </c>
      <c r="P433" s="1050">
        <v>8.56</v>
      </c>
      <c r="Q433" s="416"/>
    </row>
    <row r="434" spans="2:17" x14ac:dyDescent="0.25">
      <c r="B434" s="415">
        <v>433</v>
      </c>
      <c r="C434" s="595" t="s">
        <v>927</v>
      </c>
      <c r="D434" s="421" t="s">
        <v>8</v>
      </c>
      <c r="E434" s="421" t="s">
        <v>17</v>
      </c>
      <c r="F434" s="421" t="s">
        <v>752</v>
      </c>
      <c r="G434" s="421" t="s">
        <v>24</v>
      </c>
      <c r="H434" s="421" t="s">
        <v>25</v>
      </c>
      <c r="I434" s="1067" t="s">
        <v>173</v>
      </c>
      <c r="J434" s="414" t="str">
        <f t="shared" si="6"/>
        <v>ACompra de ViviendaIndividualReposeído (BG)UsadaApartamentoFERIA000000250000.01</v>
      </c>
      <c r="K434" s="1049">
        <v>250000.01</v>
      </c>
      <c r="L434" s="1049">
        <v>500000</v>
      </c>
      <c r="M434" s="1053">
        <v>95</v>
      </c>
      <c r="N434" s="1048">
        <v>30</v>
      </c>
      <c r="O434" s="1050">
        <v>6</v>
      </c>
      <c r="P434" s="1050">
        <v>8.56</v>
      </c>
      <c r="Q434" s="416"/>
    </row>
    <row r="435" spans="2:17" x14ac:dyDescent="0.25">
      <c r="B435" s="415">
        <v>434</v>
      </c>
      <c r="C435" s="595" t="s">
        <v>927</v>
      </c>
      <c r="D435" s="421" t="s">
        <v>8</v>
      </c>
      <c r="E435" s="421" t="s">
        <v>17</v>
      </c>
      <c r="F435" s="421" t="s">
        <v>752</v>
      </c>
      <c r="G435" s="421" t="s">
        <v>24</v>
      </c>
      <c r="H435" s="421" t="s">
        <v>25</v>
      </c>
      <c r="I435" s="1067" t="s">
        <v>173</v>
      </c>
      <c r="J435" s="414" t="str">
        <f t="shared" si="6"/>
        <v>ACompra de ViviendaIndividualReposeído (BG)UsadaApartamentoFERIA000000500000.01</v>
      </c>
      <c r="K435" s="1049">
        <v>500000.01</v>
      </c>
      <c r="L435" s="1049">
        <v>99999999</v>
      </c>
      <c r="M435" s="1053">
        <v>95</v>
      </c>
      <c r="N435" s="1048">
        <v>30</v>
      </c>
      <c r="O435" s="1050">
        <v>6</v>
      </c>
      <c r="P435" s="1050">
        <v>8.56</v>
      </c>
      <c r="Q435" s="416"/>
    </row>
    <row r="436" spans="2:17" x14ac:dyDescent="0.25">
      <c r="B436" s="415">
        <v>435</v>
      </c>
      <c r="C436" s="1374" t="s">
        <v>927</v>
      </c>
      <c r="D436" s="421" t="s">
        <v>8</v>
      </c>
      <c r="E436" s="421" t="s">
        <v>17</v>
      </c>
      <c r="F436" s="421" t="s">
        <v>752</v>
      </c>
      <c r="G436" s="421" t="s">
        <v>24</v>
      </c>
      <c r="H436" s="421" t="s">
        <v>22</v>
      </c>
      <c r="I436" s="1067" t="s">
        <v>567</v>
      </c>
      <c r="J436" s="414" t="str">
        <f t="shared" si="6"/>
        <v>ACompra de ViviendaIndividualReposeído (BG)UsadaCasaBG000000040000.00</v>
      </c>
      <c r="K436" s="1049">
        <v>40000</v>
      </c>
      <c r="L436" s="1047">
        <v>250000</v>
      </c>
      <c r="M436" s="1050">
        <v>90</v>
      </c>
      <c r="N436" s="1046">
        <v>25</v>
      </c>
      <c r="O436" s="1050">
        <v>6</v>
      </c>
      <c r="P436" s="1050">
        <v>8.56</v>
      </c>
      <c r="Q436" s="416"/>
    </row>
    <row r="437" spans="2:17" x14ac:dyDescent="0.25">
      <c r="B437" s="412">
        <v>436</v>
      </c>
      <c r="C437" s="1374" t="s">
        <v>927</v>
      </c>
      <c r="D437" s="421" t="s">
        <v>8</v>
      </c>
      <c r="E437" s="421" t="s">
        <v>17</v>
      </c>
      <c r="F437" s="421" t="s">
        <v>752</v>
      </c>
      <c r="G437" s="421" t="s">
        <v>24</v>
      </c>
      <c r="H437" s="421" t="s">
        <v>22</v>
      </c>
      <c r="I437" s="1067" t="s">
        <v>567</v>
      </c>
      <c r="J437" s="414" t="str">
        <f t="shared" si="6"/>
        <v>ACompra de ViviendaIndividualReposeído (BG)UsadaCasaBG000000250000.01</v>
      </c>
      <c r="K437" s="1047">
        <v>250000.01</v>
      </c>
      <c r="L437" s="1047">
        <v>500000</v>
      </c>
      <c r="M437" s="1050">
        <v>90</v>
      </c>
      <c r="N437" s="1046">
        <v>25</v>
      </c>
      <c r="O437" s="1050">
        <v>6</v>
      </c>
      <c r="P437" s="1050">
        <v>8.56</v>
      </c>
      <c r="Q437" s="416"/>
    </row>
    <row r="438" spans="2:17" x14ac:dyDescent="0.25">
      <c r="B438" s="415">
        <v>437</v>
      </c>
      <c r="C438" s="1374" t="s">
        <v>927</v>
      </c>
      <c r="D438" s="421" t="s">
        <v>8</v>
      </c>
      <c r="E438" s="421" t="s">
        <v>17</v>
      </c>
      <c r="F438" s="421" t="s">
        <v>752</v>
      </c>
      <c r="G438" s="421" t="s">
        <v>24</v>
      </c>
      <c r="H438" s="421" t="s">
        <v>22</v>
      </c>
      <c r="I438" s="1067" t="s">
        <v>567</v>
      </c>
      <c r="J438" s="414" t="str">
        <f t="shared" si="6"/>
        <v>ACompra de ViviendaIndividualReposeído (BG)UsadaCasaBG000000500000.01</v>
      </c>
      <c r="K438" s="1047">
        <v>500000.01</v>
      </c>
      <c r="L438" s="1049">
        <v>99999999</v>
      </c>
      <c r="M438" s="1050">
        <v>90</v>
      </c>
      <c r="N438" s="1046">
        <v>25</v>
      </c>
      <c r="O438" s="1050">
        <v>6</v>
      </c>
      <c r="P438" s="1050">
        <v>8.56</v>
      </c>
      <c r="Q438" s="416"/>
    </row>
    <row r="439" spans="2:17" x14ac:dyDescent="0.25">
      <c r="B439" s="415">
        <v>438</v>
      </c>
      <c r="C439" s="595" t="s">
        <v>927</v>
      </c>
      <c r="D439" s="421" t="s">
        <v>8</v>
      </c>
      <c r="E439" s="421" t="s">
        <v>17</v>
      </c>
      <c r="F439" s="421" t="s">
        <v>752</v>
      </c>
      <c r="G439" s="421" t="s">
        <v>24</v>
      </c>
      <c r="H439" s="421" t="s">
        <v>22</v>
      </c>
      <c r="I439" s="1067" t="s">
        <v>913</v>
      </c>
      <c r="J439" s="414" t="str">
        <f t="shared" si="6"/>
        <v>ACompra de ViviendaIndividualReposeído (BG)UsadaCasaCOPA000000030000.00</v>
      </c>
      <c r="K439" s="1049">
        <v>30000</v>
      </c>
      <c r="L439" s="1049">
        <v>250000</v>
      </c>
      <c r="M439" s="1053">
        <v>98</v>
      </c>
      <c r="N439" s="1048">
        <v>30</v>
      </c>
      <c r="O439" s="1053">
        <v>5.5</v>
      </c>
      <c r="P439" s="1050">
        <v>8.56</v>
      </c>
      <c r="Q439" s="416"/>
    </row>
    <row r="440" spans="2:17" x14ac:dyDescent="0.25">
      <c r="B440" s="415">
        <v>439</v>
      </c>
      <c r="C440" s="595" t="s">
        <v>927</v>
      </c>
      <c r="D440" s="421" t="s">
        <v>8</v>
      </c>
      <c r="E440" s="421" t="s">
        <v>17</v>
      </c>
      <c r="F440" s="421" t="s">
        <v>752</v>
      </c>
      <c r="G440" s="421" t="s">
        <v>24</v>
      </c>
      <c r="H440" s="421" t="s">
        <v>22</v>
      </c>
      <c r="I440" s="1067" t="s">
        <v>913</v>
      </c>
      <c r="J440" s="414" t="str">
        <f t="shared" si="6"/>
        <v>ACompra de ViviendaIndividualReposeído (BG)UsadaCasaCOPA000000250000.01</v>
      </c>
      <c r="K440" s="1047">
        <v>250000.01</v>
      </c>
      <c r="L440" s="1047">
        <v>500000</v>
      </c>
      <c r="M440" s="1053">
        <v>90</v>
      </c>
      <c r="N440" s="1048">
        <v>30</v>
      </c>
      <c r="O440" s="1053">
        <v>5.5</v>
      </c>
      <c r="P440" s="1050">
        <v>8.56</v>
      </c>
      <c r="Q440" s="416"/>
    </row>
    <row r="441" spans="2:17" x14ac:dyDescent="0.25">
      <c r="B441" s="415">
        <v>440</v>
      </c>
      <c r="C441" s="595" t="s">
        <v>927</v>
      </c>
      <c r="D441" s="421" t="s">
        <v>8</v>
      </c>
      <c r="E441" s="421" t="s">
        <v>17</v>
      </c>
      <c r="F441" s="421" t="s">
        <v>752</v>
      </c>
      <c r="G441" s="421" t="s">
        <v>24</v>
      </c>
      <c r="H441" s="421" t="s">
        <v>22</v>
      </c>
      <c r="I441" s="1067" t="s">
        <v>913</v>
      </c>
      <c r="J441" s="414" t="str">
        <f t="shared" si="6"/>
        <v>ACompra de ViviendaIndividualReposeído (BG)UsadaCasaCOPA000000500000.01</v>
      </c>
      <c r="K441" s="1047">
        <v>500000.01</v>
      </c>
      <c r="L441" s="1049">
        <v>99999999</v>
      </c>
      <c r="M441" s="1053">
        <v>70</v>
      </c>
      <c r="N441" s="1048">
        <v>30</v>
      </c>
      <c r="O441" s="1053">
        <v>5.25</v>
      </c>
      <c r="P441" s="1050">
        <v>8.56</v>
      </c>
      <c r="Q441" s="416"/>
    </row>
    <row r="442" spans="2:17" x14ac:dyDescent="0.25">
      <c r="B442" s="412">
        <v>441</v>
      </c>
      <c r="C442" s="595" t="s">
        <v>927</v>
      </c>
      <c r="D442" s="421" t="s">
        <v>8</v>
      </c>
      <c r="E442" s="421" t="s">
        <v>17</v>
      </c>
      <c r="F442" s="421" t="s">
        <v>752</v>
      </c>
      <c r="G442" s="421" t="s">
        <v>24</v>
      </c>
      <c r="H442" s="421" t="s">
        <v>22</v>
      </c>
      <c r="I442" s="1067" t="s">
        <v>173</v>
      </c>
      <c r="J442" s="414" t="str">
        <f t="shared" si="6"/>
        <v>ACompra de ViviendaIndividualReposeído (BG)UsadaCasaFERIA000000030000.00</v>
      </c>
      <c r="K442" s="1049">
        <v>30000</v>
      </c>
      <c r="L442" s="1047">
        <v>250000</v>
      </c>
      <c r="M442" s="1053">
        <v>98</v>
      </c>
      <c r="N442" s="1048">
        <v>30</v>
      </c>
      <c r="O442" s="1050">
        <v>6</v>
      </c>
      <c r="P442" s="1050">
        <v>8.56</v>
      </c>
      <c r="Q442" s="416"/>
    </row>
    <row r="443" spans="2:17" x14ac:dyDescent="0.25">
      <c r="B443" s="415">
        <v>442</v>
      </c>
      <c r="C443" s="595" t="s">
        <v>927</v>
      </c>
      <c r="D443" s="421" t="s">
        <v>8</v>
      </c>
      <c r="E443" s="421" t="s">
        <v>17</v>
      </c>
      <c r="F443" s="421" t="s">
        <v>752</v>
      </c>
      <c r="G443" s="421" t="s">
        <v>24</v>
      </c>
      <c r="H443" s="421" t="s">
        <v>22</v>
      </c>
      <c r="I443" s="1067" t="s">
        <v>173</v>
      </c>
      <c r="J443" s="414" t="str">
        <f t="shared" si="6"/>
        <v>ACompra de ViviendaIndividualReposeído (BG)UsadaCasaFERIA000000250000.01</v>
      </c>
      <c r="K443" s="1047">
        <v>250000.01</v>
      </c>
      <c r="L443" s="1047">
        <v>500000</v>
      </c>
      <c r="M443" s="1053">
        <v>95</v>
      </c>
      <c r="N443" s="1048">
        <v>30</v>
      </c>
      <c r="O443" s="1050">
        <v>6</v>
      </c>
      <c r="P443" s="1050">
        <v>8.56</v>
      </c>
      <c r="Q443" s="416"/>
    </row>
    <row r="444" spans="2:17" x14ac:dyDescent="0.25">
      <c r="B444" s="415">
        <v>443</v>
      </c>
      <c r="C444" s="595" t="s">
        <v>927</v>
      </c>
      <c r="D444" s="421" t="s">
        <v>8</v>
      </c>
      <c r="E444" s="421" t="s">
        <v>17</v>
      </c>
      <c r="F444" s="421" t="s">
        <v>752</v>
      </c>
      <c r="G444" s="421" t="s">
        <v>24</v>
      </c>
      <c r="H444" s="421" t="s">
        <v>22</v>
      </c>
      <c r="I444" s="1067" t="s">
        <v>173</v>
      </c>
      <c r="J444" s="414" t="str">
        <f t="shared" si="6"/>
        <v>ACompra de ViviendaIndividualReposeído (BG)UsadaCasaFERIA000000500000.01</v>
      </c>
      <c r="K444" s="1047">
        <v>500000.01</v>
      </c>
      <c r="L444" s="1049">
        <v>99999999</v>
      </c>
      <c r="M444" s="1053">
        <v>95</v>
      </c>
      <c r="N444" s="1048">
        <v>30</v>
      </c>
      <c r="O444" s="1050">
        <v>6</v>
      </c>
      <c r="P444" s="1050">
        <v>8.56</v>
      </c>
      <c r="Q444" s="416"/>
    </row>
    <row r="445" spans="2:17" x14ac:dyDescent="0.25">
      <c r="B445" s="415">
        <v>444</v>
      </c>
      <c r="C445" s="1374" t="s">
        <v>927</v>
      </c>
      <c r="D445" s="421" t="s">
        <v>8</v>
      </c>
      <c r="E445" s="421" t="s">
        <v>17</v>
      </c>
      <c r="F445" s="421" t="s">
        <v>11</v>
      </c>
      <c r="G445" s="421" t="s">
        <v>21</v>
      </c>
      <c r="H445" s="421" t="s">
        <v>25</v>
      </c>
      <c r="I445" s="1067" t="s">
        <v>567</v>
      </c>
      <c r="J445" s="414" t="str">
        <f t="shared" si="6"/>
        <v>ACompra de ViviendaIndividualResidencialNuevaApartamentoBG000000040000.00</v>
      </c>
      <c r="K445" s="1049">
        <v>40000</v>
      </c>
      <c r="L445" s="1049">
        <v>100000</v>
      </c>
      <c r="M445" s="1053">
        <v>95</v>
      </c>
      <c r="N445" s="1048">
        <v>30</v>
      </c>
      <c r="O445" s="1050">
        <v>6</v>
      </c>
      <c r="P445" s="1050">
        <v>8.56</v>
      </c>
      <c r="Q445" s="416"/>
    </row>
    <row r="446" spans="2:17" x14ac:dyDescent="0.25">
      <c r="B446" s="415">
        <v>445</v>
      </c>
      <c r="C446" s="1374" t="s">
        <v>927</v>
      </c>
      <c r="D446" s="421" t="s">
        <v>8</v>
      </c>
      <c r="E446" s="421" t="s">
        <v>17</v>
      </c>
      <c r="F446" s="421" t="s">
        <v>11</v>
      </c>
      <c r="G446" s="421" t="s">
        <v>21</v>
      </c>
      <c r="H446" s="421" t="s">
        <v>25</v>
      </c>
      <c r="I446" s="1067" t="s">
        <v>567</v>
      </c>
      <c r="J446" s="414" t="str">
        <f t="shared" si="6"/>
        <v>ACompra de ViviendaIndividualResidencialNuevaApartamentoBG000000100000.01</v>
      </c>
      <c r="K446" s="1049">
        <v>100000.01</v>
      </c>
      <c r="L446" s="1049">
        <v>250000</v>
      </c>
      <c r="M446" s="1053">
        <v>95</v>
      </c>
      <c r="N446" s="1048">
        <v>30</v>
      </c>
      <c r="O446" s="1053">
        <v>6</v>
      </c>
      <c r="P446" s="1050">
        <v>8.56</v>
      </c>
      <c r="Q446" s="416"/>
    </row>
    <row r="447" spans="2:17" x14ac:dyDescent="0.25">
      <c r="B447" s="412">
        <v>446</v>
      </c>
      <c r="C447" s="1374" t="s">
        <v>927</v>
      </c>
      <c r="D447" s="421" t="s">
        <v>8</v>
      </c>
      <c r="E447" s="421" t="s">
        <v>17</v>
      </c>
      <c r="F447" s="421" t="s">
        <v>11</v>
      </c>
      <c r="G447" s="421" t="s">
        <v>21</v>
      </c>
      <c r="H447" s="421" t="s">
        <v>25</v>
      </c>
      <c r="I447" s="1067" t="s">
        <v>567</v>
      </c>
      <c r="J447" s="414" t="str">
        <f t="shared" si="6"/>
        <v>ACompra de ViviendaIndividualResidencialNuevaApartamentoBG000000250000.01</v>
      </c>
      <c r="K447" s="1049">
        <v>250000.01</v>
      </c>
      <c r="L447" s="1049">
        <v>600000</v>
      </c>
      <c r="M447" s="1053">
        <v>90</v>
      </c>
      <c r="N447" s="1048">
        <v>30</v>
      </c>
      <c r="O447" s="1053">
        <v>6</v>
      </c>
      <c r="P447" s="1050">
        <v>8.56</v>
      </c>
      <c r="Q447" s="416"/>
    </row>
    <row r="448" spans="2:17" x14ac:dyDescent="0.25">
      <c r="B448" s="415">
        <v>447</v>
      </c>
      <c r="C448" s="1374" t="s">
        <v>927</v>
      </c>
      <c r="D448" s="421" t="s">
        <v>8</v>
      </c>
      <c r="E448" s="421" t="s">
        <v>17</v>
      </c>
      <c r="F448" s="421" t="s">
        <v>11</v>
      </c>
      <c r="G448" s="421" t="s">
        <v>21</v>
      </c>
      <c r="H448" s="421" t="s">
        <v>25</v>
      </c>
      <c r="I448" s="1067" t="s">
        <v>567</v>
      </c>
      <c r="J448" s="414" t="str">
        <f t="shared" si="6"/>
        <v>ACompra de ViviendaIndividualResidencialNuevaApartamentoBG000000600000.01</v>
      </c>
      <c r="K448" s="1049">
        <v>600000.01</v>
      </c>
      <c r="L448" s="1049">
        <v>99999999</v>
      </c>
      <c r="M448" s="1053">
        <v>75</v>
      </c>
      <c r="N448" s="1048">
        <v>30</v>
      </c>
      <c r="O448" s="1053">
        <v>6</v>
      </c>
      <c r="P448" s="1050">
        <v>8.56</v>
      </c>
      <c r="Q448" s="416"/>
    </row>
    <row r="449" spans="2:17" x14ac:dyDescent="0.25">
      <c r="B449" s="415">
        <v>448</v>
      </c>
      <c r="C449" s="595" t="s">
        <v>927</v>
      </c>
      <c r="D449" s="421" t="s">
        <v>8</v>
      </c>
      <c r="E449" s="421" t="s">
        <v>17</v>
      </c>
      <c r="F449" s="421" t="s">
        <v>11</v>
      </c>
      <c r="G449" s="421" t="s">
        <v>21</v>
      </c>
      <c r="H449" s="421" t="s">
        <v>25</v>
      </c>
      <c r="I449" s="1067" t="s">
        <v>913</v>
      </c>
      <c r="J449" s="414" t="str">
        <f t="shared" si="6"/>
        <v>ACompra de ViviendaIndividualResidencialNuevaApartamentoCOPA000000030000.00</v>
      </c>
      <c r="K449" s="1049">
        <v>30000</v>
      </c>
      <c r="L449" s="1049">
        <v>100000</v>
      </c>
      <c r="M449" s="1053">
        <v>95</v>
      </c>
      <c r="N449" s="1048">
        <v>30</v>
      </c>
      <c r="O449" s="1053">
        <v>5.75</v>
      </c>
      <c r="P449" s="1050">
        <v>8.56</v>
      </c>
      <c r="Q449" s="416"/>
    </row>
    <row r="450" spans="2:17" x14ac:dyDescent="0.25">
      <c r="B450" s="415">
        <v>449</v>
      </c>
      <c r="C450" s="595" t="s">
        <v>927</v>
      </c>
      <c r="D450" s="421" t="s">
        <v>8</v>
      </c>
      <c r="E450" s="421" t="s">
        <v>17</v>
      </c>
      <c r="F450" s="421" t="s">
        <v>11</v>
      </c>
      <c r="G450" s="421" t="s">
        <v>21</v>
      </c>
      <c r="H450" s="421" t="s">
        <v>25</v>
      </c>
      <c r="I450" s="1067" t="s">
        <v>913</v>
      </c>
      <c r="J450" s="414" t="str">
        <f t="shared" ref="J450:J513" si="7">C450&amp;D450&amp;E450&amp;F450&amp;G450&amp;H450&amp;I450 &amp; REPT("0",15-LEN(K450 &amp; IF(IFERROR(FIND(".",K450&amp;""),0)=0,".00","")))&amp;K450 &amp; IF(IFERROR(FIND(".",K450&amp;""),0)=0,".00","")</f>
        <v>ACompra de ViviendaIndividualResidencialNuevaApartamentoCOPA000000100000.01</v>
      </c>
      <c r="K450" s="1049">
        <v>100000.01</v>
      </c>
      <c r="L450" s="1049">
        <v>250000</v>
      </c>
      <c r="M450" s="1053">
        <v>90</v>
      </c>
      <c r="N450" s="1048">
        <v>30</v>
      </c>
      <c r="O450" s="1053">
        <v>5.75</v>
      </c>
      <c r="P450" s="1050">
        <v>8.56</v>
      </c>
      <c r="Q450" s="416"/>
    </row>
    <row r="451" spans="2:17" x14ac:dyDescent="0.25">
      <c r="B451" s="415">
        <v>450</v>
      </c>
      <c r="C451" s="595" t="s">
        <v>927</v>
      </c>
      <c r="D451" s="421" t="s">
        <v>8</v>
      </c>
      <c r="E451" s="421" t="s">
        <v>17</v>
      </c>
      <c r="F451" s="421" t="s">
        <v>11</v>
      </c>
      <c r="G451" s="421" t="s">
        <v>21</v>
      </c>
      <c r="H451" s="421" t="s">
        <v>25</v>
      </c>
      <c r="I451" s="1067" t="s">
        <v>913</v>
      </c>
      <c r="J451" s="414" t="str">
        <f t="shared" si="7"/>
        <v>ACompra de ViviendaIndividualResidencialNuevaApartamentoCOPA000000250000.01</v>
      </c>
      <c r="K451" s="1049">
        <v>250000.01</v>
      </c>
      <c r="L451" s="1049">
        <v>600000</v>
      </c>
      <c r="M451" s="1053">
        <v>80</v>
      </c>
      <c r="N451" s="1048">
        <v>30</v>
      </c>
      <c r="O451" s="1053">
        <v>5.5</v>
      </c>
      <c r="P451" s="1050">
        <v>8.56</v>
      </c>
      <c r="Q451" s="416"/>
    </row>
    <row r="452" spans="2:17" x14ac:dyDescent="0.25">
      <c r="B452" s="412">
        <v>451</v>
      </c>
      <c r="C452" s="595" t="s">
        <v>927</v>
      </c>
      <c r="D452" s="421" t="s">
        <v>8</v>
      </c>
      <c r="E452" s="421" t="s">
        <v>17</v>
      </c>
      <c r="F452" s="421" t="s">
        <v>11</v>
      </c>
      <c r="G452" s="421" t="s">
        <v>21</v>
      </c>
      <c r="H452" s="421" t="s">
        <v>25</v>
      </c>
      <c r="I452" s="1067" t="s">
        <v>913</v>
      </c>
      <c r="J452" s="414" t="str">
        <f t="shared" si="7"/>
        <v>ACompra de ViviendaIndividualResidencialNuevaApartamentoCOPA000000600000.01</v>
      </c>
      <c r="K452" s="1049">
        <v>600000.01</v>
      </c>
      <c r="L452" s="1049">
        <v>99999999</v>
      </c>
      <c r="M452" s="1053">
        <v>70</v>
      </c>
      <c r="N452" s="1048">
        <v>30</v>
      </c>
      <c r="O452" s="1053">
        <v>5.25</v>
      </c>
      <c r="P452" s="1050">
        <v>8.56</v>
      </c>
      <c r="Q452" s="416"/>
    </row>
    <row r="453" spans="2:17" x14ac:dyDescent="0.25">
      <c r="B453" s="415">
        <v>452</v>
      </c>
      <c r="C453" s="595" t="s">
        <v>927</v>
      </c>
      <c r="D453" s="421" t="s">
        <v>8</v>
      </c>
      <c r="E453" s="421" t="s">
        <v>17</v>
      </c>
      <c r="F453" s="421" t="s">
        <v>11</v>
      </c>
      <c r="G453" s="421" t="s">
        <v>21</v>
      </c>
      <c r="H453" s="421" t="s">
        <v>25</v>
      </c>
      <c r="I453" s="1067" t="s">
        <v>173</v>
      </c>
      <c r="J453" s="414" t="str">
        <f t="shared" si="7"/>
        <v>ACompra de ViviendaIndividualResidencialNuevaApartamentoFERIA000000030000.00</v>
      </c>
      <c r="K453" s="1049">
        <v>30000</v>
      </c>
      <c r="L453" s="1049">
        <v>100000</v>
      </c>
      <c r="M453" s="1053">
        <v>95</v>
      </c>
      <c r="N453" s="1048">
        <v>30</v>
      </c>
      <c r="O453" s="1053">
        <v>6</v>
      </c>
      <c r="P453" s="1050">
        <v>8.56</v>
      </c>
      <c r="Q453" s="416"/>
    </row>
    <row r="454" spans="2:17" x14ac:dyDescent="0.25">
      <c r="B454" s="415">
        <v>453</v>
      </c>
      <c r="C454" s="595" t="s">
        <v>927</v>
      </c>
      <c r="D454" s="421" t="s">
        <v>8</v>
      </c>
      <c r="E454" s="421" t="s">
        <v>17</v>
      </c>
      <c r="F454" s="421" t="s">
        <v>11</v>
      </c>
      <c r="G454" s="421" t="s">
        <v>21</v>
      </c>
      <c r="H454" s="421" t="s">
        <v>25</v>
      </c>
      <c r="I454" s="1067" t="s">
        <v>173</v>
      </c>
      <c r="J454" s="414" t="str">
        <f t="shared" si="7"/>
        <v>ACompra de ViviendaIndividualResidencialNuevaApartamentoFERIA000000100000.01</v>
      </c>
      <c r="K454" s="1049">
        <v>100000.01</v>
      </c>
      <c r="L454" s="1049">
        <v>250000</v>
      </c>
      <c r="M454" s="1053">
        <v>90</v>
      </c>
      <c r="N454" s="1048">
        <v>30</v>
      </c>
      <c r="O454" s="1053">
        <v>6</v>
      </c>
      <c r="P454" s="1050">
        <v>8.56</v>
      </c>
      <c r="Q454" s="416"/>
    </row>
    <row r="455" spans="2:17" x14ac:dyDescent="0.25">
      <c r="B455" s="415">
        <v>454</v>
      </c>
      <c r="C455" s="595" t="s">
        <v>927</v>
      </c>
      <c r="D455" s="421" t="s">
        <v>8</v>
      </c>
      <c r="E455" s="421" t="s">
        <v>17</v>
      </c>
      <c r="F455" s="421" t="s">
        <v>11</v>
      </c>
      <c r="G455" s="421" t="s">
        <v>21</v>
      </c>
      <c r="H455" s="421" t="s">
        <v>25</v>
      </c>
      <c r="I455" s="1067" t="s">
        <v>173</v>
      </c>
      <c r="J455" s="414" t="str">
        <f t="shared" si="7"/>
        <v>ACompra de ViviendaIndividualResidencialNuevaApartamentoFERIA000000250000.01</v>
      </c>
      <c r="K455" s="1049">
        <v>250000.01</v>
      </c>
      <c r="L455" s="1049">
        <v>600000</v>
      </c>
      <c r="M455" s="1053">
        <v>80</v>
      </c>
      <c r="N455" s="1048">
        <v>30</v>
      </c>
      <c r="O455" s="1053">
        <v>6</v>
      </c>
      <c r="P455" s="1050">
        <v>8.56</v>
      </c>
      <c r="Q455" s="416"/>
    </row>
    <row r="456" spans="2:17" x14ac:dyDescent="0.25">
      <c r="B456" s="415">
        <v>455</v>
      </c>
      <c r="C456" s="595" t="s">
        <v>927</v>
      </c>
      <c r="D456" s="421" t="s">
        <v>8</v>
      </c>
      <c r="E456" s="421" t="s">
        <v>17</v>
      </c>
      <c r="F456" s="421" t="s">
        <v>11</v>
      </c>
      <c r="G456" s="421" t="s">
        <v>21</v>
      </c>
      <c r="H456" s="421" t="s">
        <v>25</v>
      </c>
      <c r="I456" s="1067" t="s">
        <v>173</v>
      </c>
      <c r="J456" s="414" t="str">
        <f t="shared" si="7"/>
        <v>ACompra de ViviendaIndividualResidencialNuevaApartamentoFERIA000000600000.01</v>
      </c>
      <c r="K456" s="1049">
        <v>600000.01</v>
      </c>
      <c r="L456" s="1049">
        <v>99999999</v>
      </c>
      <c r="M456" s="1053">
        <v>70</v>
      </c>
      <c r="N456" s="1048">
        <v>30</v>
      </c>
      <c r="O456" s="1053">
        <v>6</v>
      </c>
      <c r="P456" s="1050">
        <v>8.56</v>
      </c>
      <c r="Q456" s="416"/>
    </row>
    <row r="457" spans="2:17" x14ac:dyDescent="0.25">
      <c r="B457" s="412">
        <v>456</v>
      </c>
      <c r="C457" s="1374" t="s">
        <v>927</v>
      </c>
      <c r="D457" s="421" t="s">
        <v>8</v>
      </c>
      <c r="E457" s="421" t="s">
        <v>17</v>
      </c>
      <c r="F457" s="421" t="s">
        <v>11</v>
      </c>
      <c r="G457" s="421" t="s">
        <v>21</v>
      </c>
      <c r="H457" s="421" t="s">
        <v>22</v>
      </c>
      <c r="I457" s="1067" t="s">
        <v>567</v>
      </c>
      <c r="J457" s="414" t="str">
        <f t="shared" si="7"/>
        <v>ACompra de ViviendaIndividualResidencialNuevaCasaBG000000018000.00</v>
      </c>
      <c r="K457" s="1049">
        <v>18000</v>
      </c>
      <c r="L457" s="1049">
        <v>100000</v>
      </c>
      <c r="M457" s="1053">
        <v>95</v>
      </c>
      <c r="N457" s="1048">
        <v>30</v>
      </c>
      <c r="O457" s="1053">
        <v>6</v>
      </c>
      <c r="P457" s="1050">
        <v>8.56</v>
      </c>
      <c r="Q457" s="416"/>
    </row>
    <row r="458" spans="2:17" x14ac:dyDescent="0.25">
      <c r="B458" s="415">
        <v>457</v>
      </c>
      <c r="C458" s="1374" t="s">
        <v>927</v>
      </c>
      <c r="D458" s="421" t="s">
        <v>8</v>
      </c>
      <c r="E458" s="421" t="s">
        <v>17</v>
      </c>
      <c r="F458" s="421" t="s">
        <v>11</v>
      </c>
      <c r="G458" s="421" t="s">
        <v>21</v>
      </c>
      <c r="H458" s="421" t="s">
        <v>22</v>
      </c>
      <c r="I458" s="1067" t="s">
        <v>567</v>
      </c>
      <c r="J458" s="414" t="str">
        <f t="shared" si="7"/>
        <v>ACompra de ViviendaIndividualResidencialNuevaCasaBG000000100000.01</v>
      </c>
      <c r="K458" s="1049">
        <v>100000.01</v>
      </c>
      <c r="L458" s="1049">
        <v>250000</v>
      </c>
      <c r="M458" s="1053">
        <v>95</v>
      </c>
      <c r="N458" s="1048">
        <v>30</v>
      </c>
      <c r="O458" s="1053">
        <v>6</v>
      </c>
      <c r="P458" s="1050">
        <v>8.56</v>
      </c>
      <c r="Q458" s="416"/>
    </row>
    <row r="459" spans="2:17" x14ac:dyDescent="0.25">
      <c r="B459" s="415">
        <v>458</v>
      </c>
      <c r="C459" s="1374" t="s">
        <v>927</v>
      </c>
      <c r="D459" s="421" t="s">
        <v>8</v>
      </c>
      <c r="E459" s="421" t="s">
        <v>17</v>
      </c>
      <c r="F459" s="421" t="s">
        <v>11</v>
      </c>
      <c r="G459" s="421" t="s">
        <v>21</v>
      </c>
      <c r="H459" s="421" t="s">
        <v>22</v>
      </c>
      <c r="I459" s="1067" t="s">
        <v>567</v>
      </c>
      <c r="J459" s="414" t="str">
        <f t="shared" si="7"/>
        <v>ACompra de ViviendaIndividualResidencialNuevaCasaBG000000250000.01</v>
      </c>
      <c r="K459" s="1049">
        <v>250000.01</v>
      </c>
      <c r="L459" s="1049">
        <v>600000</v>
      </c>
      <c r="M459" s="1053">
        <v>90</v>
      </c>
      <c r="N459" s="1048">
        <v>30</v>
      </c>
      <c r="O459" s="1053">
        <v>6</v>
      </c>
      <c r="P459" s="1050">
        <v>8.56</v>
      </c>
      <c r="Q459" s="416"/>
    </row>
    <row r="460" spans="2:17" x14ac:dyDescent="0.25">
      <c r="B460" s="415">
        <v>459</v>
      </c>
      <c r="C460" s="1374" t="s">
        <v>927</v>
      </c>
      <c r="D460" s="421" t="s">
        <v>8</v>
      </c>
      <c r="E460" s="421" t="s">
        <v>17</v>
      </c>
      <c r="F460" s="421" t="s">
        <v>11</v>
      </c>
      <c r="G460" s="421" t="s">
        <v>21</v>
      </c>
      <c r="H460" s="421" t="s">
        <v>22</v>
      </c>
      <c r="I460" s="1067" t="s">
        <v>567</v>
      </c>
      <c r="J460" s="414" t="str">
        <f t="shared" si="7"/>
        <v>ACompra de ViviendaIndividualResidencialNuevaCasaBG000000600000.01</v>
      </c>
      <c r="K460" s="1049">
        <v>600000.01</v>
      </c>
      <c r="L460" s="1049">
        <v>99999999</v>
      </c>
      <c r="M460" s="1053">
        <v>75</v>
      </c>
      <c r="N460" s="1048">
        <v>30</v>
      </c>
      <c r="O460" s="1050">
        <v>6</v>
      </c>
      <c r="P460" s="1050">
        <v>8.56</v>
      </c>
      <c r="Q460" s="416"/>
    </row>
    <row r="461" spans="2:17" x14ac:dyDescent="0.25">
      <c r="B461" s="415">
        <v>460</v>
      </c>
      <c r="C461" s="595" t="s">
        <v>927</v>
      </c>
      <c r="D461" s="421" t="s">
        <v>8</v>
      </c>
      <c r="E461" s="421" t="s">
        <v>17</v>
      </c>
      <c r="F461" s="421" t="s">
        <v>11</v>
      </c>
      <c r="G461" s="421" t="s">
        <v>21</v>
      </c>
      <c r="H461" s="421" t="s">
        <v>22</v>
      </c>
      <c r="I461" s="1067" t="s">
        <v>913</v>
      </c>
      <c r="J461" s="414" t="str">
        <f t="shared" si="7"/>
        <v>ACompra de ViviendaIndividualResidencialNuevaCasaCOPA000000018000.00</v>
      </c>
      <c r="K461" s="1049">
        <v>18000</v>
      </c>
      <c r="L461" s="1049">
        <v>100000</v>
      </c>
      <c r="M461" s="1053">
        <v>95</v>
      </c>
      <c r="N461" s="1048">
        <v>30</v>
      </c>
      <c r="O461" s="1050">
        <v>5.75</v>
      </c>
      <c r="P461" s="1050">
        <v>8.56</v>
      </c>
      <c r="Q461" s="416"/>
    </row>
    <row r="462" spans="2:17" x14ac:dyDescent="0.25">
      <c r="B462" s="412">
        <v>461</v>
      </c>
      <c r="C462" s="595" t="s">
        <v>927</v>
      </c>
      <c r="D462" s="421" t="s">
        <v>8</v>
      </c>
      <c r="E462" s="421" t="s">
        <v>17</v>
      </c>
      <c r="F462" s="421" t="s">
        <v>11</v>
      </c>
      <c r="G462" s="421" t="s">
        <v>21</v>
      </c>
      <c r="H462" s="421" t="s">
        <v>22</v>
      </c>
      <c r="I462" s="1067" t="s">
        <v>913</v>
      </c>
      <c r="J462" s="414" t="str">
        <f t="shared" si="7"/>
        <v>ACompra de ViviendaIndividualResidencialNuevaCasaCOPA000000100000.01</v>
      </c>
      <c r="K462" s="1049">
        <v>100000.01</v>
      </c>
      <c r="L462" s="1049">
        <v>250000</v>
      </c>
      <c r="M462" s="1053">
        <v>90</v>
      </c>
      <c r="N462" s="1048">
        <v>30</v>
      </c>
      <c r="O462" s="1053">
        <v>5.75</v>
      </c>
      <c r="P462" s="1050">
        <v>8.56</v>
      </c>
      <c r="Q462" s="416"/>
    </row>
    <row r="463" spans="2:17" x14ac:dyDescent="0.25">
      <c r="B463" s="415">
        <v>462</v>
      </c>
      <c r="C463" s="595" t="s">
        <v>927</v>
      </c>
      <c r="D463" s="421" t="s">
        <v>8</v>
      </c>
      <c r="E463" s="421" t="s">
        <v>17</v>
      </c>
      <c r="F463" s="421" t="s">
        <v>11</v>
      </c>
      <c r="G463" s="421" t="s">
        <v>21</v>
      </c>
      <c r="H463" s="421" t="s">
        <v>22</v>
      </c>
      <c r="I463" s="1067" t="s">
        <v>913</v>
      </c>
      <c r="J463" s="414" t="str">
        <f t="shared" si="7"/>
        <v>ACompra de ViviendaIndividualResidencialNuevaCasaCOPA000000250000.01</v>
      </c>
      <c r="K463" s="1049">
        <v>250000.01</v>
      </c>
      <c r="L463" s="1049">
        <v>600000</v>
      </c>
      <c r="M463" s="1053">
        <v>80</v>
      </c>
      <c r="N463" s="1048">
        <v>30</v>
      </c>
      <c r="O463" s="1053">
        <v>5.5</v>
      </c>
      <c r="P463" s="1050">
        <v>8.56</v>
      </c>
      <c r="Q463" s="416"/>
    </row>
    <row r="464" spans="2:17" x14ac:dyDescent="0.25">
      <c r="B464" s="415">
        <v>463</v>
      </c>
      <c r="C464" s="595" t="s">
        <v>927</v>
      </c>
      <c r="D464" s="421" t="s">
        <v>8</v>
      </c>
      <c r="E464" s="421" t="s">
        <v>17</v>
      </c>
      <c r="F464" s="421" t="s">
        <v>11</v>
      </c>
      <c r="G464" s="421" t="s">
        <v>21</v>
      </c>
      <c r="H464" s="421" t="s">
        <v>22</v>
      </c>
      <c r="I464" s="1067" t="s">
        <v>913</v>
      </c>
      <c r="J464" s="414" t="str">
        <f t="shared" si="7"/>
        <v>ACompra de ViviendaIndividualResidencialNuevaCasaCOPA000000600000.01</v>
      </c>
      <c r="K464" s="1049">
        <v>600000.01</v>
      </c>
      <c r="L464" s="1049">
        <v>99999999</v>
      </c>
      <c r="M464" s="1053">
        <v>70</v>
      </c>
      <c r="N464" s="1048">
        <v>30</v>
      </c>
      <c r="O464" s="1053">
        <v>5.25</v>
      </c>
      <c r="P464" s="1050">
        <v>8.56</v>
      </c>
      <c r="Q464" s="416"/>
    </row>
    <row r="465" spans="2:17" x14ac:dyDescent="0.25">
      <c r="B465" s="415">
        <v>464</v>
      </c>
      <c r="C465" s="595" t="s">
        <v>927</v>
      </c>
      <c r="D465" s="421" t="s">
        <v>8</v>
      </c>
      <c r="E465" s="421" t="s">
        <v>17</v>
      </c>
      <c r="F465" s="421" t="s">
        <v>11</v>
      </c>
      <c r="G465" s="421" t="s">
        <v>21</v>
      </c>
      <c r="H465" s="421" t="s">
        <v>22</v>
      </c>
      <c r="I465" s="1067" t="s">
        <v>173</v>
      </c>
      <c r="J465" s="414" t="str">
        <f t="shared" si="7"/>
        <v>ACompra de ViviendaIndividualResidencialNuevaCasaFERIA000000018000.00</v>
      </c>
      <c r="K465" s="1049">
        <v>18000</v>
      </c>
      <c r="L465" s="1049">
        <v>100000</v>
      </c>
      <c r="M465" s="1053">
        <v>95</v>
      </c>
      <c r="N465" s="1048">
        <v>30</v>
      </c>
      <c r="O465" s="1053">
        <v>6</v>
      </c>
      <c r="P465" s="1050">
        <v>8.56</v>
      </c>
      <c r="Q465" s="416"/>
    </row>
    <row r="466" spans="2:17" x14ac:dyDescent="0.25">
      <c r="B466" s="415">
        <v>465</v>
      </c>
      <c r="C466" s="595" t="s">
        <v>927</v>
      </c>
      <c r="D466" s="421" t="s">
        <v>8</v>
      </c>
      <c r="E466" s="421" t="s">
        <v>17</v>
      </c>
      <c r="F466" s="421" t="s">
        <v>11</v>
      </c>
      <c r="G466" s="421" t="s">
        <v>21</v>
      </c>
      <c r="H466" s="421" t="s">
        <v>22</v>
      </c>
      <c r="I466" s="1067" t="s">
        <v>173</v>
      </c>
      <c r="J466" s="414" t="str">
        <f t="shared" si="7"/>
        <v>ACompra de ViviendaIndividualResidencialNuevaCasaFERIA000000100000.01</v>
      </c>
      <c r="K466" s="1049">
        <v>100000.01</v>
      </c>
      <c r="L466" s="1049">
        <v>250000</v>
      </c>
      <c r="M466" s="1053">
        <v>90</v>
      </c>
      <c r="N466" s="1048">
        <v>30</v>
      </c>
      <c r="O466" s="1053">
        <v>6</v>
      </c>
      <c r="P466" s="1050">
        <v>8.56</v>
      </c>
      <c r="Q466" s="416"/>
    </row>
    <row r="467" spans="2:17" x14ac:dyDescent="0.25">
      <c r="B467" s="412">
        <v>466</v>
      </c>
      <c r="C467" s="595" t="s">
        <v>927</v>
      </c>
      <c r="D467" s="421" t="s">
        <v>8</v>
      </c>
      <c r="E467" s="421" t="s">
        <v>17</v>
      </c>
      <c r="F467" s="421" t="s">
        <v>11</v>
      </c>
      <c r="G467" s="421" t="s">
        <v>21</v>
      </c>
      <c r="H467" s="421" t="s">
        <v>22</v>
      </c>
      <c r="I467" s="1067" t="s">
        <v>173</v>
      </c>
      <c r="J467" s="414" t="str">
        <f t="shared" si="7"/>
        <v>ACompra de ViviendaIndividualResidencialNuevaCasaFERIA000000250000.01</v>
      </c>
      <c r="K467" s="1049">
        <v>250000.01</v>
      </c>
      <c r="L467" s="1049">
        <v>600000</v>
      </c>
      <c r="M467" s="1053">
        <v>80</v>
      </c>
      <c r="N467" s="1048">
        <v>30</v>
      </c>
      <c r="O467" s="1053">
        <v>6</v>
      </c>
      <c r="P467" s="1050">
        <v>8.56</v>
      </c>
      <c r="Q467" s="416"/>
    </row>
    <row r="468" spans="2:17" x14ac:dyDescent="0.25">
      <c r="B468" s="415">
        <v>467</v>
      </c>
      <c r="C468" s="595" t="s">
        <v>927</v>
      </c>
      <c r="D468" s="421" t="s">
        <v>8</v>
      </c>
      <c r="E468" s="421" t="s">
        <v>17</v>
      </c>
      <c r="F468" s="421" t="s">
        <v>11</v>
      </c>
      <c r="G468" s="421" t="s">
        <v>21</v>
      </c>
      <c r="H468" s="421" t="s">
        <v>22</v>
      </c>
      <c r="I468" s="1067" t="s">
        <v>173</v>
      </c>
      <c r="J468" s="414" t="str">
        <f t="shared" si="7"/>
        <v>ACompra de ViviendaIndividualResidencialNuevaCasaFERIA000000600000.01</v>
      </c>
      <c r="K468" s="1049">
        <v>600000.01</v>
      </c>
      <c r="L468" s="1049">
        <v>99999999</v>
      </c>
      <c r="M468" s="1053">
        <v>70</v>
      </c>
      <c r="N468" s="1048">
        <v>30</v>
      </c>
      <c r="O468" s="1053">
        <v>6</v>
      </c>
      <c r="P468" s="1050">
        <v>8.56</v>
      </c>
      <c r="Q468" s="416"/>
    </row>
    <row r="469" spans="2:17" x14ac:dyDescent="0.25">
      <c r="B469" s="415">
        <v>468</v>
      </c>
      <c r="C469" s="1374" t="s">
        <v>927</v>
      </c>
      <c r="D469" s="421" t="s">
        <v>8</v>
      </c>
      <c r="E469" s="421" t="s">
        <v>17</v>
      </c>
      <c r="F469" s="421" t="s">
        <v>11</v>
      </c>
      <c r="G469" s="421" t="s">
        <v>24</v>
      </c>
      <c r="H469" s="421" t="s">
        <v>25</v>
      </c>
      <c r="I469" s="1067" t="s">
        <v>567</v>
      </c>
      <c r="J469" s="414" t="str">
        <f t="shared" si="7"/>
        <v>ACompra de ViviendaIndividualResidencialUsadaApartamentoBG000000040000.00</v>
      </c>
      <c r="K469" s="1049">
        <v>40000</v>
      </c>
      <c r="L469" s="1049">
        <v>200000</v>
      </c>
      <c r="M469" s="1053">
        <v>90</v>
      </c>
      <c r="N469" s="1048">
        <v>30</v>
      </c>
      <c r="O469" s="1050">
        <v>6</v>
      </c>
      <c r="P469" s="1050">
        <v>8.56</v>
      </c>
      <c r="Q469" s="416"/>
    </row>
    <row r="470" spans="2:17" x14ac:dyDescent="0.25">
      <c r="B470" s="415">
        <v>469</v>
      </c>
      <c r="C470" s="1374" t="s">
        <v>927</v>
      </c>
      <c r="D470" s="421" t="s">
        <v>8</v>
      </c>
      <c r="E470" s="421" t="s">
        <v>17</v>
      </c>
      <c r="F470" s="421" t="s">
        <v>11</v>
      </c>
      <c r="G470" s="421" t="s">
        <v>24</v>
      </c>
      <c r="H470" s="421" t="s">
        <v>25</v>
      </c>
      <c r="I470" s="1067" t="s">
        <v>567</v>
      </c>
      <c r="J470" s="414" t="str">
        <f t="shared" si="7"/>
        <v>ACompra de ViviendaIndividualResidencialUsadaApartamentoBG000000200000.01</v>
      </c>
      <c r="K470" s="1049">
        <v>200000.01</v>
      </c>
      <c r="L470" s="1049">
        <v>500000</v>
      </c>
      <c r="M470" s="1053">
        <v>80</v>
      </c>
      <c r="N470" s="1048">
        <v>30</v>
      </c>
      <c r="O470" s="1050">
        <v>6</v>
      </c>
      <c r="P470" s="1050">
        <v>8.56</v>
      </c>
      <c r="Q470" s="416"/>
    </row>
    <row r="471" spans="2:17" x14ac:dyDescent="0.25">
      <c r="B471" s="415">
        <v>470</v>
      </c>
      <c r="C471" s="1374" t="s">
        <v>927</v>
      </c>
      <c r="D471" s="421" t="s">
        <v>8</v>
      </c>
      <c r="E471" s="421" t="s">
        <v>17</v>
      </c>
      <c r="F471" s="421" t="s">
        <v>11</v>
      </c>
      <c r="G471" s="421" t="s">
        <v>24</v>
      </c>
      <c r="H471" s="421" t="s">
        <v>25</v>
      </c>
      <c r="I471" s="1067" t="s">
        <v>567</v>
      </c>
      <c r="J471" s="414" t="str">
        <f t="shared" si="7"/>
        <v>ACompra de ViviendaIndividualResidencialUsadaApartamentoBG000000500000.01</v>
      </c>
      <c r="K471" s="1047">
        <v>500000.01</v>
      </c>
      <c r="L471" s="1049">
        <v>99999999</v>
      </c>
      <c r="M471" s="1053">
        <v>70</v>
      </c>
      <c r="N471" s="1048">
        <v>30</v>
      </c>
      <c r="O471" s="1050">
        <v>6</v>
      </c>
      <c r="P471" s="1050">
        <v>8.56</v>
      </c>
      <c r="Q471" s="416"/>
    </row>
    <row r="472" spans="2:17" x14ac:dyDescent="0.25">
      <c r="B472" s="412">
        <v>471</v>
      </c>
      <c r="C472" s="595" t="s">
        <v>927</v>
      </c>
      <c r="D472" s="421" t="s">
        <v>8</v>
      </c>
      <c r="E472" s="421" t="s">
        <v>17</v>
      </c>
      <c r="F472" s="421" t="s">
        <v>11</v>
      </c>
      <c r="G472" s="421" t="s">
        <v>24</v>
      </c>
      <c r="H472" s="421" t="s">
        <v>25</v>
      </c>
      <c r="I472" s="1067" t="s">
        <v>913</v>
      </c>
      <c r="J472" s="414" t="str">
        <f t="shared" si="7"/>
        <v>ACompra de ViviendaIndividualResidencialUsadaApartamentoCOPA000000030000.00</v>
      </c>
      <c r="K472" s="1049">
        <v>30000</v>
      </c>
      <c r="L472" s="1049">
        <v>250000</v>
      </c>
      <c r="M472" s="1053">
        <v>90</v>
      </c>
      <c r="N472" s="1048">
        <v>25</v>
      </c>
      <c r="O472" s="1053">
        <v>5.5</v>
      </c>
      <c r="P472" s="1050">
        <v>8.56</v>
      </c>
      <c r="Q472" s="416"/>
    </row>
    <row r="473" spans="2:17" x14ac:dyDescent="0.25">
      <c r="B473" s="415">
        <v>472</v>
      </c>
      <c r="C473" s="595" t="s">
        <v>927</v>
      </c>
      <c r="D473" s="421" t="s">
        <v>8</v>
      </c>
      <c r="E473" s="421" t="s">
        <v>17</v>
      </c>
      <c r="F473" s="421" t="s">
        <v>11</v>
      </c>
      <c r="G473" s="421" t="s">
        <v>24</v>
      </c>
      <c r="H473" s="421" t="s">
        <v>25</v>
      </c>
      <c r="I473" s="1067" t="s">
        <v>913</v>
      </c>
      <c r="J473" s="414" t="str">
        <f t="shared" si="7"/>
        <v>ACompra de ViviendaIndividualResidencialUsadaApartamentoCOPA000000250000.01</v>
      </c>
      <c r="K473" s="1047">
        <v>250000.01</v>
      </c>
      <c r="L473" s="1047">
        <v>500000</v>
      </c>
      <c r="M473" s="1053">
        <v>80</v>
      </c>
      <c r="N473" s="1048">
        <v>25</v>
      </c>
      <c r="O473" s="1053">
        <v>5.5</v>
      </c>
      <c r="P473" s="1050">
        <v>8.56</v>
      </c>
      <c r="Q473" s="416"/>
    </row>
    <row r="474" spans="2:17" x14ac:dyDescent="0.25">
      <c r="B474" s="415">
        <v>473</v>
      </c>
      <c r="C474" s="595" t="s">
        <v>927</v>
      </c>
      <c r="D474" s="421" t="s">
        <v>8</v>
      </c>
      <c r="E474" s="421" t="s">
        <v>17</v>
      </c>
      <c r="F474" s="421" t="s">
        <v>11</v>
      </c>
      <c r="G474" s="421" t="s">
        <v>24</v>
      </c>
      <c r="H474" s="421" t="s">
        <v>25</v>
      </c>
      <c r="I474" s="1067" t="s">
        <v>913</v>
      </c>
      <c r="J474" s="414" t="str">
        <f t="shared" si="7"/>
        <v>ACompra de ViviendaIndividualResidencialUsadaApartamentoCOPA000000500000.01</v>
      </c>
      <c r="K474" s="1047">
        <v>500000.01</v>
      </c>
      <c r="L474" s="1047">
        <v>99999999</v>
      </c>
      <c r="M474" s="1053">
        <v>70</v>
      </c>
      <c r="N474" s="1048">
        <v>25</v>
      </c>
      <c r="O474" s="1053">
        <v>5.25</v>
      </c>
      <c r="P474" s="1050">
        <v>8.56</v>
      </c>
      <c r="Q474" s="416"/>
    </row>
    <row r="475" spans="2:17" x14ac:dyDescent="0.25">
      <c r="B475" s="415">
        <v>474</v>
      </c>
      <c r="C475" s="595" t="s">
        <v>927</v>
      </c>
      <c r="D475" s="421" t="s">
        <v>8</v>
      </c>
      <c r="E475" s="421" t="s">
        <v>17</v>
      </c>
      <c r="F475" s="421" t="s">
        <v>11</v>
      </c>
      <c r="G475" s="421" t="s">
        <v>24</v>
      </c>
      <c r="H475" s="421" t="s">
        <v>25</v>
      </c>
      <c r="I475" s="1067" t="s">
        <v>173</v>
      </c>
      <c r="J475" s="414" t="str">
        <f t="shared" si="7"/>
        <v>ACompra de ViviendaIndividualResidencialUsadaApartamentoFERIA000000030000.00</v>
      </c>
      <c r="K475" s="1049">
        <v>30000</v>
      </c>
      <c r="L475" s="1047">
        <v>200000</v>
      </c>
      <c r="M475" s="1053">
        <v>90</v>
      </c>
      <c r="N475" s="1048">
        <v>25</v>
      </c>
      <c r="O475" s="1050">
        <v>6</v>
      </c>
      <c r="P475" s="1050">
        <v>8.56</v>
      </c>
      <c r="Q475" s="416"/>
    </row>
    <row r="476" spans="2:17" x14ac:dyDescent="0.25">
      <c r="B476" s="415">
        <v>475</v>
      </c>
      <c r="C476" s="595" t="s">
        <v>927</v>
      </c>
      <c r="D476" s="421" t="s">
        <v>8</v>
      </c>
      <c r="E476" s="421" t="s">
        <v>17</v>
      </c>
      <c r="F476" s="421" t="s">
        <v>11</v>
      </c>
      <c r="G476" s="421" t="s">
        <v>24</v>
      </c>
      <c r="H476" s="421" t="s">
        <v>25</v>
      </c>
      <c r="I476" s="1067" t="s">
        <v>173</v>
      </c>
      <c r="J476" s="414" t="str">
        <f t="shared" si="7"/>
        <v>ACompra de ViviendaIndividualResidencialUsadaApartamentoFERIA000000200000.01</v>
      </c>
      <c r="K476" s="1047">
        <v>200000.01</v>
      </c>
      <c r="L476" s="1047">
        <v>400000</v>
      </c>
      <c r="M476" s="1053">
        <v>80</v>
      </c>
      <c r="N476" s="1048">
        <v>25</v>
      </c>
      <c r="O476" s="1050">
        <v>6</v>
      </c>
      <c r="P476" s="1050">
        <v>8.56</v>
      </c>
      <c r="Q476" s="416"/>
    </row>
    <row r="477" spans="2:17" x14ac:dyDescent="0.25">
      <c r="B477" s="412">
        <v>476</v>
      </c>
      <c r="C477" s="595" t="s">
        <v>927</v>
      </c>
      <c r="D477" s="421" t="s">
        <v>8</v>
      </c>
      <c r="E477" s="421" t="s">
        <v>17</v>
      </c>
      <c r="F477" s="421" t="s">
        <v>11</v>
      </c>
      <c r="G477" s="421" t="s">
        <v>24</v>
      </c>
      <c r="H477" s="421" t="s">
        <v>25</v>
      </c>
      <c r="I477" s="1067" t="s">
        <v>173</v>
      </c>
      <c r="J477" s="414" t="str">
        <f t="shared" si="7"/>
        <v>ACompra de ViviendaIndividualResidencialUsadaApartamentoFERIA000000400000.01</v>
      </c>
      <c r="K477" s="1047">
        <v>400000.01</v>
      </c>
      <c r="L477" s="1047">
        <v>99999999</v>
      </c>
      <c r="M477" s="1053">
        <v>70</v>
      </c>
      <c r="N477" s="1048">
        <v>25</v>
      </c>
      <c r="O477" s="1050">
        <v>6</v>
      </c>
      <c r="P477" s="1050">
        <v>8.56</v>
      </c>
      <c r="Q477" s="416"/>
    </row>
    <row r="478" spans="2:17" x14ac:dyDescent="0.25">
      <c r="B478" s="415">
        <v>477</v>
      </c>
      <c r="C478" s="1374" t="s">
        <v>927</v>
      </c>
      <c r="D478" s="421" t="s">
        <v>8</v>
      </c>
      <c r="E478" s="421" t="s">
        <v>17</v>
      </c>
      <c r="F478" s="421" t="s">
        <v>11</v>
      </c>
      <c r="G478" s="421" t="s">
        <v>24</v>
      </c>
      <c r="H478" s="421" t="s">
        <v>22</v>
      </c>
      <c r="I478" s="1067" t="s">
        <v>567</v>
      </c>
      <c r="J478" s="414" t="str">
        <f t="shared" si="7"/>
        <v>ACompra de ViviendaIndividualResidencialUsadaCasaBG000000040000.00</v>
      </c>
      <c r="K478" s="1049">
        <v>40000</v>
      </c>
      <c r="L478" s="1049">
        <v>200000</v>
      </c>
      <c r="M478" s="1053">
        <v>90</v>
      </c>
      <c r="N478" s="1048">
        <v>30</v>
      </c>
      <c r="O478" s="1050">
        <v>6</v>
      </c>
      <c r="P478" s="1050">
        <v>8.56</v>
      </c>
      <c r="Q478" s="416"/>
    </row>
    <row r="479" spans="2:17" x14ac:dyDescent="0.25">
      <c r="B479" s="415">
        <v>478</v>
      </c>
      <c r="C479" s="1374" t="s">
        <v>927</v>
      </c>
      <c r="D479" s="421" t="s">
        <v>8</v>
      </c>
      <c r="E479" s="421" t="s">
        <v>17</v>
      </c>
      <c r="F479" s="421" t="s">
        <v>11</v>
      </c>
      <c r="G479" s="421" t="s">
        <v>24</v>
      </c>
      <c r="H479" s="421" t="s">
        <v>22</v>
      </c>
      <c r="I479" s="1067" t="s">
        <v>567</v>
      </c>
      <c r="J479" s="414" t="str">
        <f t="shared" si="7"/>
        <v>ACompra de ViviendaIndividualResidencialUsadaCasaBG000000200000.01</v>
      </c>
      <c r="K479" s="1049">
        <v>200000.01</v>
      </c>
      <c r="L479" s="1049">
        <v>500000</v>
      </c>
      <c r="M479" s="1053">
        <v>80</v>
      </c>
      <c r="N479" s="1048">
        <v>30</v>
      </c>
      <c r="O479" s="1050">
        <v>6</v>
      </c>
      <c r="P479" s="1050">
        <v>8.56</v>
      </c>
      <c r="Q479" s="416"/>
    </row>
    <row r="480" spans="2:17" x14ac:dyDescent="0.25">
      <c r="B480" s="415">
        <v>479</v>
      </c>
      <c r="C480" s="1374" t="s">
        <v>927</v>
      </c>
      <c r="D480" s="421" t="s">
        <v>8</v>
      </c>
      <c r="E480" s="421" t="s">
        <v>17</v>
      </c>
      <c r="F480" s="421" t="s">
        <v>11</v>
      </c>
      <c r="G480" s="421" t="s">
        <v>24</v>
      </c>
      <c r="H480" s="421" t="s">
        <v>22</v>
      </c>
      <c r="I480" s="1067" t="s">
        <v>567</v>
      </c>
      <c r="J480" s="414" t="str">
        <f t="shared" si="7"/>
        <v>ACompra de ViviendaIndividualResidencialUsadaCasaBG000000500000.01</v>
      </c>
      <c r="K480" s="1049">
        <v>500000.01</v>
      </c>
      <c r="L480" s="1049">
        <v>99999999</v>
      </c>
      <c r="M480" s="1053">
        <v>70</v>
      </c>
      <c r="N480" s="1048">
        <v>30</v>
      </c>
      <c r="O480" s="1050">
        <v>6</v>
      </c>
      <c r="P480" s="1050">
        <v>8.56</v>
      </c>
      <c r="Q480" s="416"/>
    </row>
    <row r="481" spans="2:17" x14ac:dyDescent="0.25">
      <c r="B481" s="415">
        <v>480</v>
      </c>
      <c r="C481" s="595" t="s">
        <v>927</v>
      </c>
      <c r="D481" s="421" t="s">
        <v>8</v>
      </c>
      <c r="E481" s="421" t="s">
        <v>17</v>
      </c>
      <c r="F481" s="421" t="s">
        <v>11</v>
      </c>
      <c r="G481" s="421" t="s">
        <v>24</v>
      </c>
      <c r="H481" s="421" t="s">
        <v>22</v>
      </c>
      <c r="I481" s="1067" t="s">
        <v>913</v>
      </c>
      <c r="J481" s="414" t="str">
        <f t="shared" si="7"/>
        <v>ACompra de ViviendaIndividualResidencialUsadaCasaCOPA000000030000.00</v>
      </c>
      <c r="K481" s="1049">
        <v>30000</v>
      </c>
      <c r="L481" s="1049">
        <v>250000</v>
      </c>
      <c r="M481" s="1053">
        <v>90</v>
      </c>
      <c r="N481" s="1048">
        <v>30</v>
      </c>
      <c r="O481" s="1053">
        <v>5.5</v>
      </c>
      <c r="P481" s="1050">
        <v>8.56</v>
      </c>
      <c r="Q481" s="416"/>
    </row>
    <row r="482" spans="2:17" x14ac:dyDescent="0.25">
      <c r="B482" s="412">
        <v>481</v>
      </c>
      <c r="C482" s="595" t="s">
        <v>927</v>
      </c>
      <c r="D482" s="421" t="s">
        <v>8</v>
      </c>
      <c r="E482" s="421" t="s">
        <v>17</v>
      </c>
      <c r="F482" s="421" t="s">
        <v>11</v>
      </c>
      <c r="G482" s="421" t="s">
        <v>24</v>
      </c>
      <c r="H482" s="421" t="s">
        <v>22</v>
      </c>
      <c r="I482" s="1067" t="s">
        <v>913</v>
      </c>
      <c r="J482" s="414" t="str">
        <f t="shared" si="7"/>
        <v>ACompra de ViviendaIndividualResidencialUsadaCasaCOPA000000250000.01</v>
      </c>
      <c r="K482" s="1047">
        <v>250000.01</v>
      </c>
      <c r="L482" s="1047">
        <v>500000</v>
      </c>
      <c r="M482" s="1053">
        <v>80</v>
      </c>
      <c r="N482" s="1048">
        <v>30</v>
      </c>
      <c r="O482" s="1053">
        <v>5.5</v>
      </c>
      <c r="P482" s="1050">
        <v>8.56</v>
      </c>
      <c r="Q482" s="416"/>
    </row>
    <row r="483" spans="2:17" x14ac:dyDescent="0.25">
      <c r="B483" s="415">
        <v>482</v>
      </c>
      <c r="C483" s="595" t="s">
        <v>927</v>
      </c>
      <c r="D483" s="421" t="s">
        <v>8</v>
      </c>
      <c r="E483" s="421" t="s">
        <v>17</v>
      </c>
      <c r="F483" s="421" t="s">
        <v>11</v>
      </c>
      <c r="G483" s="421" t="s">
        <v>24</v>
      </c>
      <c r="H483" s="421" t="s">
        <v>22</v>
      </c>
      <c r="I483" s="1067" t="s">
        <v>913</v>
      </c>
      <c r="J483" s="414" t="str">
        <f t="shared" si="7"/>
        <v>ACompra de ViviendaIndividualResidencialUsadaCasaCOPA000000500000.01</v>
      </c>
      <c r="K483" s="1047">
        <v>500000.01</v>
      </c>
      <c r="L483" s="1049">
        <v>99999999</v>
      </c>
      <c r="M483" s="1053">
        <v>70</v>
      </c>
      <c r="N483" s="1048">
        <v>30</v>
      </c>
      <c r="O483" s="1053">
        <v>5.25</v>
      </c>
      <c r="P483" s="1050">
        <v>8.56</v>
      </c>
      <c r="Q483" s="416"/>
    </row>
    <row r="484" spans="2:17" x14ac:dyDescent="0.25">
      <c r="B484" s="415">
        <v>483</v>
      </c>
      <c r="C484" s="595" t="s">
        <v>927</v>
      </c>
      <c r="D484" s="421" t="s">
        <v>8</v>
      </c>
      <c r="E484" s="421" t="s">
        <v>17</v>
      </c>
      <c r="F484" s="421" t="s">
        <v>11</v>
      </c>
      <c r="G484" s="421" t="s">
        <v>24</v>
      </c>
      <c r="H484" s="421" t="s">
        <v>22</v>
      </c>
      <c r="I484" s="1067" t="s">
        <v>173</v>
      </c>
      <c r="J484" s="414" t="str">
        <f t="shared" si="7"/>
        <v>ACompra de ViviendaIndividualResidencialUsadaCasaFERIA000000030000.00</v>
      </c>
      <c r="K484" s="1049">
        <v>30000</v>
      </c>
      <c r="L484" s="1047">
        <v>200000</v>
      </c>
      <c r="M484" s="1053">
        <v>90</v>
      </c>
      <c r="N484" s="1048">
        <v>30</v>
      </c>
      <c r="O484" s="1050">
        <v>6</v>
      </c>
      <c r="P484" s="1050">
        <v>8.56</v>
      </c>
      <c r="Q484" s="416"/>
    </row>
    <row r="485" spans="2:17" x14ac:dyDescent="0.25">
      <c r="B485" s="415">
        <v>484</v>
      </c>
      <c r="C485" s="595" t="s">
        <v>927</v>
      </c>
      <c r="D485" s="421" t="s">
        <v>8</v>
      </c>
      <c r="E485" s="421" t="s">
        <v>17</v>
      </c>
      <c r="F485" s="421" t="s">
        <v>11</v>
      </c>
      <c r="G485" s="421" t="s">
        <v>24</v>
      </c>
      <c r="H485" s="421" t="s">
        <v>22</v>
      </c>
      <c r="I485" s="1067" t="s">
        <v>173</v>
      </c>
      <c r="J485" s="414" t="str">
        <f t="shared" si="7"/>
        <v>ACompra de ViviendaIndividualResidencialUsadaCasaFERIA000000200000.01</v>
      </c>
      <c r="K485" s="1047">
        <v>200000.01</v>
      </c>
      <c r="L485" s="1047">
        <v>400000</v>
      </c>
      <c r="M485" s="1053">
        <v>80</v>
      </c>
      <c r="N485" s="1048">
        <v>30</v>
      </c>
      <c r="O485" s="1050">
        <v>6</v>
      </c>
      <c r="P485" s="1050">
        <v>8.56</v>
      </c>
      <c r="Q485" s="416"/>
    </row>
    <row r="486" spans="2:17" x14ac:dyDescent="0.25">
      <c r="B486" s="415">
        <v>485</v>
      </c>
      <c r="C486" s="595" t="s">
        <v>927</v>
      </c>
      <c r="D486" s="421" t="s">
        <v>8</v>
      </c>
      <c r="E486" s="421" t="s">
        <v>17</v>
      </c>
      <c r="F486" s="421" t="s">
        <v>11</v>
      </c>
      <c r="G486" s="421" t="s">
        <v>24</v>
      </c>
      <c r="H486" s="421" t="s">
        <v>22</v>
      </c>
      <c r="I486" s="1067" t="s">
        <v>173</v>
      </c>
      <c r="J486" s="414" t="str">
        <f t="shared" si="7"/>
        <v>ACompra de ViviendaIndividualResidencialUsadaCasaFERIA000000400000.01</v>
      </c>
      <c r="K486" s="1047">
        <v>400000.01</v>
      </c>
      <c r="L486" s="1049">
        <v>99999999</v>
      </c>
      <c r="M486" s="1053">
        <v>70</v>
      </c>
      <c r="N486" s="1048">
        <v>30</v>
      </c>
      <c r="O486" s="1050">
        <v>6</v>
      </c>
      <c r="P486" s="1050">
        <v>8.56</v>
      </c>
      <c r="Q486" s="416"/>
    </row>
    <row r="487" spans="2:17" x14ac:dyDescent="0.25">
      <c r="B487" s="412">
        <v>486</v>
      </c>
      <c r="C487" s="1374" t="s">
        <v>927</v>
      </c>
      <c r="D487" s="421" t="s">
        <v>8</v>
      </c>
      <c r="E487" s="421" t="s">
        <v>9</v>
      </c>
      <c r="F487" s="421" t="s">
        <v>752</v>
      </c>
      <c r="G487" s="421" t="s">
        <v>24</v>
      </c>
      <c r="H487" s="421" t="s">
        <v>25</v>
      </c>
      <c r="I487" s="1067" t="s">
        <v>567</v>
      </c>
      <c r="J487" s="414" t="str">
        <f t="shared" si="7"/>
        <v>ACompra de ViviendaLey PreferencialReposeído (BG)UsadaApartamentoBG000000015000.00</v>
      </c>
      <c r="K487" s="1049">
        <v>15000</v>
      </c>
      <c r="L487" s="1049">
        <v>40000</v>
      </c>
      <c r="M487" s="1046">
        <v>90</v>
      </c>
      <c r="N487" s="1046">
        <v>25</v>
      </c>
      <c r="O487" s="1053">
        <v>0</v>
      </c>
      <c r="P487" s="1053">
        <v>8.56</v>
      </c>
      <c r="Q487" s="416"/>
    </row>
    <row r="488" spans="2:17" x14ac:dyDescent="0.25">
      <c r="B488" s="415">
        <v>487</v>
      </c>
      <c r="C488" s="1374" t="s">
        <v>927</v>
      </c>
      <c r="D488" s="421" t="s">
        <v>8</v>
      </c>
      <c r="E488" s="421" t="s">
        <v>9</v>
      </c>
      <c r="F488" s="421" t="s">
        <v>752</v>
      </c>
      <c r="G488" s="421" t="s">
        <v>24</v>
      </c>
      <c r="H488" s="421" t="s">
        <v>25</v>
      </c>
      <c r="I488" s="1067" t="s">
        <v>567</v>
      </c>
      <c r="J488" s="414" t="str">
        <f t="shared" si="7"/>
        <v>ACompra de ViviendaLey PreferencialReposeído (BG)UsadaApartamentoBG000000040000.01</v>
      </c>
      <c r="K488" s="1049">
        <v>40000.01</v>
      </c>
      <c r="L488" s="1049">
        <v>80000</v>
      </c>
      <c r="M488" s="1050">
        <v>90</v>
      </c>
      <c r="N488" s="1046">
        <v>25</v>
      </c>
      <c r="O488" s="1050">
        <v>1.5</v>
      </c>
      <c r="P488" s="1053">
        <v>8.56</v>
      </c>
      <c r="Q488" s="416"/>
    </row>
    <row r="489" spans="2:17" x14ac:dyDescent="0.25">
      <c r="B489" s="415">
        <v>488</v>
      </c>
      <c r="C489" s="1374" t="s">
        <v>927</v>
      </c>
      <c r="D489" s="421" t="s">
        <v>8</v>
      </c>
      <c r="E489" s="421" t="s">
        <v>9</v>
      </c>
      <c r="F489" s="421" t="s">
        <v>752</v>
      </c>
      <c r="G489" s="421" t="s">
        <v>24</v>
      </c>
      <c r="H489" s="421" t="s">
        <v>25</v>
      </c>
      <c r="I489" s="1067" t="s">
        <v>567</v>
      </c>
      <c r="J489" s="414" t="str">
        <f t="shared" si="7"/>
        <v>ACompra de ViviendaLey PreferencialReposeído (BG)UsadaApartamentoBG000000080000.01</v>
      </c>
      <c r="K489" s="1049">
        <v>80000.009999999995</v>
      </c>
      <c r="L489" s="1049">
        <v>120000</v>
      </c>
      <c r="M489" s="1050">
        <v>90</v>
      </c>
      <c r="N489" s="1046">
        <v>25</v>
      </c>
      <c r="O489" s="1050">
        <v>1.5</v>
      </c>
      <c r="P489" s="1053">
        <v>8.56</v>
      </c>
      <c r="Q489" s="416"/>
    </row>
    <row r="490" spans="2:17" x14ac:dyDescent="0.25">
      <c r="B490" s="415">
        <v>489</v>
      </c>
      <c r="C490" s="595" t="s">
        <v>927</v>
      </c>
      <c r="D490" s="421" t="s">
        <v>8</v>
      </c>
      <c r="E490" s="421" t="s">
        <v>9</v>
      </c>
      <c r="F490" s="421" t="s">
        <v>752</v>
      </c>
      <c r="G490" s="421" t="s">
        <v>24</v>
      </c>
      <c r="H490" s="421" t="s">
        <v>25</v>
      </c>
      <c r="I490" s="1067" t="s">
        <v>913</v>
      </c>
      <c r="J490" s="414" t="str">
        <f t="shared" si="7"/>
        <v>ACompra de ViviendaLey PreferencialReposeído (BG)UsadaApartamentoCOPA000000015000.00</v>
      </c>
      <c r="K490" s="1049">
        <v>15000</v>
      </c>
      <c r="L490" s="1049">
        <v>40000</v>
      </c>
      <c r="M490" s="1048">
        <v>98</v>
      </c>
      <c r="N490" s="1048">
        <v>30</v>
      </c>
      <c r="O490" s="1053">
        <v>0</v>
      </c>
      <c r="P490" s="1050">
        <v>8.56</v>
      </c>
      <c r="Q490" s="416"/>
    </row>
    <row r="491" spans="2:17" x14ac:dyDescent="0.25">
      <c r="B491" s="415">
        <v>490</v>
      </c>
      <c r="C491" s="595" t="s">
        <v>927</v>
      </c>
      <c r="D491" s="421" t="s">
        <v>8</v>
      </c>
      <c r="E491" s="421" t="s">
        <v>9</v>
      </c>
      <c r="F491" s="421" t="s">
        <v>752</v>
      </c>
      <c r="G491" s="421" t="s">
        <v>24</v>
      </c>
      <c r="H491" s="421" t="s">
        <v>25</v>
      </c>
      <c r="I491" s="1067" t="s">
        <v>913</v>
      </c>
      <c r="J491" s="414" t="str">
        <f t="shared" si="7"/>
        <v>ACompra de ViviendaLey PreferencialReposeído (BG)UsadaApartamentoCOPA000000040000.01</v>
      </c>
      <c r="K491" s="1049">
        <v>40000.01</v>
      </c>
      <c r="L491" s="1049">
        <v>80000</v>
      </c>
      <c r="M491" s="1053">
        <v>98</v>
      </c>
      <c r="N491" s="1048">
        <v>30</v>
      </c>
      <c r="O491" s="1050">
        <v>1.5</v>
      </c>
      <c r="P491" s="1050">
        <v>8.56</v>
      </c>
      <c r="Q491" s="416"/>
    </row>
    <row r="492" spans="2:17" x14ac:dyDescent="0.25">
      <c r="B492" s="412">
        <v>491</v>
      </c>
      <c r="C492" s="596" t="s">
        <v>927</v>
      </c>
      <c r="D492" s="421" t="s">
        <v>8</v>
      </c>
      <c r="E492" s="421" t="s">
        <v>9</v>
      </c>
      <c r="F492" s="421" t="s">
        <v>752</v>
      </c>
      <c r="G492" s="421" t="s">
        <v>24</v>
      </c>
      <c r="H492" s="421" t="s">
        <v>25</v>
      </c>
      <c r="I492" s="1067" t="s">
        <v>913</v>
      </c>
      <c r="J492" s="414" t="str">
        <f t="shared" si="7"/>
        <v>ACompra de ViviendaLey PreferencialReposeído (BG)UsadaApartamentoCOPA000000080000.01</v>
      </c>
      <c r="K492" s="1049">
        <v>80000.009999999995</v>
      </c>
      <c r="L492" s="1049">
        <v>120000</v>
      </c>
      <c r="M492" s="1053">
        <v>98</v>
      </c>
      <c r="N492" s="1048">
        <v>30</v>
      </c>
      <c r="O492" s="1050">
        <v>1.5</v>
      </c>
      <c r="P492" s="1050">
        <v>8.56</v>
      </c>
      <c r="Q492" s="416"/>
    </row>
    <row r="493" spans="2:17" x14ac:dyDescent="0.25">
      <c r="B493" s="415">
        <v>492</v>
      </c>
      <c r="C493" s="595" t="s">
        <v>927</v>
      </c>
      <c r="D493" s="421" t="s">
        <v>8</v>
      </c>
      <c r="E493" s="421" t="s">
        <v>9</v>
      </c>
      <c r="F493" s="421" t="s">
        <v>752</v>
      </c>
      <c r="G493" s="421" t="s">
        <v>24</v>
      </c>
      <c r="H493" s="421" t="s">
        <v>25</v>
      </c>
      <c r="I493" s="1067" t="s">
        <v>173</v>
      </c>
      <c r="J493" s="414" t="str">
        <f t="shared" si="7"/>
        <v>ACompra de ViviendaLey PreferencialReposeído (BG)UsadaApartamentoFERIA000000015000.00</v>
      </c>
      <c r="K493" s="1049">
        <v>15000</v>
      </c>
      <c r="L493" s="1049">
        <v>40000</v>
      </c>
      <c r="M493" s="1053">
        <v>95</v>
      </c>
      <c r="N493" s="1048">
        <v>30</v>
      </c>
      <c r="O493" s="1053">
        <v>0</v>
      </c>
      <c r="P493" s="1053">
        <v>4.28</v>
      </c>
      <c r="Q493" s="416"/>
    </row>
    <row r="494" spans="2:17" x14ac:dyDescent="0.25">
      <c r="B494" s="415">
        <v>493</v>
      </c>
      <c r="C494" s="595" t="s">
        <v>927</v>
      </c>
      <c r="D494" s="421" t="s">
        <v>8</v>
      </c>
      <c r="E494" s="421" t="s">
        <v>9</v>
      </c>
      <c r="F494" s="421" t="s">
        <v>752</v>
      </c>
      <c r="G494" s="421" t="s">
        <v>24</v>
      </c>
      <c r="H494" s="421" t="s">
        <v>25</v>
      </c>
      <c r="I494" s="1067" t="s">
        <v>173</v>
      </c>
      <c r="J494" s="414" t="str">
        <f t="shared" si="7"/>
        <v>ACompra de ViviendaLey PreferencialReposeído (BG)UsadaApartamentoFERIA000000040000.01</v>
      </c>
      <c r="K494" s="1049">
        <v>40000.01</v>
      </c>
      <c r="L494" s="1049">
        <v>80000</v>
      </c>
      <c r="M494" s="1053">
        <v>95</v>
      </c>
      <c r="N494" s="1048">
        <v>30</v>
      </c>
      <c r="O494" s="1050">
        <v>1.5</v>
      </c>
      <c r="P494" s="1053">
        <v>4.28</v>
      </c>
      <c r="Q494" s="416"/>
    </row>
    <row r="495" spans="2:17" x14ac:dyDescent="0.25">
      <c r="B495" s="415">
        <v>494</v>
      </c>
      <c r="C495" s="595" t="s">
        <v>927</v>
      </c>
      <c r="D495" s="421" t="s">
        <v>8</v>
      </c>
      <c r="E495" s="421" t="s">
        <v>9</v>
      </c>
      <c r="F495" s="421" t="s">
        <v>752</v>
      </c>
      <c r="G495" s="421" t="s">
        <v>24</v>
      </c>
      <c r="H495" s="421" t="s">
        <v>25</v>
      </c>
      <c r="I495" s="1067" t="s">
        <v>173</v>
      </c>
      <c r="J495" s="414" t="str">
        <f t="shared" si="7"/>
        <v>ACompra de ViviendaLey PreferencialReposeído (BG)UsadaApartamentoFERIA000000080000.01</v>
      </c>
      <c r="K495" s="1049">
        <v>80000.009999999995</v>
      </c>
      <c r="L495" s="1049">
        <v>120000</v>
      </c>
      <c r="M495" s="1053">
        <v>95</v>
      </c>
      <c r="N495" s="1048">
        <v>30</v>
      </c>
      <c r="O495" s="1050">
        <v>1.5</v>
      </c>
      <c r="P495" s="1053">
        <v>4.28</v>
      </c>
      <c r="Q495" s="416"/>
    </row>
    <row r="496" spans="2:17" x14ac:dyDescent="0.25">
      <c r="B496" s="415">
        <v>495</v>
      </c>
      <c r="C496" s="1374" t="s">
        <v>927</v>
      </c>
      <c r="D496" s="421" t="s">
        <v>8</v>
      </c>
      <c r="E496" s="421" t="s">
        <v>9</v>
      </c>
      <c r="F496" s="421" t="s">
        <v>752</v>
      </c>
      <c r="G496" s="421" t="s">
        <v>24</v>
      </c>
      <c r="H496" s="421" t="s">
        <v>22</v>
      </c>
      <c r="I496" s="1067" t="s">
        <v>567</v>
      </c>
      <c r="J496" s="414" t="str">
        <f t="shared" si="7"/>
        <v>ACompra de ViviendaLey PreferencialReposeído (BG)UsadaCasaBG000000015000.00</v>
      </c>
      <c r="K496" s="1049">
        <v>15000</v>
      </c>
      <c r="L496" s="1049">
        <v>40000</v>
      </c>
      <c r="M496" s="1046">
        <v>90</v>
      </c>
      <c r="N496" s="1046">
        <v>25</v>
      </c>
      <c r="O496" s="1053">
        <v>0</v>
      </c>
      <c r="P496" s="1053">
        <v>8.56</v>
      </c>
      <c r="Q496" s="416"/>
    </row>
    <row r="497" spans="2:17" x14ac:dyDescent="0.25">
      <c r="B497" s="412">
        <v>496</v>
      </c>
      <c r="C497" s="1374" t="s">
        <v>927</v>
      </c>
      <c r="D497" s="421" t="s">
        <v>8</v>
      </c>
      <c r="E497" s="421" t="s">
        <v>9</v>
      </c>
      <c r="F497" s="421" t="s">
        <v>752</v>
      </c>
      <c r="G497" s="421" t="s">
        <v>24</v>
      </c>
      <c r="H497" s="421" t="s">
        <v>22</v>
      </c>
      <c r="I497" s="1067" t="s">
        <v>567</v>
      </c>
      <c r="J497" s="414" t="str">
        <f t="shared" si="7"/>
        <v>ACompra de ViviendaLey PreferencialReposeído (BG)UsadaCasaBG000000040000.01</v>
      </c>
      <c r="K497" s="1049">
        <v>40000.01</v>
      </c>
      <c r="L497" s="1049">
        <v>80000</v>
      </c>
      <c r="M497" s="1050">
        <v>90</v>
      </c>
      <c r="N497" s="1046">
        <v>25</v>
      </c>
      <c r="O497" s="1050">
        <v>1.5</v>
      </c>
      <c r="P497" s="1053">
        <v>8.56</v>
      </c>
      <c r="Q497" s="416"/>
    </row>
    <row r="498" spans="2:17" x14ac:dyDescent="0.25">
      <c r="B498" s="415">
        <v>497</v>
      </c>
      <c r="C498" s="1374" t="s">
        <v>927</v>
      </c>
      <c r="D498" s="421" t="s">
        <v>8</v>
      </c>
      <c r="E498" s="421" t="s">
        <v>9</v>
      </c>
      <c r="F498" s="421" t="s">
        <v>752</v>
      </c>
      <c r="G498" s="421" t="s">
        <v>24</v>
      </c>
      <c r="H498" s="421" t="s">
        <v>22</v>
      </c>
      <c r="I498" s="1067" t="s">
        <v>567</v>
      </c>
      <c r="J498" s="414" t="str">
        <f t="shared" si="7"/>
        <v>ACompra de ViviendaLey PreferencialReposeído (BG)UsadaCasaBG000000080000.01</v>
      </c>
      <c r="K498" s="1049">
        <v>80000.009999999995</v>
      </c>
      <c r="L498" s="1049">
        <v>120000</v>
      </c>
      <c r="M498" s="1050">
        <v>90</v>
      </c>
      <c r="N498" s="1046">
        <v>25</v>
      </c>
      <c r="O498" s="1050">
        <v>1.5</v>
      </c>
      <c r="P498" s="1053">
        <v>8.56</v>
      </c>
      <c r="Q498" s="416"/>
    </row>
    <row r="499" spans="2:17" x14ac:dyDescent="0.25">
      <c r="B499" s="415">
        <v>498</v>
      </c>
      <c r="C499" s="595" t="s">
        <v>927</v>
      </c>
      <c r="D499" s="421" t="s">
        <v>8</v>
      </c>
      <c r="E499" s="421" t="s">
        <v>9</v>
      </c>
      <c r="F499" s="421" t="s">
        <v>752</v>
      </c>
      <c r="G499" s="421" t="s">
        <v>24</v>
      </c>
      <c r="H499" s="421" t="s">
        <v>22</v>
      </c>
      <c r="I499" s="1067" t="s">
        <v>913</v>
      </c>
      <c r="J499" s="414" t="str">
        <f t="shared" si="7"/>
        <v>ACompra de ViviendaLey PreferencialReposeído (BG)UsadaCasaCOPA000000015000.00</v>
      </c>
      <c r="K499" s="1049">
        <v>15000</v>
      </c>
      <c r="L499" s="1049">
        <v>40000</v>
      </c>
      <c r="M499" s="1053">
        <v>98</v>
      </c>
      <c r="N499" s="1048">
        <v>30</v>
      </c>
      <c r="O499" s="1053">
        <v>0</v>
      </c>
      <c r="P499" s="1050">
        <v>8.56</v>
      </c>
      <c r="Q499" s="416"/>
    </row>
    <row r="500" spans="2:17" x14ac:dyDescent="0.25">
      <c r="B500" s="415">
        <v>499</v>
      </c>
      <c r="C500" s="595" t="s">
        <v>927</v>
      </c>
      <c r="D500" s="421" t="s">
        <v>8</v>
      </c>
      <c r="E500" s="421" t="s">
        <v>9</v>
      </c>
      <c r="F500" s="421" t="s">
        <v>752</v>
      </c>
      <c r="G500" s="421" t="s">
        <v>24</v>
      </c>
      <c r="H500" s="421" t="s">
        <v>22</v>
      </c>
      <c r="I500" s="1067" t="s">
        <v>913</v>
      </c>
      <c r="J500" s="414" t="str">
        <f t="shared" si="7"/>
        <v>ACompra de ViviendaLey PreferencialReposeído (BG)UsadaCasaCOPA000000040000.01</v>
      </c>
      <c r="K500" s="1049">
        <v>40000.01</v>
      </c>
      <c r="L500" s="1049">
        <v>80000</v>
      </c>
      <c r="M500" s="1053">
        <v>98</v>
      </c>
      <c r="N500" s="1048">
        <v>30</v>
      </c>
      <c r="O500" s="1050">
        <v>1.5</v>
      </c>
      <c r="P500" s="1050">
        <v>8.56</v>
      </c>
      <c r="Q500" s="416"/>
    </row>
    <row r="501" spans="2:17" x14ac:dyDescent="0.25">
      <c r="B501" s="415">
        <v>500</v>
      </c>
      <c r="C501" s="595" t="s">
        <v>927</v>
      </c>
      <c r="D501" s="421" t="s">
        <v>8</v>
      </c>
      <c r="E501" s="421" t="s">
        <v>9</v>
      </c>
      <c r="F501" s="421" t="s">
        <v>752</v>
      </c>
      <c r="G501" s="421" t="s">
        <v>24</v>
      </c>
      <c r="H501" s="421" t="s">
        <v>22</v>
      </c>
      <c r="I501" s="1067" t="s">
        <v>913</v>
      </c>
      <c r="J501" s="414" t="str">
        <f t="shared" si="7"/>
        <v>ACompra de ViviendaLey PreferencialReposeído (BG)UsadaCasaCOPA000000080000.01</v>
      </c>
      <c r="K501" s="1049">
        <v>80000.009999999995</v>
      </c>
      <c r="L501" s="1049">
        <v>120000</v>
      </c>
      <c r="M501" s="1053">
        <v>98</v>
      </c>
      <c r="N501" s="1048">
        <v>30</v>
      </c>
      <c r="O501" s="1050">
        <v>1.5</v>
      </c>
      <c r="P501" s="1050">
        <v>8.56</v>
      </c>
      <c r="Q501" s="416"/>
    </row>
    <row r="502" spans="2:17" x14ac:dyDescent="0.25">
      <c r="B502" s="412">
        <v>501</v>
      </c>
      <c r="C502" s="595" t="s">
        <v>927</v>
      </c>
      <c r="D502" s="421" t="s">
        <v>8</v>
      </c>
      <c r="E502" s="421" t="s">
        <v>9</v>
      </c>
      <c r="F502" s="421" t="s">
        <v>752</v>
      </c>
      <c r="G502" s="421" t="s">
        <v>24</v>
      </c>
      <c r="H502" s="421" t="s">
        <v>22</v>
      </c>
      <c r="I502" s="1067" t="s">
        <v>173</v>
      </c>
      <c r="J502" s="414" t="str">
        <f t="shared" si="7"/>
        <v>ACompra de ViviendaLey PreferencialReposeído (BG)UsadaCasaFERIA000000015000.00</v>
      </c>
      <c r="K502" s="1049">
        <v>15000</v>
      </c>
      <c r="L502" s="1049">
        <v>40000</v>
      </c>
      <c r="M502" s="1053">
        <v>95</v>
      </c>
      <c r="N502" s="1048">
        <v>30</v>
      </c>
      <c r="O502" s="1053">
        <v>0</v>
      </c>
      <c r="P502" s="1053">
        <v>4.28</v>
      </c>
      <c r="Q502" s="416"/>
    </row>
    <row r="503" spans="2:17" x14ac:dyDescent="0.25">
      <c r="B503" s="415">
        <v>502</v>
      </c>
      <c r="C503" s="595" t="s">
        <v>927</v>
      </c>
      <c r="D503" s="421" t="s">
        <v>8</v>
      </c>
      <c r="E503" s="421" t="s">
        <v>9</v>
      </c>
      <c r="F503" s="421" t="s">
        <v>752</v>
      </c>
      <c r="G503" s="421" t="s">
        <v>24</v>
      </c>
      <c r="H503" s="421" t="s">
        <v>22</v>
      </c>
      <c r="I503" s="1067" t="s">
        <v>173</v>
      </c>
      <c r="J503" s="414" t="str">
        <f t="shared" si="7"/>
        <v>ACompra de ViviendaLey PreferencialReposeído (BG)UsadaCasaFERIA000000040000.01</v>
      </c>
      <c r="K503" s="1049">
        <v>40000.01</v>
      </c>
      <c r="L503" s="1049">
        <v>80000</v>
      </c>
      <c r="M503" s="1053">
        <v>95</v>
      </c>
      <c r="N503" s="1048">
        <v>30</v>
      </c>
      <c r="O503" s="1050">
        <v>1.5</v>
      </c>
      <c r="P503" s="1053">
        <v>4.28</v>
      </c>
      <c r="Q503" s="416"/>
    </row>
    <row r="504" spans="2:17" x14ac:dyDescent="0.25">
      <c r="B504" s="415">
        <v>503</v>
      </c>
      <c r="C504" s="595" t="s">
        <v>927</v>
      </c>
      <c r="D504" s="421" t="s">
        <v>8</v>
      </c>
      <c r="E504" s="421" t="s">
        <v>9</v>
      </c>
      <c r="F504" s="421" t="s">
        <v>752</v>
      </c>
      <c r="G504" s="421" t="s">
        <v>24</v>
      </c>
      <c r="H504" s="421" t="s">
        <v>22</v>
      </c>
      <c r="I504" s="1067" t="s">
        <v>173</v>
      </c>
      <c r="J504" s="414" t="str">
        <f t="shared" si="7"/>
        <v>ACompra de ViviendaLey PreferencialReposeído (BG)UsadaCasaFERIA000000080000.01</v>
      </c>
      <c r="K504" s="1049">
        <v>80000.009999999995</v>
      </c>
      <c r="L504" s="1049">
        <v>120000</v>
      </c>
      <c r="M504" s="1053">
        <v>95</v>
      </c>
      <c r="N504" s="1048">
        <v>30</v>
      </c>
      <c r="O504" s="1050">
        <v>1.5</v>
      </c>
      <c r="P504" s="1053">
        <v>4.28</v>
      </c>
      <c r="Q504" s="416"/>
    </row>
    <row r="505" spans="2:17" x14ac:dyDescent="0.25">
      <c r="B505" s="415">
        <v>504</v>
      </c>
      <c r="C505" s="1374" t="s">
        <v>927</v>
      </c>
      <c r="D505" s="421" t="s">
        <v>8</v>
      </c>
      <c r="E505" s="421" t="s">
        <v>9</v>
      </c>
      <c r="F505" s="421" t="s">
        <v>11</v>
      </c>
      <c r="G505" s="421" t="s">
        <v>21</v>
      </c>
      <c r="H505" s="421" t="s">
        <v>25</v>
      </c>
      <c r="I505" s="1067" t="s">
        <v>567</v>
      </c>
      <c r="J505" s="414" t="str">
        <f t="shared" si="7"/>
        <v>ACompra de ViviendaLey PreferencialResidencialNuevaApartamentoBG000000030000.00</v>
      </c>
      <c r="K505" s="1049">
        <v>30000</v>
      </c>
      <c r="L505" s="1049">
        <v>40000</v>
      </c>
      <c r="M505" s="1053">
        <v>98</v>
      </c>
      <c r="N505" s="1048">
        <v>30</v>
      </c>
      <c r="O505" s="1053">
        <v>0</v>
      </c>
      <c r="P505" s="1053">
        <v>8.56</v>
      </c>
      <c r="Q505" s="416"/>
    </row>
    <row r="506" spans="2:17" x14ac:dyDescent="0.25">
      <c r="B506" s="415">
        <v>505</v>
      </c>
      <c r="C506" s="1374" t="s">
        <v>927</v>
      </c>
      <c r="D506" s="421" t="s">
        <v>8</v>
      </c>
      <c r="E506" s="421" t="s">
        <v>9</v>
      </c>
      <c r="F506" s="421" t="s">
        <v>11</v>
      </c>
      <c r="G506" s="421" t="s">
        <v>21</v>
      </c>
      <c r="H506" s="421" t="s">
        <v>25</v>
      </c>
      <c r="I506" s="1067" t="s">
        <v>567</v>
      </c>
      <c r="J506" s="414" t="str">
        <f t="shared" si="7"/>
        <v>ACompra de ViviendaLey PreferencialResidencialNuevaApartamentoBG000000040000.01</v>
      </c>
      <c r="K506" s="1049">
        <v>40000.01</v>
      </c>
      <c r="L506" s="1049">
        <v>80000</v>
      </c>
      <c r="M506" s="1053">
        <v>98</v>
      </c>
      <c r="N506" s="1048">
        <v>30</v>
      </c>
      <c r="O506" s="1050">
        <v>1.5</v>
      </c>
      <c r="P506" s="1053">
        <v>8.56</v>
      </c>
      <c r="Q506" s="416"/>
    </row>
    <row r="507" spans="2:17" x14ac:dyDescent="0.25">
      <c r="B507" s="412">
        <v>506</v>
      </c>
      <c r="C507" s="1374" t="s">
        <v>927</v>
      </c>
      <c r="D507" s="421" t="s">
        <v>8</v>
      </c>
      <c r="E507" s="421" t="s">
        <v>9</v>
      </c>
      <c r="F507" s="421" t="s">
        <v>11</v>
      </c>
      <c r="G507" s="421" t="s">
        <v>21</v>
      </c>
      <c r="H507" s="421" t="s">
        <v>25</v>
      </c>
      <c r="I507" s="1067" t="s">
        <v>567</v>
      </c>
      <c r="J507" s="414" t="str">
        <f t="shared" si="7"/>
        <v>ACompra de ViviendaLey PreferencialResidencialNuevaApartamentoBG000000080000.01</v>
      </c>
      <c r="K507" s="1049">
        <v>80000.009999999995</v>
      </c>
      <c r="L507" s="1049">
        <v>120000</v>
      </c>
      <c r="M507" s="1053">
        <v>98</v>
      </c>
      <c r="N507" s="1048">
        <v>30</v>
      </c>
      <c r="O507" s="1050">
        <v>1.5</v>
      </c>
      <c r="P507" s="1053">
        <v>8.56</v>
      </c>
      <c r="Q507" s="416"/>
    </row>
    <row r="508" spans="2:17" x14ac:dyDescent="0.25">
      <c r="B508" s="415">
        <v>507</v>
      </c>
      <c r="C508" s="595" t="s">
        <v>927</v>
      </c>
      <c r="D508" s="421" t="s">
        <v>8</v>
      </c>
      <c r="E508" s="421" t="s">
        <v>9</v>
      </c>
      <c r="F508" s="421" t="s">
        <v>11</v>
      </c>
      <c r="G508" s="421" t="s">
        <v>21</v>
      </c>
      <c r="H508" s="421" t="s">
        <v>25</v>
      </c>
      <c r="I508" s="1067" t="s">
        <v>913</v>
      </c>
      <c r="J508" s="414" t="str">
        <f t="shared" si="7"/>
        <v>ACompra de ViviendaLey PreferencialResidencialNuevaApartamentoCOPA000000030000.00</v>
      </c>
      <c r="K508" s="1049">
        <v>30000</v>
      </c>
      <c r="L508" s="1049">
        <v>40000</v>
      </c>
      <c r="M508" s="1053">
        <v>95</v>
      </c>
      <c r="N508" s="1048">
        <v>30</v>
      </c>
      <c r="O508" s="1053">
        <v>0</v>
      </c>
      <c r="P508" s="1050">
        <v>8.56</v>
      </c>
      <c r="Q508" s="416"/>
    </row>
    <row r="509" spans="2:17" x14ac:dyDescent="0.25">
      <c r="B509" s="415">
        <v>508</v>
      </c>
      <c r="C509" s="595" t="s">
        <v>927</v>
      </c>
      <c r="D509" s="421" t="s">
        <v>8</v>
      </c>
      <c r="E509" s="421" t="s">
        <v>9</v>
      </c>
      <c r="F509" s="421" t="s">
        <v>11</v>
      </c>
      <c r="G509" s="421" t="s">
        <v>21</v>
      </c>
      <c r="H509" s="421" t="s">
        <v>25</v>
      </c>
      <c r="I509" s="1067" t="s">
        <v>913</v>
      </c>
      <c r="J509" s="414" t="str">
        <f t="shared" si="7"/>
        <v>ACompra de ViviendaLey PreferencialResidencialNuevaApartamentoCOPA000000040000.01</v>
      </c>
      <c r="K509" s="1049">
        <v>40000.01</v>
      </c>
      <c r="L509" s="1049">
        <v>80000</v>
      </c>
      <c r="M509" s="1053">
        <v>95</v>
      </c>
      <c r="N509" s="1048">
        <v>30</v>
      </c>
      <c r="O509" s="1050">
        <v>1.5</v>
      </c>
      <c r="P509" s="1050">
        <v>8.56</v>
      </c>
      <c r="Q509" s="416"/>
    </row>
    <row r="510" spans="2:17" x14ac:dyDescent="0.25">
      <c r="B510" s="415">
        <v>509</v>
      </c>
      <c r="C510" s="595" t="s">
        <v>927</v>
      </c>
      <c r="D510" s="421" t="s">
        <v>8</v>
      </c>
      <c r="E510" s="421" t="s">
        <v>9</v>
      </c>
      <c r="F510" s="421" t="s">
        <v>11</v>
      </c>
      <c r="G510" s="421" t="s">
        <v>21</v>
      </c>
      <c r="H510" s="421" t="s">
        <v>25</v>
      </c>
      <c r="I510" s="1067" t="s">
        <v>913</v>
      </c>
      <c r="J510" s="414" t="str">
        <f t="shared" si="7"/>
        <v>ACompra de ViviendaLey PreferencialResidencialNuevaApartamentoCOPA000000080000.01</v>
      </c>
      <c r="K510" s="1049">
        <v>80000.009999999995</v>
      </c>
      <c r="L510" s="1049">
        <v>120000</v>
      </c>
      <c r="M510" s="1053">
        <v>95</v>
      </c>
      <c r="N510" s="1048">
        <v>30</v>
      </c>
      <c r="O510" s="1050">
        <v>1.5</v>
      </c>
      <c r="P510" s="1050">
        <v>8.56</v>
      </c>
      <c r="Q510" s="416"/>
    </row>
    <row r="511" spans="2:17" x14ac:dyDescent="0.25">
      <c r="B511" s="415">
        <v>510</v>
      </c>
      <c r="C511" s="595" t="s">
        <v>927</v>
      </c>
      <c r="D511" s="421" t="s">
        <v>8</v>
      </c>
      <c r="E511" s="421" t="s">
        <v>9</v>
      </c>
      <c r="F511" s="421" t="s">
        <v>11</v>
      </c>
      <c r="G511" s="421" t="s">
        <v>21</v>
      </c>
      <c r="H511" s="421" t="s">
        <v>25</v>
      </c>
      <c r="I511" s="1067" t="s">
        <v>173</v>
      </c>
      <c r="J511" s="414" t="str">
        <f t="shared" si="7"/>
        <v>ACompra de ViviendaLey PreferencialResidencialNuevaApartamentoFERIA000000030000.00</v>
      </c>
      <c r="K511" s="1049">
        <v>30000</v>
      </c>
      <c r="L511" s="1049">
        <v>40000</v>
      </c>
      <c r="M511" s="1053">
        <v>95</v>
      </c>
      <c r="N511" s="1048">
        <v>30</v>
      </c>
      <c r="O511" s="1053">
        <v>0</v>
      </c>
      <c r="P511" s="1053">
        <v>4.28</v>
      </c>
      <c r="Q511" s="416"/>
    </row>
    <row r="512" spans="2:17" x14ac:dyDescent="0.25">
      <c r="B512" s="412">
        <v>511</v>
      </c>
      <c r="C512" s="595" t="s">
        <v>927</v>
      </c>
      <c r="D512" s="421" t="s">
        <v>8</v>
      </c>
      <c r="E512" s="421" t="s">
        <v>9</v>
      </c>
      <c r="F512" s="421" t="s">
        <v>11</v>
      </c>
      <c r="G512" s="421" t="s">
        <v>21</v>
      </c>
      <c r="H512" s="421" t="s">
        <v>25</v>
      </c>
      <c r="I512" s="1067" t="s">
        <v>173</v>
      </c>
      <c r="J512" s="414" t="str">
        <f t="shared" si="7"/>
        <v>ACompra de ViviendaLey PreferencialResidencialNuevaApartamentoFERIA000000040000.01</v>
      </c>
      <c r="K512" s="1049">
        <v>40000.01</v>
      </c>
      <c r="L512" s="1049">
        <v>80000</v>
      </c>
      <c r="M512" s="1053">
        <v>95</v>
      </c>
      <c r="N512" s="1048">
        <v>30</v>
      </c>
      <c r="O512" s="1050">
        <v>1.5</v>
      </c>
      <c r="P512" s="1053">
        <v>4.28</v>
      </c>
      <c r="Q512" s="416"/>
    </row>
    <row r="513" spans="2:17" x14ac:dyDescent="0.25">
      <c r="B513" s="415">
        <v>512</v>
      </c>
      <c r="C513" s="595" t="s">
        <v>927</v>
      </c>
      <c r="D513" s="421" t="s">
        <v>8</v>
      </c>
      <c r="E513" s="421" t="s">
        <v>9</v>
      </c>
      <c r="F513" s="421" t="s">
        <v>11</v>
      </c>
      <c r="G513" s="421" t="s">
        <v>21</v>
      </c>
      <c r="H513" s="421" t="s">
        <v>25</v>
      </c>
      <c r="I513" s="1067" t="s">
        <v>173</v>
      </c>
      <c r="J513" s="414" t="str">
        <f t="shared" si="7"/>
        <v>ACompra de ViviendaLey PreferencialResidencialNuevaApartamentoFERIA000000080000.01</v>
      </c>
      <c r="K513" s="1049">
        <v>80000.009999999995</v>
      </c>
      <c r="L513" s="1049">
        <v>120000</v>
      </c>
      <c r="M513" s="1053">
        <v>95</v>
      </c>
      <c r="N513" s="1048">
        <v>30</v>
      </c>
      <c r="O513" s="1050">
        <v>1.5</v>
      </c>
      <c r="P513" s="1053">
        <v>4.28</v>
      </c>
      <c r="Q513" s="416"/>
    </row>
    <row r="514" spans="2:17" x14ac:dyDescent="0.25">
      <c r="B514" s="415">
        <v>513</v>
      </c>
      <c r="C514" s="1374" t="s">
        <v>927</v>
      </c>
      <c r="D514" s="421" t="s">
        <v>8</v>
      </c>
      <c r="E514" s="421" t="s">
        <v>9</v>
      </c>
      <c r="F514" s="421" t="s">
        <v>11</v>
      </c>
      <c r="G514" s="421" t="s">
        <v>21</v>
      </c>
      <c r="H514" s="421" t="s">
        <v>22</v>
      </c>
      <c r="I514" s="1067" t="s">
        <v>567</v>
      </c>
      <c r="J514" s="414" t="str">
        <f t="shared" ref="J514:J577" si="8">C514&amp;D514&amp;E514&amp;F514&amp;G514&amp;H514&amp;I514 &amp; REPT("0",15-LEN(K514 &amp; IF(IFERROR(FIND(".",K514&amp;""),0)=0,".00","")))&amp;K514 &amp; IF(IFERROR(FIND(".",K514&amp;""),0)=0,".00","")</f>
        <v>ACompra de ViviendaLey PreferencialResidencialNuevaCasaBG000000000000.00</v>
      </c>
      <c r="K514" s="1058"/>
      <c r="L514" s="1058"/>
      <c r="M514" s="1059"/>
      <c r="N514" s="1059"/>
      <c r="O514" s="1053">
        <v>0</v>
      </c>
      <c r="P514" s="1053">
        <v>8.56</v>
      </c>
      <c r="Q514" s="416" t="s">
        <v>670</v>
      </c>
    </row>
    <row r="515" spans="2:17" x14ac:dyDescent="0.25">
      <c r="B515" s="415">
        <v>514</v>
      </c>
      <c r="C515" s="1374" t="s">
        <v>927</v>
      </c>
      <c r="D515" s="421" t="s">
        <v>8</v>
      </c>
      <c r="E515" s="421" t="s">
        <v>9</v>
      </c>
      <c r="F515" s="421" t="s">
        <v>11</v>
      </c>
      <c r="G515" s="421" t="s">
        <v>21</v>
      </c>
      <c r="H515" s="421" t="s">
        <v>22</v>
      </c>
      <c r="I515" s="1067" t="s">
        <v>567</v>
      </c>
      <c r="J515" s="414" t="str">
        <f t="shared" si="8"/>
        <v>ACompra de ViviendaLey PreferencialResidencialNuevaCasaBG000000018000.00</v>
      </c>
      <c r="K515" s="1049">
        <v>18000</v>
      </c>
      <c r="L515" s="1049">
        <v>40000</v>
      </c>
      <c r="M515" s="1053">
        <v>98</v>
      </c>
      <c r="N515" s="1048">
        <v>30</v>
      </c>
      <c r="O515" s="1053">
        <v>0</v>
      </c>
      <c r="P515" s="1053">
        <v>8.56</v>
      </c>
      <c r="Q515" s="416"/>
    </row>
    <row r="516" spans="2:17" x14ac:dyDescent="0.25">
      <c r="B516" s="415">
        <v>515</v>
      </c>
      <c r="C516" s="1374" t="s">
        <v>927</v>
      </c>
      <c r="D516" s="421" t="s">
        <v>8</v>
      </c>
      <c r="E516" s="421" t="s">
        <v>9</v>
      </c>
      <c r="F516" s="421" t="s">
        <v>11</v>
      </c>
      <c r="G516" s="421" t="s">
        <v>21</v>
      </c>
      <c r="H516" s="421" t="s">
        <v>22</v>
      </c>
      <c r="I516" s="1067" t="s">
        <v>567</v>
      </c>
      <c r="J516" s="414" t="str">
        <f t="shared" si="8"/>
        <v>ACompra de ViviendaLey PreferencialResidencialNuevaCasaBG000000040000.01</v>
      </c>
      <c r="K516" s="1049">
        <v>40000.01</v>
      </c>
      <c r="L516" s="1049">
        <v>80000</v>
      </c>
      <c r="M516" s="1053">
        <v>98</v>
      </c>
      <c r="N516" s="1048">
        <v>30</v>
      </c>
      <c r="O516" s="1050">
        <v>1.5</v>
      </c>
      <c r="P516" s="1053">
        <v>8.56</v>
      </c>
      <c r="Q516" s="416"/>
    </row>
    <row r="517" spans="2:17" x14ac:dyDescent="0.25">
      <c r="B517" s="412">
        <v>516</v>
      </c>
      <c r="C517" s="1374" t="s">
        <v>927</v>
      </c>
      <c r="D517" s="421" t="s">
        <v>8</v>
      </c>
      <c r="E517" s="421" t="s">
        <v>9</v>
      </c>
      <c r="F517" s="421" t="s">
        <v>11</v>
      </c>
      <c r="G517" s="421" t="s">
        <v>21</v>
      </c>
      <c r="H517" s="421" t="s">
        <v>22</v>
      </c>
      <c r="I517" s="1067" t="s">
        <v>567</v>
      </c>
      <c r="J517" s="414" t="str">
        <f t="shared" si="8"/>
        <v>ACompra de ViviendaLey PreferencialResidencialNuevaCasaBG000000080000.01</v>
      </c>
      <c r="K517" s="1049">
        <v>80000.009999999995</v>
      </c>
      <c r="L517" s="1049">
        <v>120000</v>
      </c>
      <c r="M517" s="1053">
        <v>98</v>
      </c>
      <c r="N517" s="1048">
        <v>30</v>
      </c>
      <c r="O517" s="1050">
        <v>1.5</v>
      </c>
      <c r="P517" s="1053">
        <v>8.56</v>
      </c>
      <c r="Q517" s="416"/>
    </row>
    <row r="518" spans="2:17" x14ac:dyDescent="0.25">
      <c r="B518" s="415">
        <v>517</v>
      </c>
      <c r="C518" s="595" t="s">
        <v>927</v>
      </c>
      <c r="D518" s="421" t="s">
        <v>8</v>
      </c>
      <c r="E518" s="421" t="s">
        <v>9</v>
      </c>
      <c r="F518" s="421" t="s">
        <v>11</v>
      </c>
      <c r="G518" s="421" t="s">
        <v>21</v>
      </c>
      <c r="H518" s="421" t="s">
        <v>22</v>
      </c>
      <c r="I518" s="1067" t="s">
        <v>913</v>
      </c>
      <c r="J518" s="414" t="str">
        <f t="shared" si="8"/>
        <v>ACompra de ViviendaLey PreferencialResidencialNuevaCasaCOPA000000018000.00</v>
      </c>
      <c r="K518" s="1049">
        <v>18000</v>
      </c>
      <c r="L518" s="1049">
        <v>40000</v>
      </c>
      <c r="M518" s="1053">
        <v>98</v>
      </c>
      <c r="N518" s="1048">
        <v>30</v>
      </c>
      <c r="O518" s="1053">
        <v>0</v>
      </c>
      <c r="P518" s="1050">
        <v>8.56</v>
      </c>
      <c r="Q518" s="416"/>
    </row>
    <row r="519" spans="2:17" x14ac:dyDescent="0.25">
      <c r="B519" s="415">
        <v>518</v>
      </c>
      <c r="C519" s="595" t="s">
        <v>927</v>
      </c>
      <c r="D519" s="421" t="s">
        <v>8</v>
      </c>
      <c r="E519" s="421" t="s">
        <v>9</v>
      </c>
      <c r="F519" s="421" t="s">
        <v>11</v>
      </c>
      <c r="G519" s="421" t="s">
        <v>21</v>
      </c>
      <c r="H519" s="421" t="s">
        <v>22</v>
      </c>
      <c r="I519" s="1067" t="s">
        <v>913</v>
      </c>
      <c r="J519" s="414" t="str">
        <f t="shared" si="8"/>
        <v>ACompra de ViviendaLey PreferencialResidencialNuevaCasaCOPA000000040000.01</v>
      </c>
      <c r="K519" s="1049">
        <v>40000.01</v>
      </c>
      <c r="L519" s="1049">
        <v>80000</v>
      </c>
      <c r="M519" s="1053">
        <v>98</v>
      </c>
      <c r="N519" s="1048">
        <v>30</v>
      </c>
      <c r="O519" s="1050">
        <v>1.5</v>
      </c>
      <c r="P519" s="1050">
        <v>8.56</v>
      </c>
      <c r="Q519" s="416"/>
    </row>
    <row r="520" spans="2:17" x14ac:dyDescent="0.25">
      <c r="B520" s="415">
        <v>519</v>
      </c>
      <c r="C520" s="595" t="s">
        <v>927</v>
      </c>
      <c r="D520" s="421" t="s">
        <v>8</v>
      </c>
      <c r="E520" s="421" t="s">
        <v>9</v>
      </c>
      <c r="F520" s="421" t="s">
        <v>11</v>
      </c>
      <c r="G520" s="421" t="s">
        <v>21</v>
      </c>
      <c r="H520" s="421" t="s">
        <v>22</v>
      </c>
      <c r="I520" s="1067" t="s">
        <v>913</v>
      </c>
      <c r="J520" s="414" t="str">
        <f t="shared" si="8"/>
        <v>ACompra de ViviendaLey PreferencialResidencialNuevaCasaCOPA000000080000.01</v>
      </c>
      <c r="K520" s="1049">
        <v>80000.009999999995</v>
      </c>
      <c r="L520" s="1049">
        <v>120000</v>
      </c>
      <c r="M520" s="1053">
        <v>98</v>
      </c>
      <c r="N520" s="1048">
        <v>30</v>
      </c>
      <c r="O520" s="1050">
        <v>1.5</v>
      </c>
      <c r="P520" s="1050">
        <v>8.56</v>
      </c>
      <c r="Q520" s="416"/>
    </row>
    <row r="521" spans="2:17" x14ac:dyDescent="0.25">
      <c r="B521" s="415">
        <v>520</v>
      </c>
      <c r="C521" s="595" t="s">
        <v>927</v>
      </c>
      <c r="D521" s="421" t="s">
        <v>8</v>
      </c>
      <c r="E521" s="421" t="s">
        <v>9</v>
      </c>
      <c r="F521" s="421" t="s">
        <v>11</v>
      </c>
      <c r="G521" s="421" t="s">
        <v>21</v>
      </c>
      <c r="H521" s="421" t="s">
        <v>22</v>
      </c>
      <c r="I521" s="1067" t="s">
        <v>173</v>
      </c>
      <c r="J521" s="414" t="str">
        <f t="shared" si="8"/>
        <v>ACompra de ViviendaLey PreferencialResidencialNuevaCasaFERIA000000018000.00</v>
      </c>
      <c r="K521" s="1049">
        <v>18000</v>
      </c>
      <c r="L521" s="1049">
        <v>40000</v>
      </c>
      <c r="M521" s="1053">
        <v>98</v>
      </c>
      <c r="N521" s="1048">
        <v>30</v>
      </c>
      <c r="O521" s="1053">
        <v>0</v>
      </c>
      <c r="P521" s="1053">
        <v>4.28</v>
      </c>
      <c r="Q521" s="416"/>
    </row>
    <row r="522" spans="2:17" x14ac:dyDescent="0.25">
      <c r="B522" s="412">
        <v>521</v>
      </c>
      <c r="C522" s="595" t="s">
        <v>927</v>
      </c>
      <c r="D522" s="421" t="s">
        <v>8</v>
      </c>
      <c r="E522" s="421" t="s">
        <v>9</v>
      </c>
      <c r="F522" s="421" t="s">
        <v>11</v>
      </c>
      <c r="G522" s="421" t="s">
        <v>21</v>
      </c>
      <c r="H522" s="421" t="s">
        <v>22</v>
      </c>
      <c r="I522" s="1067" t="s">
        <v>173</v>
      </c>
      <c r="J522" s="414" t="str">
        <f t="shared" si="8"/>
        <v>ACompra de ViviendaLey PreferencialResidencialNuevaCasaFERIA000000040000.01</v>
      </c>
      <c r="K522" s="1049">
        <v>40000.01</v>
      </c>
      <c r="L522" s="1049">
        <v>80000</v>
      </c>
      <c r="M522" s="1053">
        <v>98</v>
      </c>
      <c r="N522" s="1048">
        <v>30</v>
      </c>
      <c r="O522" s="1050">
        <v>1.5</v>
      </c>
      <c r="P522" s="1053">
        <v>4.28</v>
      </c>
      <c r="Q522" s="416"/>
    </row>
    <row r="523" spans="2:17" x14ac:dyDescent="0.25">
      <c r="B523" s="415">
        <v>522</v>
      </c>
      <c r="C523" s="595" t="s">
        <v>927</v>
      </c>
      <c r="D523" s="421" t="s">
        <v>8</v>
      </c>
      <c r="E523" s="421" t="s">
        <v>9</v>
      </c>
      <c r="F523" s="421" t="s">
        <v>11</v>
      </c>
      <c r="G523" s="421" t="s">
        <v>21</v>
      </c>
      <c r="H523" s="421" t="s">
        <v>22</v>
      </c>
      <c r="I523" s="1067" t="s">
        <v>173</v>
      </c>
      <c r="J523" s="414" t="str">
        <f t="shared" si="8"/>
        <v>ACompra de ViviendaLey PreferencialResidencialNuevaCasaFERIA000000080000.01</v>
      </c>
      <c r="K523" s="1049">
        <v>80000.009999999995</v>
      </c>
      <c r="L523" s="1049">
        <v>120000</v>
      </c>
      <c r="M523" s="1053">
        <v>98</v>
      </c>
      <c r="N523" s="1048">
        <v>30</v>
      </c>
      <c r="O523" s="1050">
        <v>1.5</v>
      </c>
      <c r="P523" s="1053">
        <v>4.28</v>
      </c>
      <c r="Q523" s="416"/>
    </row>
    <row r="524" spans="2:17" x14ac:dyDescent="0.25">
      <c r="B524" s="415">
        <v>523</v>
      </c>
      <c r="C524" s="595" t="s">
        <v>927</v>
      </c>
      <c r="D524" s="421" t="s">
        <v>1365</v>
      </c>
      <c r="E524" s="421" t="s">
        <v>762</v>
      </c>
      <c r="F524" s="421" t="s">
        <v>11</v>
      </c>
      <c r="G524" s="421" t="s">
        <v>21</v>
      </c>
      <c r="H524" s="421" t="s">
        <v>25</v>
      </c>
      <c r="I524" s="1067" t="s">
        <v>567</v>
      </c>
      <c r="J524" s="414" t="str">
        <f t="shared" si="8"/>
        <v>ACompra Venta de AccionesCasco AntiguoResidencialNuevaApartamentoBG000000030000.00</v>
      </c>
      <c r="K524" s="1049">
        <v>30000</v>
      </c>
      <c r="L524" s="1049">
        <v>99999999</v>
      </c>
      <c r="M524" s="1053">
        <v>80</v>
      </c>
      <c r="N524" s="1048">
        <v>30</v>
      </c>
      <c r="O524" s="1050">
        <v>3.5</v>
      </c>
      <c r="P524" s="1053">
        <v>4.28</v>
      </c>
      <c r="Q524" s="416"/>
    </row>
    <row r="525" spans="2:17" x14ac:dyDescent="0.25">
      <c r="B525" s="415">
        <v>524</v>
      </c>
      <c r="C525" s="595" t="s">
        <v>927</v>
      </c>
      <c r="D525" s="421" t="s">
        <v>1365</v>
      </c>
      <c r="E525" s="421" t="s">
        <v>762</v>
      </c>
      <c r="F525" s="421" t="s">
        <v>11</v>
      </c>
      <c r="G525" s="421" t="s">
        <v>21</v>
      </c>
      <c r="H525" s="421" t="s">
        <v>22</v>
      </c>
      <c r="I525" s="1067" t="s">
        <v>567</v>
      </c>
      <c r="J525" s="414" t="str">
        <f t="shared" si="8"/>
        <v>ACompra Venta de AccionesCasco AntiguoResidencialNuevaCasaBG000000030000.00</v>
      </c>
      <c r="K525" s="1049">
        <v>30000</v>
      </c>
      <c r="L525" s="1049">
        <v>99999999</v>
      </c>
      <c r="M525" s="1053">
        <v>80</v>
      </c>
      <c r="N525" s="1048">
        <v>30</v>
      </c>
      <c r="O525" s="1050">
        <v>3.5</v>
      </c>
      <c r="P525" s="1053">
        <v>4.28</v>
      </c>
      <c r="Q525" s="416"/>
    </row>
    <row r="526" spans="2:17" x14ac:dyDescent="0.25">
      <c r="B526" s="415">
        <v>525</v>
      </c>
      <c r="C526" s="595" t="s">
        <v>927</v>
      </c>
      <c r="D526" s="421" t="s">
        <v>1365</v>
      </c>
      <c r="E526" s="421" t="s">
        <v>762</v>
      </c>
      <c r="F526" s="421" t="s">
        <v>11</v>
      </c>
      <c r="G526" s="421" t="s">
        <v>24</v>
      </c>
      <c r="H526" s="421" t="s">
        <v>25</v>
      </c>
      <c r="I526" s="1067" t="s">
        <v>567</v>
      </c>
      <c r="J526" s="414" t="str">
        <f t="shared" si="8"/>
        <v>ACompra Venta de AccionesCasco AntiguoResidencialUsadaApartamentoBG000000030000.00</v>
      </c>
      <c r="K526" s="1049">
        <v>30000</v>
      </c>
      <c r="L526" s="1049">
        <v>99999999</v>
      </c>
      <c r="M526" s="1053">
        <v>80</v>
      </c>
      <c r="N526" s="1048">
        <v>30</v>
      </c>
      <c r="O526" s="1050">
        <v>3.5</v>
      </c>
      <c r="P526" s="1053">
        <v>4.28</v>
      </c>
      <c r="Q526" s="416"/>
    </row>
    <row r="527" spans="2:17" x14ac:dyDescent="0.25">
      <c r="B527" s="412">
        <v>526</v>
      </c>
      <c r="C527" s="595" t="s">
        <v>927</v>
      </c>
      <c r="D527" s="421" t="s">
        <v>1365</v>
      </c>
      <c r="E527" s="421" t="s">
        <v>762</v>
      </c>
      <c r="F527" s="421" t="s">
        <v>11</v>
      </c>
      <c r="G527" s="421" t="s">
        <v>24</v>
      </c>
      <c r="H527" s="421" t="s">
        <v>22</v>
      </c>
      <c r="I527" s="1067" t="s">
        <v>567</v>
      </c>
      <c r="J527" s="414" t="str">
        <f t="shared" si="8"/>
        <v>ACompra Venta de AccionesCasco AntiguoResidencialUsadaCasaBG000000030000.00</v>
      </c>
      <c r="K527" s="1049">
        <v>30000</v>
      </c>
      <c r="L527" s="1049">
        <v>99999999</v>
      </c>
      <c r="M527" s="1053">
        <v>80</v>
      </c>
      <c r="N527" s="1048">
        <v>30</v>
      </c>
      <c r="O527" s="1050">
        <v>3.5</v>
      </c>
      <c r="P527" s="1053">
        <v>4.28</v>
      </c>
      <c r="Q527" s="416"/>
    </row>
    <row r="528" spans="2:17" x14ac:dyDescent="0.25">
      <c r="B528" s="415">
        <v>527</v>
      </c>
      <c r="C528" s="595" t="s">
        <v>927</v>
      </c>
      <c r="D528" s="421" t="s">
        <v>1365</v>
      </c>
      <c r="E528" s="421" t="s">
        <v>17</v>
      </c>
      <c r="F528" s="421" t="s">
        <v>11</v>
      </c>
      <c r="G528" s="421" t="s">
        <v>21</v>
      </c>
      <c r="H528" s="421" t="s">
        <v>25</v>
      </c>
      <c r="I528" s="1067" t="s">
        <v>567</v>
      </c>
      <c r="J528" s="414" t="str">
        <f t="shared" si="8"/>
        <v>ACompra Venta de AccionesIndividualResidencialNuevaApartamentoBG000000030000.00</v>
      </c>
      <c r="K528" s="1049">
        <v>30000</v>
      </c>
      <c r="L528" s="1049">
        <v>100000</v>
      </c>
      <c r="M528" s="1053">
        <v>95</v>
      </c>
      <c r="N528" s="1048">
        <v>30</v>
      </c>
      <c r="O528" s="1053">
        <v>5</v>
      </c>
      <c r="P528" s="1050">
        <v>8.56</v>
      </c>
    </row>
    <row r="529" spans="2:16" x14ac:dyDescent="0.25">
      <c r="B529" s="415">
        <v>528</v>
      </c>
      <c r="C529" s="595" t="s">
        <v>927</v>
      </c>
      <c r="D529" s="421" t="s">
        <v>1365</v>
      </c>
      <c r="E529" s="421" t="s">
        <v>17</v>
      </c>
      <c r="F529" s="421" t="s">
        <v>11</v>
      </c>
      <c r="G529" s="421" t="s">
        <v>21</v>
      </c>
      <c r="H529" s="421" t="s">
        <v>25</v>
      </c>
      <c r="I529" s="1067" t="s">
        <v>567</v>
      </c>
      <c r="J529" s="414" t="str">
        <f t="shared" si="8"/>
        <v>ACompra Venta de AccionesIndividualResidencialNuevaApartamentoBG000000100000.01</v>
      </c>
      <c r="K529" s="1049">
        <v>100000.01</v>
      </c>
      <c r="L529" s="1049">
        <v>250000</v>
      </c>
      <c r="M529" s="1053">
        <v>90</v>
      </c>
      <c r="N529" s="1048">
        <v>30</v>
      </c>
      <c r="O529" s="1053">
        <v>5</v>
      </c>
      <c r="P529" s="1050">
        <v>8.56</v>
      </c>
    </row>
    <row r="530" spans="2:16" x14ac:dyDescent="0.25">
      <c r="B530" s="415">
        <v>529</v>
      </c>
      <c r="C530" s="595" t="s">
        <v>927</v>
      </c>
      <c r="D530" s="421" t="s">
        <v>1365</v>
      </c>
      <c r="E530" s="421" t="s">
        <v>17</v>
      </c>
      <c r="F530" s="421" t="s">
        <v>11</v>
      </c>
      <c r="G530" s="421" t="s">
        <v>21</v>
      </c>
      <c r="H530" s="421" t="s">
        <v>25</v>
      </c>
      <c r="I530" s="1067" t="s">
        <v>567</v>
      </c>
      <c r="J530" s="414" t="str">
        <f t="shared" si="8"/>
        <v>ACompra Venta de AccionesIndividualResidencialNuevaApartamentoBG000000250000.01</v>
      </c>
      <c r="K530" s="1049">
        <v>250000.01</v>
      </c>
      <c r="L530" s="1049">
        <v>600000</v>
      </c>
      <c r="M530" s="1053">
        <v>80</v>
      </c>
      <c r="N530" s="1048">
        <v>30</v>
      </c>
      <c r="O530" s="1053">
        <v>5</v>
      </c>
      <c r="P530" s="1050">
        <v>8.56</v>
      </c>
    </row>
    <row r="531" spans="2:16" x14ac:dyDescent="0.25">
      <c r="B531" s="415">
        <v>530</v>
      </c>
      <c r="C531" s="595" t="s">
        <v>927</v>
      </c>
      <c r="D531" s="421" t="s">
        <v>1365</v>
      </c>
      <c r="E531" s="421" t="s">
        <v>17</v>
      </c>
      <c r="F531" s="421" t="s">
        <v>11</v>
      </c>
      <c r="G531" s="421" t="s">
        <v>21</v>
      </c>
      <c r="H531" s="421" t="s">
        <v>25</v>
      </c>
      <c r="I531" s="1067" t="s">
        <v>567</v>
      </c>
      <c r="J531" s="414" t="str">
        <f t="shared" si="8"/>
        <v>ACompra Venta de AccionesIndividualResidencialNuevaApartamentoBG000000600000.01</v>
      </c>
      <c r="K531" s="1049">
        <v>600000.01</v>
      </c>
      <c r="L531" s="1049">
        <v>99999999</v>
      </c>
      <c r="M531" s="1053">
        <v>70</v>
      </c>
      <c r="N531" s="1048">
        <v>30</v>
      </c>
      <c r="O531" s="1053">
        <v>5</v>
      </c>
      <c r="P531" s="1050">
        <v>8.56</v>
      </c>
    </row>
    <row r="532" spans="2:16" x14ac:dyDescent="0.25">
      <c r="B532" s="412">
        <v>531</v>
      </c>
      <c r="C532" s="595" t="s">
        <v>927</v>
      </c>
      <c r="D532" s="421" t="s">
        <v>1365</v>
      </c>
      <c r="E532" s="421" t="s">
        <v>17</v>
      </c>
      <c r="F532" s="421" t="s">
        <v>11</v>
      </c>
      <c r="G532" s="421" t="s">
        <v>21</v>
      </c>
      <c r="H532" s="421" t="s">
        <v>22</v>
      </c>
      <c r="I532" s="1067" t="s">
        <v>567</v>
      </c>
      <c r="J532" s="414" t="str">
        <f t="shared" si="8"/>
        <v>ACompra Venta de AccionesIndividualResidencialNuevaCasaBG000000018000.00</v>
      </c>
      <c r="K532" s="1049">
        <v>18000</v>
      </c>
      <c r="L532" s="1049">
        <v>100000</v>
      </c>
      <c r="M532" s="1053">
        <v>95</v>
      </c>
      <c r="N532" s="1048">
        <v>30</v>
      </c>
      <c r="O532" s="1053">
        <v>5</v>
      </c>
      <c r="P532" s="1050">
        <v>8.56</v>
      </c>
    </row>
    <row r="533" spans="2:16" x14ac:dyDescent="0.25">
      <c r="B533" s="415">
        <v>532</v>
      </c>
      <c r="C533" s="595" t="s">
        <v>927</v>
      </c>
      <c r="D533" s="421" t="s">
        <v>1365</v>
      </c>
      <c r="E533" s="421" t="s">
        <v>17</v>
      </c>
      <c r="F533" s="421" t="s">
        <v>11</v>
      </c>
      <c r="G533" s="421" t="s">
        <v>21</v>
      </c>
      <c r="H533" s="421" t="s">
        <v>22</v>
      </c>
      <c r="I533" s="1067" t="s">
        <v>567</v>
      </c>
      <c r="J533" s="414" t="str">
        <f t="shared" si="8"/>
        <v>ACompra Venta de AccionesIndividualResidencialNuevaCasaBG000000100000.01</v>
      </c>
      <c r="K533" s="1049">
        <v>100000.01</v>
      </c>
      <c r="L533" s="1049">
        <v>250000</v>
      </c>
      <c r="M533" s="1053">
        <v>90</v>
      </c>
      <c r="N533" s="1048">
        <v>30</v>
      </c>
      <c r="O533" s="1053">
        <v>5</v>
      </c>
      <c r="P533" s="1050">
        <v>8.56</v>
      </c>
    </row>
    <row r="534" spans="2:16" x14ac:dyDescent="0.25">
      <c r="B534" s="415">
        <v>533</v>
      </c>
      <c r="C534" s="595" t="s">
        <v>927</v>
      </c>
      <c r="D534" s="421" t="s">
        <v>1365</v>
      </c>
      <c r="E534" s="421" t="s">
        <v>17</v>
      </c>
      <c r="F534" s="421" t="s">
        <v>11</v>
      </c>
      <c r="G534" s="421" t="s">
        <v>21</v>
      </c>
      <c r="H534" s="421" t="s">
        <v>22</v>
      </c>
      <c r="I534" s="1067" t="s">
        <v>567</v>
      </c>
      <c r="J534" s="414" t="str">
        <f t="shared" si="8"/>
        <v>ACompra Venta de AccionesIndividualResidencialNuevaCasaBG000000250000.01</v>
      </c>
      <c r="K534" s="1049">
        <v>250000.01</v>
      </c>
      <c r="L534" s="1049">
        <v>600000</v>
      </c>
      <c r="M534" s="1053">
        <v>80</v>
      </c>
      <c r="N534" s="1048">
        <v>30</v>
      </c>
      <c r="O534" s="1053">
        <v>5</v>
      </c>
      <c r="P534" s="1050">
        <v>8.56</v>
      </c>
    </row>
    <row r="535" spans="2:16" x14ac:dyDescent="0.25">
      <c r="B535" s="415">
        <v>534</v>
      </c>
      <c r="C535" s="595" t="s">
        <v>927</v>
      </c>
      <c r="D535" s="421" t="s">
        <v>1365</v>
      </c>
      <c r="E535" s="421" t="s">
        <v>17</v>
      </c>
      <c r="F535" s="421" t="s">
        <v>11</v>
      </c>
      <c r="G535" s="421" t="s">
        <v>21</v>
      </c>
      <c r="H535" s="421" t="s">
        <v>22</v>
      </c>
      <c r="I535" s="1067" t="s">
        <v>567</v>
      </c>
      <c r="J535" s="414" t="str">
        <f t="shared" si="8"/>
        <v>ACompra Venta de AccionesIndividualResidencialNuevaCasaBG000000600000.01</v>
      </c>
      <c r="K535" s="1049">
        <v>600000.01</v>
      </c>
      <c r="L535" s="1049">
        <v>99999999</v>
      </c>
      <c r="M535" s="1053">
        <v>70</v>
      </c>
      <c r="N535" s="1048">
        <v>30</v>
      </c>
      <c r="O535" s="1053">
        <v>5</v>
      </c>
      <c r="P535" s="1050">
        <v>8.56</v>
      </c>
    </row>
    <row r="536" spans="2:16" x14ac:dyDescent="0.25">
      <c r="B536" s="415">
        <v>535</v>
      </c>
      <c r="C536" s="595" t="s">
        <v>927</v>
      </c>
      <c r="D536" s="421" t="s">
        <v>1365</v>
      </c>
      <c r="E536" s="421" t="s">
        <v>17</v>
      </c>
      <c r="F536" s="421" t="s">
        <v>11</v>
      </c>
      <c r="G536" s="421" t="s">
        <v>24</v>
      </c>
      <c r="H536" s="421" t="s">
        <v>25</v>
      </c>
      <c r="I536" s="1067" t="s">
        <v>567</v>
      </c>
      <c r="J536" s="414" t="str">
        <f t="shared" si="8"/>
        <v>ACompra Venta de AccionesIndividualResidencialUsadaApartamentoBG000000030000.00</v>
      </c>
      <c r="K536" s="1049">
        <v>30000</v>
      </c>
      <c r="L536" s="1049">
        <v>250000</v>
      </c>
      <c r="M536" s="1053">
        <v>90</v>
      </c>
      <c r="N536" s="1048">
        <v>25</v>
      </c>
      <c r="O536" s="1053">
        <v>5.75</v>
      </c>
      <c r="P536" s="1050">
        <v>8.56</v>
      </c>
    </row>
    <row r="537" spans="2:16" x14ac:dyDescent="0.25">
      <c r="B537" s="412">
        <v>536</v>
      </c>
      <c r="C537" s="595" t="s">
        <v>927</v>
      </c>
      <c r="D537" s="421" t="s">
        <v>1365</v>
      </c>
      <c r="E537" s="421" t="s">
        <v>17</v>
      </c>
      <c r="F537" s="421" t="s">
        <v>11</v>
      </c>
      <c r="G537" s="421" t="s">
        <v>24</v>
      </c>
      <c r="H537" s="421" t="s">
        <v>25</v>
      </c>
      <c r="I537" s="1067" t="s">
        <v>567</v>
      </c>
      <c r="J537" s="414" t="str">
        <f t="shared" si="8"/>
        <v>ACompra Venta de AccionesIndividualResidencialUsadaApartamentoBG000000250000.01</v>
      </c>
      <c r="K537" s="1049">
        <v>250000.01</v>
      </c>
      <c r="L537" s="1049">
        <v>500000</v>
      </c>
      <c r="M537" s="1053">
        <v>80</v>
      </c>
      <c r="N537" s="1048">
        <v>25</v>
      </c>
      <c r="O537" s="1053">
        <v>5</v>
      </c>
      <c r="P537" s="1050">
        <v>8.56</v>
      </c>
    </row>
    <row r="538" spans="2:16" x14ac:dyDescent="0.25">
      <c r="B538" s="415">
        <v>537</v>
      </c>
      <c r="C538" s="595" t="s">
        <v>927</v>
      </c>
      <c r="D538" s="421" t="s">
        <v>1365</v>
      </c>
      <c r="E538" s="421" t="s">
        <v>17</v>
      </c>
      <c r="F538" s="421" t="s">
        <v>11</v>
      </c>
      <c r="G538" s="421" t="s">
        <v>24</v>
      </c>
      <c r="H538" s="421" t="s">
        <v>25</v>
      </c>
      <c r="I538" s="1067" t="s">
        <v>567</v>
      </c>
      <c r="J538" s="414" t="str">
        <f t="shared" si="8"/>
        <v>ACompra Venta de AccionesIndividualResidencialUsadaApartamentoBG000000500000.01</v>
      </c>
      <c r="K538" s="1047">
        <v>500000.01</v>
      </c>
      <c r="L538" s="1047">
        <v>99999999</v>
      </c>
      <c r="M538" s="1053">
        <v>70</v>
      </c>
      <c r="N538" s="1048">
        <v>25</v>
      </c>
      <c r="O538" s="1053">
        <v>5</v>
      </c>
      <c r="P538" s="1050">
        <v>8.56</v>
      </c>
    </row>
    <row r="539" spans="2:16" x14ac:dyDescent="0.25">
      <c r="B539" s="415">
        <v>538</v>
      </c>
      <c r="C539" s="595" t="s">
        <v>927</v>
      </c>
      <c r="D539" s="421" t="s">
        <v>1365</v>
      </c>
      <c r="E539" s="421" t="s">
        <v>17</v>
      </c>
      <c r="F539" s="421" t="s">
        <v>11</v>
      </c>
      <c r="G539" s="421" t="s">
        <v>24</v>
      </c>
      <c r="H539" s="421" t="s">
        <v>22</v>
      </c>
      <c r="I539" s="1067" t="s">
        <v>567</v>
      </c>
      <c r="J539" s="414" t="str">
        <f t="shared" si="8"/>
        <v>ACompra Venta de AccionesIndividualResidencialUsadaCasaBG000000030000.00</v>
      </c>
      <c r="K539" s="1049">
        <v>30000</v>
      </c>
      <c r="L539" s="1049">
        <v>250000</v>
      </c>
      <c r="M539" s="1053">
        <v>90</v>
      </c>
      <c r="N539" s="1048">
        <v>30</v>
      </c>
      <c r="O539" s="1053">
        <v>5.75</v>
      </c>
      <c r="P539" s="1050">
        <v>8.56</v>
      </c>
    </row>
    <row r="540" spans="2:16" x14ac:dyDescent="0.25">
      <c r="B540" s="415">
        <v>539</v>
      </c>
      <c r="C540" s="595" t="s">
        <v>927</v>
      </c>
      <c r="D540" s="421" t="s">
        <v>1365</v>
      </c>
      <c r="E540" s="421" t="s">
        <v>17</v>
      </c>
      <c r="F540" s="421" t="s">
        <v>11</v>
      </c>
      <c r="G540" s="421" t="s">
        <v>24</v>
      </c>
      <c r="H540" s="421" t="s">
        <v>22</v>
      </c>
      <c r="I540" s="1067" t="s">
        <v>567</v>
      </c>
      <c r="J540" s="414" t="str">
        <f t="shared" si="8"/>
        <v>ACompra Venta de AccionesIndividualResidencialUsadaCasaBG000000250000.01</v>
      </c>
      <c r="K540" s="1049">
        <v>250000.01</v>
      </c>
      <c r="L540" s="1049">
        <v>500000</v>
      </c>
      <c r="M540" s="1053">
        <v>80</v>
      </c>
      <c r="N540" s="1048">
        <v>30</v>
      </c>
      <c r="O540" s="1053">
        <v>5</v>
      </c>
      <c r="P540" s="1050">
        <v>8.56</v>
      </c>
    </row>
    <row r="541" spans="2:16" x14ac:dyDescent="0.25">
      <c r="B541" s="415">
        <v>540</v>
      </c>
      <c r="C541" s="595" t="s">
        <v>927</v>
      </c>
      <c r="D541" s="421" t="s">
        <v>1365</v>
      </c>
      <c r="E541" s="421" t="s">
        <v>17</v>
      </c>
      <c r="F541" s="421" t="s">
        <v>11</v>
      </c>
      <c r="G541" s="421" t="s">
        <v>24</v>
      </c>
      <c r="H541" s="421" t="s">
        <v>22</v>
      </c>
      <c r="I541" s="1067" t="s">
        <v>567</v>
      </c>
      <c r="J541" s="414" t="str">
        <f t="shared" si="8"/>
        <v>ACompra Venta de AccionesIndividualResidencialUsadaCasaBG000000500000.01</v>
      </c>
      <c r="K541" s="1047">
        <v>500000.01</v>
      </c>
      <c r="L541" s="1049">
        <v>99999999</v>
      </c>
      <c r="M541" s="1053">
        <v>70</v>
      </c>
      <c r="N541" s="1048">
        <v>30</v>
      </c>
      <c r="O541" s="1053">
        <v>5</v>
      </c>
      <c r="P541" s="1050">
        <v>8.56</v>
      </c>
    </row>
    <row r="542" spans="2:16" x14ac:dyDescent="0.25">
      <c r="B542" s="412">
        <v>541</v>
      </c>
      <c r="C542" s="1374" t="s">
        <v>927</v>
      </c>
      <c r="D542" s="421" t="s">
        <v>23</v>
      </c>
      <c r="E542" s="421" t="s">
        <v>17</v>
      </c>
      <c r="F542" s="421" t="s">
        <v>11</v>
      </c>
      <c r="G542" s="421" t="s">
        <v>24</v>
      </c>
      <c r="H542" s="421" t="s">
        <v>25</v>
      </c>
      <c r="I542" s="1067" t="s">
        <v>567</v>
      </c>
      <c r="J542" s="414" t="str">
        <f t="shared" si="8"/>
        <v>ACompra Vivienda VacacionalIndividualResidencialUsadaApartamentoBG000000030000.00</v>
      </c>
      <c r="K542" s="1049">
        <v>30000</v>
      </c>
      <c r="L542" s="1049">
        <v>250000</v>
      </c>
      <c r="M542" s="1053">
        <v>60</v>
      </c>
      <c r="N542" s="1048">
        <v>20</v>
      </c>
      <c r="O542" s="1050">
        <v>6.75</v>
      </c>
      <c r="P542" s="1050">
        <v>8.56</v>
      </c>
    </row>
    <row r="543" spans="2:16" x14ac:dyDescent="0.25">
      <c r="B543" s="415">
        <v>542</v>
      </c>
      <c r="C543" s="1374" t="s">
        <v>927</v>
      </c>
      <c r="D543" s="421" t="s">
        <v>23</v>
      </c>
      <c r="E543" s="421" t="s">
        <v>17</v>
      </c>
      <c r="F543" s="421" t="s">
        <v>11</v>
      </c>
      <c r="G543" s="421" t="s">
        <v>24</v>
      </c>
      <c r="H543" s="421" t="s">
        <v>25</v>
      </c>
      <c r="I543" s="1067" t="s">
        <v>567</v>
      </c>
      <c r="J543" s="414" t="str">
        <f t="shared" si="8"/>
        <v>ACompra Vivienda VacacionalIndividualResidencialUsadaApartamentoBG000000250000.01</v>
      </c>
      <c r="K543" s="1049">
        <v>250000.01</v>
      </c>
      <c r="L543" s="1049">
        <v>500000</v>
      </c>
      <c r="M543" s="1053">
        <v>60</v>
      </c>
      <c r="N543" s="1048">
        <v>20</v>
      </c>
      <c r="O543" s="1050">
        <v>6.75</v>
      </c>
      <c r="P543" s="1050">
        <v>8.56</v>
      </c>
    </row>
    <row r="544" spans="2:16" x14ac:dyDescent="0.25">
      <c r="B544" s="415">
        <v>543</v>
      </c>
      <c r="C544" s="1374" t="s">
        <v>927</v>
      </c>
      <c r="D544" s="421" t="s">
        <v>23</v>
      </c>
      <c r="E544" s="421" t="s">
        <v>17</v>
      </c>
      <c r="F544" s="421" t="s">
        <v>11</v>
      </c>
      <c r="G544" s="421" t="s">
        <v>24</v>
      </c>
      <c r="H544" s="421" t="s">
        <v>25</v>
      </c>
      <c r="I544" s="1067" t="s">
        <v>567</v>
      </c>
      <c r="J544" s="414" t="str">
        <f t="shared" si="8"/>
        <v>ACompra Vivienda VacacionalIndividualResidencialUsadaApartamentoBG000000500000.01</v>
      </c>
      <c r="K544" s="1049">
        <v>500000.01</v>
      </c>
      <c r="L544" s="1049">
        <v>99999999</v>
      </c>
      <c r="M544" s="1053">
        <v>60</v>
      </c>
      <c r="N544" s="1048">
        <v>20</v>
      </c>
      <c r="O544" s="1050">
        <v>6.75</v>
      </c>
      <c r="P544" s="1050">
        <v>8.56</v>
      </c>
    </row>
    <row r="545" spans="2:16" x14ac:dyDescent="0.25">
      <c r="B545" s="415">
        <v>544</v>
      </c>
      <c r="C545" s="595" t="s">
        <v>927</v>
      </c>
      <c r="D545" s="421" t="s">
        <v>23</v>
      </c>
      <c r="E545" s="421" t="s">
        <v>17</v>
      </c>
      <c r="F545" s="421" t="s">
        <v>11</v>
      </c>
      <c r="G545" s="421" t="s">
        <v>24</v>
      </c>
      <c r="H545" s="421" t="s">
        <v>25</v>
      </c>
      <c r="I545" s="1067" t="s">
        <v>913</v>
      </c>
      <c r="J545" s="414" t="str">
        <f t="shared" si="8"/>
        <v>ACompra Vivienda VacacionalIndividualResidencialUsadaApartamentoCOPA000000030000.00</v>
      </c>
      <c r="K545" s="1049">
        <v>30000</v>
      </c>
      <c r="L545" s="1049">
        <v>250000</v>
      </c>
      <c r="M545" s="1053">
        <v>90</v>
      </c>
      <c r="N545" s="1048">
        <v>30</v>
      </c>
      <c r="O545" s="1050">
        <v>6.5</v>
      </c>
      <c r="P545" s="1050">
        <v>8.56</v>
      </c>
    </row>
    <row r="546" spans="2:16" x14ac:dyDescent="0.25">
      <c r="B546" s="415">
        <v>545</v>
      </c>
      <c r="C546" s="595" t="s">
        <v>927</v>
      </c>
      <c r="D546" s="421" t="s">
        <v>23</v>
      </c>
      <c r="E546" s="421" t="s">
        <v>17</v>
      </c>
      <c r="F546" s="421" t="s">
        <v>11</v>
      </c>
      <c r="G546" s="421" t="s">
        <v>24</v>
      </c>
      <c r="H546" s="421" t="s">
        <v>25</v>
      </c>
      <c r="I546" s="1067" t="s">
        <v>913</v>
      </c>
      <c r="J546" s="414" t="str">
        <f t="shared" si="8"/>
        <v>ACompra Vivienda VacacionalIndividualResidencialUsadaApartamentoCOPA000000250000.01</v>
      </c>
      <c r="K546" s="1049">
        <v>250000.01</v>
      </c>
      <c r="L546" s="1049">
        <v>500000</v>
      </c>
      <c r="M546" s="1053">
        <v>80</v>
      </c>
      <c r="N546" s="1048">
        <v>30</v>
      </c>
      <c r="O546" s="1050">
        <v>6.5</v>
      </c>
      <c r="P546" s="1050">
        <v>8.56</v>
      </c>
    </row>
    <row r="547" spans="2:16" x14ac:dyDescent="0.25">
      <c r="B547" s="412">
        <v>546</v>
      </c>
      <c r="C547" s="595" t="s">
        <v>927</v>
      </c>
      <c r="D547" s="421" t="s">
        <v>23</v>
      </c>
      <c r="E547" s="421" t="s">
        <v>17</v>
      </c>
      <c r="F547" s="421" t="s">
        <v>11</v>
      </c>
      <c r="G547" s="421" t="s">
        <v>24</v>
      </c>
      <c r="H547" s="421" t="s">
        <v>25</v>
      </c>
      <c r="I547" s="1067" t="s">
        <v>913</v>
      </c>
      <c r="J547" s="414" t="str">
        <f t="shared" si="8"/>
        <v>ACompra Vivienda VacacionalIndividualResidencialUsadaApartamentoCOPA000000500000.01</v>
      </c>
      <c r="K547" s="1049">
        <v>500000.01</v>
      </c>
      <c r="L547" s="1049">
        <v>99999999</v>
      </c>
      <c r="M547" s="1053">
        <v>70</v>
      </c>
      <c r="N547" s="1048">
        <v>30</v>
      </c>
      <c r="O547" s="1050">
        <v>6.5</v>
      </c>
      <c r="P547" s="1050">
        <v>8.56</v>
      </c>
    </row>
    <row r="548" spans="2:16" x14ac:dyDescent="0.25">
      <c r="B548" s="415">
        <v>547</v>
      </c>
      <c r="C548" s="595" t="s">
        <v>927</v>
      </c>
      <c r="D548" s="421" t="s">
        <v>23</v>
      </c>
      <c r="E548" s="421" t="s">
        <v>17</v>
      </c>
      <c r="F548" s="421" t="s">
        <v>11</v>
      </c>
      <c r="G548" s="421" t="s">
        <v>24</v>
      </c>
      <c r="H548" s="421" t="s">
        <v>25</v>
      </c>
      <c r="I548" s="1067" t="s">
        <v>173</v>
      </c>
      <c r="J548" s="414" t="str">
        <f t="shared" si="8"/>
        <v>ACompra Vivienda VacacionalIndividualResidencialUsadaApartamentoFERIA000000030000.00</v>
      </c>
      <c r="K548" s="1049">
        <v>30000</v>
      </c>
      <c r="L548" s="1049">
        <v>250000</v>
      </c>
      <c r="M548" s="1053">
        <v>90</v>
      </c>
      <c r="N548" s="1048">
        <v>30</v>
      </c>
      <c r="O548" s="1050">
        <v>6.75</v>
      </c>
      <c r="P548" s="1050">
        <v>8.56</v>
      </c>
    </row>
    <row r="549" spans="2:16" x14ac:dyDescent="0.25">
      <c r="B549" s="415">
        <v>548</v>
      </c>
      <c r="C549" s="595" t="s">
        <v>927</v>
      </c>
      <c r="D549" s="421" t="s">
        <v>23</v>
      </c>
      <c r="E549" s="421" t="s">
        <v>17</v>
      </c>
      <c r="F549" s="421" t="s">
        <v>11</v>
      </c>
      <c r="G549" s="421" t="s">
        <v>24</v>
      </c>
      <c r="H549" s="421" t="s">
        <v>25</v>
      </c>
      <c r="I549" s="1067" t="s">
        <v>173</v>
      </c>
      <c r="J549" s="414" t="str">
        <f t="shared" si="8"/>
        <v>ACompra Vivienda VacacionalIndividualResidencialUsadaApartamentoFERIA000000250000.01</v>
      </c>
      <c r="K549" s="1049">
        <v>250000.01</v>
      </c>
      <c r="L549" s="1049">
        <v>500000</v>
      </c>
      <c r="M549" s="1053">
        <v>80</v>
      </c>
      <c r="N549" s="1048">
        <v>30</v>
      </c>
      <c r="O549" s="1050">
        <v>6.75</v>
      </c>
      <c r="P549" s="1050">
        <v>8.56</v>
      </c>
    </row>
    <row r="550" spans="2:16" x14ac:dyDescent="0.25">
      <c r="B550" s="415">
        <v>549</v>
      </c>
      <c r="C550" s="595" t="s">
        <v>927</v>
      </c>
      <c r="D550" s="421" t="s">
        <v>23</v>
      </c>
      <c r="E550" s="421" t="s">
        <v>17</v>
      </c>
      <c r="F550" s="421" t="s">
        <v>11</v>
      </c>
      <c r="G550" s="421" t="s">
        <v>24</v>
      </c>
      <c r="H550" s="421" t="s">
        <v>25</v>
      </c>
      <c r="I550" s="1067" t="s">
        <v>173</v>
      </c>
      <c r="J550" s="414" t="str">
        <f t="shared" si="8"/>
        <v>ACompra Vivienda VacacionalIndividualResidencialUsadaApartamentoFERIA000000500000.01</v>
      </c>
      <c r="K550" s="1049">
        <v>500000.01</v>
      </c>
      <c r="L550" s="1049">
        <v>99999999</v>
      </c>
      <c r="M550" s="1053">
        <v>70</v>
      </c>
      <c r="N550" s="1048">
        <v>30</v>
      </c>
      <c r="O550" s="1050">
        <v>6.75</v>
      </c>
      <c r="P550" s="1050">
        <v>8.56</v>
      </c>
    </row>
    <row r="551" spans="2:16" x14ac:dyDescent="0.25">
      <c r="B551" s="415">
        <v>550</v>
      </c>
      <c r="C551" s="1374" t="s">
        <v>927</v>
      </c>
      <c r="D551" s="421" t="s">
        <v>23</v>
      </c>
      <c r="E551" s="421" t="s">
        <v>17</v>
      </c>
      <c r="F551" s="421" t="s">
        <v>13</v>
      </c>
      <c r="G551" s="421" t="s">
        <v>21</v>
      </c>
      <c r="H551" s="421" t="s">
        <v>25</v>
      </c>
      <c r="I551" s="1067" t="s">
        <v>567</v>
      </c>
      <c r="J551" s="414" t="str">
        <f t="shared" si="8"/>
        <v>ACompra Vivienda VacacionalIndividualVacacionalNuevaApartamentoBG000000050000.00</v>
      </c>
      <c r="K551" s="1049">
        <v>50000</v>
      </c>
      <c r="L551" s="1049">
        <v>99999999</v>
      </c>
      <c r="M551" s="1053">
        <v>60</v>
      </c>
      <c r="N551" s="1048">
        <v>20</v>
      </c>
      <c r="O551" s="1050">
        <v>6.75</v>
      </c>
      <c r="P551" s="1050">
        <v>8.56</v>
      </c>
    </row>
    <row r="552" spans="2:16" x14ac:dyDescent="0.25">
      <c r="B552" s="412">
        <v>551</v>
      </c>
      <c r="C552" s="595" t="s">
        <v>927</v>
      </c>
      <c r="D552" s="421" t="s">
        <v>23</v>
      </c>
      <c r="E552" s="421" t="s">
        <v>17</v>
      </c>
      <c r="F552" s="421" t="s">
        <v>13</v>
      </c>
      <c r="G552" s="421" t="s">
        <v>21</v>
      </c>
      <c r="H552" s="421" t="s">
        <v>25</v>
      </c>
      <c r="I552" s="1067" t="s">
        <v>913</v>
      </c>
      <c r="J552" s="414" t="str">
        <f t="shared" si="8"/>
        <v>ACompra Vivienda VacacionalIndividualVacacionalNuevaApartamentoCOPA000000050000.00</v>
      </c>
      <c r="K552" s="1049">
        <v>50000</v>
      </c>
      <c r="L552" s="1049">
        <v>99999999</v>
      </c>
      <c r="M552" s="1053">
        <v>70</v>
      </c>
      <c r="N552" s="1048">
        <v>20</v>
      </c>
      <c r="O552" s="1050">
        <v>6.5</v>
      </c>
      <c r="P552" s="1050">
        <v>8.56</v>
      </c>
    </row>
    <row r="553" spans="2:16" x14ac:dyDescent="0.25">
      <c r="B553" s="415">
        <v>552</v>
      </c>
      <c r="C553" s="595" t="s">
        <v>927</v>
      </c>
      <c r="D553" s="421" t="s">
        <v>23</v>
      </c>
      <c r="E553" s="421" t="s">
        <v>17</v>
      </c>
      <c r="F553" s="421" t="s">
        <v>13</v>
      </c>
      <c r="G553" s="421" t="s">
        <v>21</v>
      </c>
      <c r="H553" s="421" t="s">
        <v>25</v>
      </c>
      <c r="I553" s="1067" t="s">
        <v>173</v>
      </c>
      <c r="J553" s="414" t="str">
        <f t="shared" si="8"/>
        <v>ACompra Vivienda VacacionalIndividualVacacionalNuevaApartamentoFERIA000000050000.00</v>
      </c>
      <c r="K553" s="1049">
        <v>50000</v>
      </c>
      <c r="L553" s="1049">
        <v>99999999</v>
      </c>
      <c r="M553" s="1053">
        <v>70</v>
      </c>
      <c r="N553" s="1048">
        <v>20</v>
      </c>
      <c r="O553" s="1050">
        <v>6.75</v>
      </c>
      <c r="P553" s="1050">
        <v>8.56</v>
      </c>
    </row>
    <row r="554" spans="2:16" x14ac:dyDescent="0.25">
      <c r="B554" s="415">
        <v>553</v>
      </c>
      <c r="C554" s="1374" t="s">
        <v>927</v>
      </c>
      <c r="D554" s="421" t="s">
        <v>23</v>
      </c>
      <c r="E554" s="421" t="s">
        <v>17</v>
      </c>
      <c r="F554" s="421" t="s">
        <v>13</v>
      </c>
      <c r="G554" s="421" t="s">
        <v>21</v>
      </c>
      <c r="H554" s="421" t="s">
        <v>22</v>
      </c>
      <c r="I554" s="1067" t="s">
        <v>567</v>
      </c>
      <c r="J554" s="414" t="str">
        <f t="shared" si="8"/>
        <v>ACompra Vivienda VacacionalIndividualVacacionalNuevaCasaBG000000050000.00</v>
      </c>
      <c r="K554" s="1049">
        <v>50000</v>
      </c>
      <c r="L554" s="1049">
        <v>99999999</v>
      </c>
      <c r="M554" s="1053">
        <v>60</v>
      </c>
      <c r="N554" s="1048">
        <v>20</v>
      </c>
      <c r="O554" s="1050">
        <v>6.75</v>
      </c>
      <c r="P554" s="1050">
        <v>8.56</v>
      </c>
    </row>
    <row r="555" spans="2:16" x14ac:dyDescent="0.25">
      <c r="B555" s="415">
        <v>554</v>
      </c>
      <c r="C555" s="595" t="s">
        <v>927</v>
      </c>
      <c r="D555" s="421" t="s">
        <v>23</v>
      </c>
      <c r="E555" s="421" t="s">
        <v>17</v>
      </c>
      <c r="F555" s="421" t="s">
        <v>13</v>
      </c>
      <c r="G555" s="421" t="s">
        <v>21</v>
      </c>
      <c r="H555" s="421" t="s">
        <v>22</v>
      </c>
      <c r="I555" s="1067" t="s">
        <v>913</v>
      </c>
      <c r="J555" s="414" t="str">
        <f t="shared" si="8"/>
        <v>ACompra Vivienda VacacionalIndividualVacacionalNuevaCasaCOPA000000050000.00</v>
      </c>
      <c r="K555" s="1049">
        <v>50000</v>
      </c>
      <c r="L555" s="1049">
        <v>99999999</v>
      </c>
      <c r="M555" s="1053">
        <v>70</v>
      </c>
      <c r="N555" s="1048">
        <v>20</v>
      </c>
      <c r="O555" s="1050">
        <v>6.5</v>
      </c>
      <c r="P555" s="1050">
        <v>8.56</v>
      </c>
    </row>
    <row r="556" spans="2:16" x14ac:dyDescent="0.25">
      <c r="B556" s="415">
        <v>555</v>
      </c>
      <c r="C556" s="595" t="s">
        <v>927</v>
      </c>
      <c r="D556" s="421" t="s">
        <v>23</v>
      </c>
      <c r="E556" s="421" t="s">
        <v>17</v>
      </c>
      <c r="F556" s="421" t="s">
        <v>13</v>
      </c>
      <c r="G556" s="421" t="s">
        <v>21</v>
      </c>
      <c r="H556" s="421" t="s">
        <v>22</v>
      </c>
      <c r="I556" s="1067" t="s">
        <v>173</v>
      </c>
      <c r="J556" s="414" t="str">
        <f t="shared" si="8"/>
        <v>ACompra Vivienda VacacionalIndividualVacacionalNuevaCasaFERIA000000050000.00</v>
      </c>
      <c r="K556" s="1049">
        <v>50000</v>
      </c>
      <c r="L556" s="1049">
        <v>99999999</v>
      </c>
      <c r="M556" s="1053">
        <v>70</v>
      </c>
      <c r="N556" s="1048">
        <v>20</v>
      </c>
      <c r="O556" s="1050">
        <v>6.75</v>
      </c>
      <c r="P556" s="1050">
        <v>8.56</v>
      </c>
    </row>
    <row r="557" spans="2:16" x14ac:dyDescent="0.25">
      <c r="B557" s="412">
        <v>556</v>
      </c>
      <c r="C557" s="1374" t="s">
        <v>927</v>
      </c>
      <c r="D557" s="421" t="s">
        <v>23</v>
      </c>
      <c r="E557" s="421" t="s">
        <v>17</v>
      </c>
      <c r="F557" s="421" t="s">
        <v>13</v>
      </c>
      <c r="G557" s="421" t="s">
        <v>24</v>
      </c>
      <c r="H557" s="421" t="s">
        <v>25</v>
      </c>
      <c r="I557" s="1067" t="s">
        <v>567</v>
      </c>
      <c r="J557" s="414" t="str">
        <f t="shared" si="8"/>
        <v>ACompra Vivienda VacacionalIndividualVacacionalUsadaApartamentoBG000000050000.00</v>
      </c>
      <c r="K557" s="1049">
        <v>50000</v>
      </c>
      <c r="L557" s="1049">
        <v>99999999</v>
      </c>
      <c r="M557" s="1053">
        <v>60</v>
      </c>
      <c r="N557" s="1048">
        <v>20</v>
      </c>
      <c r="O557" s="1050">
        <v>6.75</v>
      </c>
      <c r="P557" s="1050">
        <v>8.56</v>
      </c>
    </row>
    <row r="558" spans="2:16" x14ac:dyDescent="0.25">
      <c r="B558" s="415">
        <v>557</v>
      </c>
      <c r="C558" s="595" t="s">
        <v>927</v>
      </c>
      <c r="D558" s="421" t="s">
        <v>23</v>
      </c>
      <c r="E558" s="421" t="s">
        <v>17</v>
      </c>
      <c r="F558" s="421" t="s">
        <v>13</v>
      </c>
      <c r="G558" s="421" t="s">
        <v>24</v>
      </c>
      <c r="H558" s="421" t="s">
        <v>25</v>
      </c>
      <c r="I558" s="1067" t="s">
        <v>913</v>
      </c>
      <c r="J558" s="414" t="str">
        <f t="shared" si="8"/>
        <v>ACompra Vivienda VacacionalIndividualVacacionalUsadaApartamentoCOPA000000050000.00</v>
      </c>
      <c r="K558" s="1049">
        <v>50000</v>
      </c>
      <c r="L558" s="1049">
        <v>99999999</v>
      </c>
      <c r="M558" s="1053">
        <v>70</v>
      </c>
      <c r="N558" s="1048">
        <v>20</v>
      </c>
      <c r="O558" s="1050">
        <v>6.5</v>
      </c>
      <c r="P558" s="1050">
        <v>8.56</v>
      </c>
    </row>
    <row r="559" spans="2:16" x14ac:dyDescent="0.25">
      <c r="B559" s="415">
        <v>558</v>
      </c>
      <c r="C559" s="595" t="s">
        <v>927</v>
      </c>
      <c r="D559" s="421" t="s">
        <v>23</v>
      </c>
      <c r="E559" s="421" t="s">
        <v>17</v>
      </c>
      <c r="F559" s="421" t="s">
        <v>13</v>
      </c>
      <c r="G559" s="421" t="s">
        <v>24</v>
      </c>
      <c r="H559" s="421" t="s">
        <v>25</v>
      </c>
      <c r="I559" s="1067" t="s">
        <v>173</v>
      </c>
      <c r="J559" s="414" t="str">
        <f t="shared" si="8"/>
        <v>ACompra Vivienda VacacionalIndividualVacacionalUsadaApartamentoFERIA000000050000.00</v>
      </c>
      <c r="K559" s="1049">
        <v>50000</v>
      </c>
      <c r="L559" s="1049">
        <v>99999999</v>
      </c>
      <c r="M559" s="1053">
        <v>70</v>
      </c>
      <c r="N559" s="1048">
        <v>20</v>
      </c>
      <c r="O559" s="1050">
        <v>6.75</v>
      </c>
      <c r="P559" s="1050">
        <v>8.56</v>
      </c>
    </row>
    <row r="560" spans="2:16" x14ac:dyDescent="0.25">
      <c r="B560" s="415">
        <v>559</v>
      </c>
      <c r="C560" s="1374" t="s">
        <v>927</v>
      </c>
      <c r="D560" s="421" t="s">
        <v>23</v>
      </c>
      <c r="E560" s="421" t="s">
        <v>17</v>
      </c>
      <c r="F560" s="421" t="s">
        <v>13</v>
      </c>
      <c r="G560" s="421" t="s">
        <v>24</v>
      </c>
      <c r="H560" s="421" t="s">
        <v>22</v>
      </c>
      <c r="I560" s="1067" t="s">
        <v>567</v>
      </c>
      <c r="J560" s="414" t="str">
        <f t="shared" si="8"/>
        <v>ACompra Vivienda VacacionalIndividualVacacionalUsadaCasaBG000000050000.00</v>
      </c>
      <c r="K560" s="1049">
        <v>50000</v>
      </c>
      <c r="L560" s="1049">
        <v>99999999</v>
      </c>
      <c r="M560" s="1053">
        <v>60</v>
      </c>
      <c r="N560" s="1048">
        <v>20</v>
      </c>
      <c r="O560" s="1050">
        <v>6.75</v>
      </c>
      <c r="P560" s="1050">
        <v>8.56</v>
      </c>
    </row>
    <row r="561" spans="2:16" x14ac:dyDescent="0.25">
      <c r="B561" s="415">
        <v>560</v>
      </c>
      <c r="C561" s="595" t="s">
        <v>927</v>
      </c>
      <c r="D561" s="421" t="s">
        <v>23</v>
      </c>
      <c r="E561" s="421" t="s">
        <v>17</v>
      </c>
      <c r="F561" s="421" t="s">
        <v>13</v>
      </c>
      <c r="G561" s="421" t="s">
        <v>24</v>
      </c>
      <c r="H561" s="421" t="s">
        <v>22</v>
      </c>
      <c r="I561" s="1067" t="s">
        <v>913</v>
      </c>
      <c r="J561" s="414" t="str">
        <f t="shared" si="8"/>
        <v>ACompra Vivienda VacacionalIndividualVacacionalUsadaCasaCOPA000000050000.00</v>
      </c>
      <c r="K561" s="1049">
        <v>50000</v>
      </c>
      <c r="L561" s="1049">
        <v>99999999</v>
      </c>
      <c r="M561" s="1053">
        <v>70</v>
      </c>
      <c r="N561" s="1048">
        <v>20</v>
      </c>
      <c r="O561" s="1050">
        <v>6.5</v>
      </c>
      <c r="P561" s="1050">
        <v>8.56</v>
      </c>
    </row>
    <row r="562" spans="2:16" x14ac:dyDescent="0.25">
      <c r="B562" s="412">
        <v>561</v>
      </c>
      <c r="C562" s="595" t="s">
        <v>927</v>
      </c>
      <c r="D562" s="421" t="s">
        <v>23</v>
      </c>
      <c r="E562" s="421" t="s">
        <v>17</v>
      </c>
      <c r="F562" s="421" t="s">
        <v>13</v>
      </c>
      <c r="G562" s="421" t="s">
        <v>24</v>
      </c>
      <c r="H562" s="421" t="s">
        <v>22</v>
      </c>
      <c r="I562" s="1067" t="s">
        <v>173</v>
      </c>
      <c r="J562" s="414" t="str">
        <f t="shared" si="8"/>
        <v>ACompra Vivienda VacacionalIndividualVacacionalUsadaCasaFERIA000000050000.00</v>
      </c>
      <c r="K562" s="1049">
        <v>50000</v>
      </c>
      <c r="L562" s="1049">
        <v>99999999</v>
      </c>
      <c r="M562" s="1053">
        <v>70</v>
      </c>
      <c r="N562" s="1048">
        <v>20</v>
      </c>
      <c r="O562" s="1050">
        <v>6.75</v>
      </c>
      <c r="P562" s="1050">
        <v>8.56</v>
      </c>
    </row>
    <row r="563" spans="2:16" x14ac:dyDescent="0.25">
      <c r="B563" s="415">
        <v>562</v>
      </c>
      <c r="C563" s="1374" t="s">
        <v>927</v>
      </c>
      <c r="D563" s="421" t="s">
        <v>12</v>
      </c>
      <c r="E563" s="421" t="s">
        <v>17</v>
      </c>
      <c r="F563" s="421" t="s">
        <v>19</v>
      </c>
      <c r="G563" s="421" t="s">
        <v>21</v>
      </c>
      <c r="H563" s="421" t="s">
        <v>25</v>
      </c>
      <c r="I563" s="1067" t="s">
        <v>567</v>
      </c>
      <c r="J563" s="414" t="str">
        <f t="shared" si="8"/>
        <v>AConstrucciónIndividualInterinoNuevaApartamentoBG000000100000.00</v>
      </c>
      <c r="K563" s="1049">
        <v>100000</v>
      </c>
      <c r="L563" s="1049">
        <v>99999999</v>
      </c>
      <c r="M563" s="1053">
        <v>90</v>
      </c>
      <c r="N563" s="1048">
        <v>30</v>
      </c>
      <c r="O563" s="1050">
        <v>6.25</v>
      </c>
      <c r="P563" s="1053">
        <v>0</v>
      </c>
    </row>
    <row r="564" spans="2:16" x14ac:dyDescent="0.25">
      <c r="B564" s="415">
        <v>563</v>
      </c>
      <c r="C564" s="595" t="s">
        <v>927</v>
      </c>
      <c r="D564" s="413" t="s">
        <v>12</v>
      </c>
      <c r="E564" s="413" t="s">
        <v>17</v>
      </c>
      <c r="F564" s="413" t="s">
        <v>19</v>
      </c>
      <c r="G564" s="413" t="s">
        <v>21</v>
      </c>
      <c r="H564" s="413" t="s">
        <v>25</v>
      </c>
      <c r="I564" s="1066" t="s">
        <v>913</v>
      </c>
      <c r="J564" s="414" t="str">
        <f t="shared" si="8"/>
        <v>AConstrucciónIndividualInterinoNuevaApartamentoCOPA000000100000.00</v>
      </c>
      <c r="K564" s="1047">
        <v>100000</v>
      </c>
      <c r="L564" s="1047">
        <v>99999999</v>
      </c>
      <c r="M564" s="1050">
        <v>90</v>
      </c>
      <c r="N564" s="1046">
        <v>30</v>
      </c>
      <c r="O564" s="1050">
        <v>6.25</v>
      </c>
      <c r="P564" s="1050">
        <v>0</v>
      </c>
    </row>
    <row r="565" spans="2:16" x14ac:dyDescent="0.25">
      <c r="B565" s="415">
        <v>564</v>
      </c>
      <c r="C565" s="595" t="s">
        <v>927</v>
      </c>
      <c r="D565" s="413" t="s">
        <v>12</v>
      </c>
      <c r="E565" s="413" t="s">
        <v>17</v>
      </c>
      <c r="F565" s="413" t="s">
        <v>19</v>
      </c>
      <c r="G565" s="413" t="s">
        <v>21</v>
      </c>
      <c r="H565" s="413" t="s">
        <v>25</v>
      </c>
      <c r="I565" s="1066" t="s">
        <v>173</v>
      </c>
      <c r="J565" s="414" t="str">
        <f t="shared" si="8"/>
        <v>AConstrucciónIndividualInterinoNuevaApartamentoFERIA000000100000.00</v>
      </c>
      <c r="K565" s="1047">
        <v>100000</v>
      </c>
      <c r="L565" s="1047">
        <v>99999999</v>
      </c>
      <c r="M565" s="1050">
        <v>90</v>
      </c>
      <c r="N565" s="1046">
        <v>30</v>
      </c>
      <c r="O565" s="1050">
        <v>6.25</v>
      </c>
      <c r="P565" s="1050">
        <v>0</v>
      </c>
    </row>
    <row r="566" spans="2:16" x14ac:dyDescent="0.25">
      <c r="B566" s="415">
        <v>565</v>
      </c>
      <c r="C566" s="1374" t="s">
        <v>927</v>
      </c>
      <c r="D566" s="413" t="s">
        <v>12</v>
      </c>
      <c r="E566" s="413" t="s">
        <v>17</v>
      </c>
      <c r="F566" s="413" t="s">
        <v>19</v>
      </c>
      <c r="G566" s="413" t="s">
        <v>21</v>
      </c>
      <c r="H566" s="413" t="s">
        <v>22</v>
      </c>
      <c r="I566" s="1066" t="s">
        <v>567</v>
      </c>
      <c r="J566" s="414" t="str">
        <f t="shared" si="8"/>
        <v>AConstrucciónIndividualInterinoNuevaCasaBG000000100000.00</v>
      </c>
      <c r="K566" s="1047">
        <v>100000</v>
      </c>
      <c r="L566" s="1047">
        <v>99999999</v>
      </c>
      <c r="M566" s="1050">
        <v>90</v>
      </c>
      <c r="N566" s="1046">
        <v>30</v>
      </c>
      <c r="O566" s="1050">
        <v>6.25</v>
      </c>
      <c r="P566" s="1050">
        <v>0</v>
      </c>
    </row>
    <row r="567" spans="2:16" x14ac:dyDescent="0.25">
      <c r="B567" s="412">
        <v>566</v>
      </c>
      <c r="C567" s="595" t="s">
        <v>927</v>
      </c>
      <c r="D567" s="413" t="s">
        <v>12</v>
      </c>
      <c r="E567" s="413" t="s">
        <v>17</v>
      </c>
      <c r="F567" s="413" t="s">
        <v>19</v>
      </c>
      <c r="G567" s="413" t="s">
        <v>21</v>
      </c>
      <c r="H567" s="413" t="s">
        <v>22</v>
      </c>
      <c r="I567" s="1066" t="s">
        <v>913</v>
      </c>
      <c r="J567" s="414" t="str">
        <f t="shared" si="8"/>
        <v>AConstrucciónIndividualInterinoNuevaCasaCOPA000000100000.00</v>
      </c>
      <c r="K567" s="1047">
        <v>100000</v>
      </c>
      <c r="L567" s="1047">
        <v>99999999</v>
      </c>
      <c r="M567" s="1050">
        <v>90</v>
      </c>
      <c r="N567" s="1046">
        <v>30</v>
      </c>
      <c r="O567" s="1050">
        <v>6.25</v>
      </c>
      <c r="P567" s="1050">
        <v>0</v>
      </c>
    </row>
    <row r="568" spans="2:16" x14ac:dyDescent="0.25">
      <c r="B568" s="415">
        <v>567</v>
      </c>
      <c r="C568" s="595" t="s">
        <v>927</v>
      </c>
      <c r="D568" s="413" t="s">
        <v>12</v>
      </c>
      <c r="E568" s="413" t="s">
        <v>17</v>
      </c>
      <c r="F568" s="413" t="s">
        <v>19</v>
      </c>
      <c r="G568" s="413" t="s">
        <v>21</v>
      </c>
      <c r="H568" s="413" t="s">
        <v>22</v>
      </c>
      <c r="I568" s="1066" t="s">
        <v>173</v>
      </c>
      <c r="J568" s="414" t="str">
        <f t="shared" si="8"/>
        <v>AConstrucciónIndividualInterinoNuevaCasaFERIA000000100000.00</v>
      </c>
      <c r="K568" s="1047">
        <v>100000</v>
      </c>
      <c r="L568" s="1047">
        <v>99999999</v>
      </c>
      <c r="M568" s="1050">
        <v>90</v>
      </c>
      <c r="N568" s="1046">
        <v>30</v>
      </c>
      <c r="O568" s="1050">
        <v>6.25</v>
      </c>
      <c r="P568" s="1050">
        <v>0</v>
      </c>
    </row>
    <row r="569" spans="2:16" x14ac:dyDescent="0.25">
      <c r="B569" s="415">
        <v>568</v>
      </c>
      <c r="C569" s="1374" t="s">
        <v>927</v>
      </c>
      <c r="D569" s="413" t="s">
        <v>12</v>
      </c>
      <c r="E569" s="413" t="s">
        <v>9</v>
      </c>
      <c r="F569" s="413" t="s">
        <v>19</v>
      </c>
      <c r="G569" s="413" t="s">
        <v>21</v>
      </c>
      <c r="H569" s="413" t="s">
        <v>25</v>
      </c>
      <c r="I569" s="1066" t="s">
        <v>567</v>
      </c>
      <c r="J569" s="414" t="str">
        <f t="shared" si="8"/>
        <v>AConstrucciónLey PreferencialInterinoNuevaApartamentoBG000000080000.01</v>
      </c>
      <c r="K569" s="1047">
        <v>80000.009999999995</v>
      </c>
      <c r="L569" s="1047">
        <v>120000</v>
      </c>
      <c r="M569" s="1050">
        <v>90</v>
      </c>
      <c r="N569" s="1046">
        <v>30</v>
      </c>
      <c r="O569" s="1050">
        <v>6.25</v>
      </c>
      <c r="P569" s="1050">
        <v>4.28</v>
      </c>
    </row>
    <row r="570" spans="2:16" x14ac:dyDescent="0.25">
      <c r="B570" s="415">
        <v>569</v>
      </c>
      <c r="C570" s="595" t="s">
        <v>927</v>
      </c>
      <c r="D570" s="413" t="s">
        <v>12</v>
      </c>
      <c r="E570" s="413" t="s">
        <v>9</v>
      </c>
      <c r="F570" s="413" t="s">
        <v>19</v>
      </c>
      <c r="G570" s="413" t="s">
        <v>21</v>
      </c>
      <c r="H570" s="413" t="s">
        <v>25</v>
      </c>
      <c r="I570" s="1066" t="s">
        <v>913</v>
      </c>
      <c r="J570" s="414" t="str">
        <f t="shared" si="8"/>
        <v>AConstrucciónLey PreferencialInterinoNuevaApartamentoCOPA000000080000.01</v>
      </c>
      <c r="K570" s="1047">
        <v>80000.009999999995</v>
      </c>
      <c r="L570" s="1047">
        <v>120000</v>
      </c>
      <c r="M570" s="1050">
        <v>90</v>
      </c>
      <c r="N570" s="1046">
        <v>30</v>
      </c>
      <c r="O570" s="1050">
        <v>6.25</v>
      </c>
      <c r="P570" s="1050">
        <v>4.28</v>
      </c>
    </row>
    <row r="571" spans="2:16" x14ac:dyDescent="0.25">
      <c r="B571" s="415">
        <v>570</v>
      </c>
      <c r="C571" s="595" t="s">
        <v>927</v>
      </c>
      <c r="D571" s="413" t="s">
        <v>12</v>
      </c>
      <c r="E571" s="413" t="s">
        <v>9</v>
      </c>
      <c r="F571" s="413" t="s">
        <v>19</v>
      </c>
      <c r="G571" s="413" t="s">
        <v>21</v>
      </c>
      <c r="H571" s="413" t="s">
        <v>25</v>
      </c>
      <c r="I571" s="1066" t="s">
        <v>173</v>
      </c>
      <c r="J571" s="414" t="str">
        <f t="shared" si="8"/>
        <v>AConstrucciónLey PreferencialInterinoNuevaApartamentoFERIA000000080000.01</v>
      </c>
      <c r="K571" s="1047">
        <v>80000.009999999995</v>
      </c>
      <c r="L571" s="1047">
        <v>120000</v>
      </c>
      <c r="M571" s="1050">
        <v>90</v>
      </c>
      <c r="N571" s="1046">
        <v>30</v>
      </c>
      <c r="O571" s="1050">
        <v>6.25</v>
      </c>
      <c r="P571" s="1050">
        <v>4.28</v>
      </c>
    </row>
    <row r="572" spans="2:16" x14ac:dyDescent="0.25">
      <c r="B572" s="412">
        <v>571</v>
      </c>
      <c r="C572" s="1374" t="s">
        <v>927</v>
      </c>
      <c r="D572" s="413" t="s">
        <v>12</v>
      </c>
      <c r="E572" s="413" t="s">
        <v>9</v>
      </c>
      <c r="F572" s="413" t="s">
        <v>19</v>
      </c>
      <c r="G572" s="413" t="s">
        <v>21</v>
      </c>
      <c r="H572" s="413" t="s">
        <v>22</v>
      </c>
      <c r="I572" s="1066" t="s">
        <v>567</v>
      </c>
      <c r="J572" s="414" t="str">
        <f t="shared" si="8"/>
        <v>AConstrucciónLey PreferencialInterinoNuevaCasaBG000000080000.01</v>
      </c>
      <c r="K572" s="1047">
        <v>80000.009999999995</v>
      </c>
      <c r="L572" s="1047">
        <v>120000</v>
      </c>
      <c r="M572" s="1050">
        <v>90</v>
      </c>
      <c r="N572" s="1046">
        <v>30</v>
      </c>
      <c r="O572" s="1050">
        <v>6.25</v>
      </c>
      <c r="P572" s="1050">
        <v>4.28</v>
      </c>
    </row>
    <row r="573" spans="2:16" x14ac:dyDescent="0.25">
      <c r="B573" s="415">
        <v>572</v>
      </c>
      <c r="C573" s="595" t="s">
        <v>927</v>
      </c>
      <c r="D573" s="413" t="s">
        <v>12</v>
      </c>
      <c r="E573" s="413" t="s">
        <v>9</v>
      </c>
      <c r="F573" s="413" t="s">
        <v>19</v>
      </c>
      <c r="G573" s="413" t="s">
        <v>21</v>
      </c>
      <c r="H573" s="413" t="s">
        <v>22</v>
      </c>
      <c r="I573" s="1066" t="s">
        <v>913</v>
      </c>
      <c r="J573" s="414" t="str">
        <f t="shared" si="8"/>
        <v>AConstrucciónLey PreferencialInterinoNuevaCasaCOPA000000080000.01</v>
      </c>
      <c r="K573" s="1047">
        <v>80000.009999999995</v>
      </c>
      <c r="L573" s="1047">
        <v>120000</v>
      </c>
      <c r="M573" s="1050">
        <v>90</v>
      </c>
      <c r="N573" s="1046">
        <v>30</v>
      </c>
      <c r="O573" s="1050">
        <v>6.25</v>
      </c>
      <c r="P573" s="1050">
        <v>4.28</v>
      </c>
    </row>
    <row r="574" spans="2:16" x14ac:dyDescent="0.25">
      <c r="B574" s="415">
        <v>573</v>
      </c>
      <c r="C574" s="595" t="s">
        <v>927</v>
      </c>
      <c r="D574" s="413" t="s">
        <v>12</v>
      </c>
      <c r="E574" s="413" t="s">
        <v>9</v>
      </c>
      <c r="F574" s="413" t="s">
        <v>19</v>
      </c>
      <c r="G574" s="413" t="s">
        <v>21</v>
      </c>
      <c r="H574" s="413" t="s">
        <v>22</v>
      </c>
      <c r="I574" s="1066" t="s">
        <v>173</v>
      </c>
      <c r="J574" s="414" t="str">
        <f t="shared" si="8"/>
        <v>AConstrucciónLey PreferencialInterinoNuevaCasaFERIA000000080000.01</v>
      </c>
      <c r="K574" s="1047">
        <v>80000.009999999995</v>
      </c>
      <c r="L574" s="1047">
        <v>120000</v>
      </c>
      <c r="M574" s="1050">
        <v>90</v>
      </c>
      <c r="N574" s="1046">
        <v>30</v>
      </c>
      <c r="O574" s="1050">
        <v>6.25</v>
      </c>
      <c r="P574" s="1050">
        <v>4.28</v>
      </c>
    </row>
    <row r="575" spans="2:16" x14ac:dyDescent="0.25">
      <c r="B575" s="415">
        <v>574</v>
      </c>
      <c r="C575" s="595" t="s">
        <v>927</v>
      </c>
      <c r="D575" s="413" t="s">
        <v>215</v>
      </c>
      <c r="E575" s="413" t="s">
        <v>17</v>
      </c>
      <c r="F575" s="413" t="s">
        <v>11</v>
      </c>
      <c r="G575" s="413" t="s">
        <v>24</v>
      </c>
      <c r="H575" s="413" t="s">
        <v>25</v>
      </c>
      <c r="I575" s="1066" t="s">
        <v>567</v>
      </c>
      <c r="J575" s="414" t="str">
        <f t="shared" si="8"/>
        <v>AExtensión de PlazoIndividualResidencialUsadaApartamentoBG000000005000.00</v>
      </c>
      <c r="K575" s="1047">
        <v>5000</v>
      </c>
      <c r="L575" s="1047">
        <v>50000000</v>
      </c>
      <c r="M575" s="1050">
        <v>100</v>
      </c>
      <c r="N575" s="1046">
        <v>30</v>
      </c>
      <c r="O575" s="1050">
        <v>0</v>
      </c>
      <c r="P575" s="1050">
        <v>0</v>
      </c>
    </row>
    <row r="576" spans="2:16" x14ac:dyDescent="0.25">
      <c r="B576" s="415">
        <v>575</v>
      </c>
      <c r="C576" s="595" t="s">
        <v>927</v>
      </c>
      <c r="D576" s="413" t="s">
        <v>215</v>
      </c>
      <c r="E576" s="413" t="s">
        <v>17</v>
      </c>
      <c r="F576" s="413" t="s">
        <v>11</v>
      </c>
      <c r="G576" s="413" t="s">
        <v>24</v>
      </c>
      <c r="H576" s="413" t="s">
        <v>25</v>
      </c>
      <c r="I576" s="1066" t="s">
        <v>913</v>
      </c>
      <c r="J576" s="414" t="str">
        <f t="shared" si="8"/>
        <v>AExtensión de PlazoIndividualResidencialUsadaApartamentoCOPA000000005000.00</v>
      </c>
      <c r="K576" s="1047">
        <v>5000</v>
      </c>
      <c r="L576" s="1047">
        <v>50000000</v>
      </c>
      <c r="M576" s="1050">
        <v>100</v>
      </c>
      <c r="N576" s="1046">
        <v>30</v>
      </c>
      <c r="O576" s="1050">
        <v>0</v>
      </c>
      <c r="P576" s="1050">
        <v>0</v>
      </c>
    </row>
    <row r="577" spans="2:16" x14ac:dyDescent="0.25">
      <c r="B577" s="412">
        <v>576</v>
      </c>
      <c r="C577" s="595" t="s">
        <v>927</v>
      </c>
      <c r="D577" s="413" t="s">
        <v>215</v>
      </c>
      <c r="E577" s="413" t="s">
        <v>17</v>
      </c>
      <c r="F577" s="413" t="s">
        <v>11</v>
      </c>
      <c r="G577" s="413" t="s">
        <v>24</v>
      </c>
      <c r="H577" s="413" t="s">
        <v>25</v>
      </c>
      <c r="I577" s="1066" t="s">
        <v>173</v>
      </c>
      <c r="J577" s="414" t="str">
        <f t="shared" si="8"/>
        <v>AExtensión de PlazoIndividualResidencialUsadaApartamentoFERIA000000005000.00</v>
      </c>
      <c r="K577" s="1047">
        <v>5000</v>
      </c>
      <c r="L577" s="1047">
        <v>50000000</v>
      </c>
      <c r="M577" s="1050">
        <v>100</v>
      </c>
      <c r="N577" s="1046">
        <v>30</v>
      </c>
      <c r="O577" s="1050">
        <v>0</v>
      </c>
      <c r="P577" s="1050">
        <v>0</v>
      </c>
    </row>
    <row r="578" spans="2:16" x14ac:dyDescent="0.25">
      <c r="B578" s="415">
        <v>577</v>
      </c>
      <c r="C578" s="595" t="s">
        <v>927</v>
      </c>
      <c r="D578" s="413" t="s">
        <v>215</v>
      </c>
      <c r="E578" s="413" t="s">
        <v>17</v>
      </c>
      <c r="F578" s="413" t="s">
        <v>11</v>
      </c>
      <c r="G578" s="413" t="s">
        <v>24</v>
      </c>
      <c r="H578" s="413" t="s">
        <v>22</v>
      </c>
      <c r="I578" s="1066" t="s">
        <v>567</v>
      </c>
      <c r="J578" s="414" t="str">
        <f t="shared" ref="J578:J641" si="9">C578&amp;D578&amp;E578&amp;F578&amp;G578&amp;H578&amp;I578 &amp; REPT("0",15-LEN(K578 &amp; IF(IFERROR(FIND(".",K578&amp;""),0)=0,".00","")))&amp;K578 &amp; IF(IFERROR(FIND(".",K578&amp;""),0)=0,".00","")</f>
        <v>AExtensión de PlazoIndividualResidencialUsadaCasaBG000000005000.00</v>
      </c>
      <c r="K578" s="1047">
        <v>5000</v>
      </c>
      <c r="L578" s="1047">
        <v>50000000</v>
      </c>
      <c r="M578" s="1050">
        <v>100</v>
      </c>
      <c r="N578" s="1046">
        <v>30</v>
      </c>
      <c r="O578" s="1050">
        <v>0</v>
      </c>
      <c r="P578" s="1050">
        <v>0</v>
      </c>
    </row>
    <row r="579" spans="2:16" x14ac:dyDescent="0.25">
      <c r="B579" s="415">
        <v>578</v>
      </c>
      <c r="C579" s="595" t="s">
        <v>927</v>
      </c>
      <c r="D579" s="413" t="s">
        <v>215</v>
      </c>
      <c r="E579" s="413" t="s">
        <v>17</v>
      </c>
      <c r="F579" s="413" t="s">
        <v>11</v>
      </c>
      <c r="G579" s="413" t="s">
        <v>24</v>
      </c>
      <c r="H579" s="413" t="s">
        <v>22</v>
      </c>
      <c r="I579" s="1066" t="s">
        <v>913</v>
      </c>
      <c r="J579" s="414" t="str">
        <f t="shared" si="9"/>
        <v>AExtensión de PlazoIndividualResidencialUsadaCasaCOPA000000005000.00</v>
      </c>
      <c r="K579" s="1047">
        <v>5000</v>
      </c>
      <c r="L579" s="1047">
        <v>50000000</v>
      </c>
      <c r="M579" s="1050">
        <v>100</v>
      </c>
      <c r="N579" s="1046">
        <v>30</v>
      </c>
      <c r="O579" s="1050">
        <v>0</v>
      </c>
      <c r="P579" s="1050">
        <v>0</v>
      </c>
    </row>
    <row r="580" spans="2:16" x14ac:dyDescent="0.25">
      <c r="B580" s="415">
        <v>579</v>
      </c>
      <c r="C580" s="595" t="s">
        <v>927</v>
      </c>
      <c r="D580" s="413" t="s">
        <v>215</v>
      </c>
      <c r="E580" s="413" t="s">
        <v>17</v>
      </c>
      <c r="F580" s="413" t="s">
        <v>11</v>
      </c>
      <c r="G580" s="413" t="s">
        <v>24</v>
      </c>
      <c r="H580" s="413" t="s">
        <v>22</v>
      </c>
      <c r="I580" s="1066" t="s">
        <v>173</v>
      </c>
      <c r="J580" s="414" t="str">
        <f t="shared" si="9"/>
        <v>AExtensión de PlazoIndividualResidencialUsadaCasaFERIA000000005000.00</v>
      </c>
      <c r="K580" s="1047">
        <v>5000</v>
      </c>
      <c r="L580" s="1047">
        <v>50000000</v>
      </c>
      <c r="M580" s="1050">
        <v>100</v>
      </c>
      <c r="N580" s="1046">
        <v>30</v>
      </c>
      <c r="O580" s="1050">
        <v>0</v>
      </c>
      <c r="P580" s="1050">
        <v>0</v>
      </c>
    </row>
    <row r="581" spans="2:16" x14ac:dyDescent="0.25">
      <c r="B581" s="415">
        <v>580</v>
      </c>
      <c r="C581" s="595" t="s">
        <v>927</v>
      </c>
      <c r="D581" s="413" t="s">
        <v>215</v>
      </c>
      <c r="E581" s="413" t="s">
        <v>9</v>
      </c>
      <c r="F581" s="413" t="s">
        <v>11</v>
      </c>
      <c r="G581" s="413" t="s">
        <v>24</v>
      </c>
      <c r="H581" s="413" t="s">
        <v>25</v>
      </c>
      <c r="I581" s="1066" t="s">
        <v>567</v>
      </c>
      <c r="J581" s="414" t="str">
        <f t="shared" si="9"/>
        <v>AExtensión de PlazoLey PreferencialResidencialUsadaApartamentoBG000000005000.00</v>
      </c>
      <c r="K581" s="1047">
        <v>5000</v>
      </c>
      <c r="L581" s="1047">
        <v>120000</v>
      </c>
      <c r="M581" s="1050">
        <v>100</v>
      </c>
      <c r="N581" s="1046">
        <v>30</v>
      </c>
      <c r="O581" s="1050">
        <v>0</v>
      </c>
      <c r="P581" s="1050">
        <v>4.28</v>
      </c>
    </row>
    <row r="582" spans="2:16" x14ac:dyDescent="0.25">
      <c r="B582" s="412">
        <v>581</v>
      </c>
      <c r="C582" s="595" t="s">
        <v>927</v>
      </c>
      <c r="D582" s="413" t="s">
        <v>215</v>
      </c>
      <c r="E582" s="413" t="s">
        <v>9</v>
      </c>
      <c r="F582" s="413" t="s">
        <v>11</v>
      </c>
      <c r="G582" s="413" t="s">
        <v>24</v>
      </c>
      <c r="H582" s="413" t="s">
        <v>25</v>
      </c>
      <c r="I582" s="1066" t="s">
        <v>913</v>
      </c>
      <c r="J582" s="414" t="str">
        <f t="shared" si="9"/>
        <v>AExtensión de PlazoLey PreferencialResidencialUsadaApartamentoCOPA000000005000.00</v>
      </c>
      <c r="K582" s="1047">
        <v>5000</v>
      </c>
      <c r="L582" s="1047">
        <v>120000</v>
      </c>
      <c r="M582" s="1050">
        <v>100</v>
      </c>
      <c r="N582" s="1046">
        <v>30</v>
      </c>
      <c r="O582" s="1050">
        <v>0</v>
      </c>
      <c r="P582" s="1050">
        <v>4.28</v>
      </c>
    </row>
    <row r="583" spans="2:16" x14ac:dyDescent="0.25">
      <c r="B583" s="415">
        <v>582</v>
      </c>
      <c r="C583" s="595" t="s">
        <v>927</v>
      </c>
      <c r="D583" s="413" t="s">
        <v>215</v>
      </c>
      <c r="E583" s="413" t="s">
        <v>9</v>
      </c>
      <c r="F583" s="413" t="s">
        <v>11</v>
      </c>
      <c r="G583" s="413" t="s">
        <v>24</v>
      </c>
      <c r="H583" s="413" t="s">
        <v>25</v>
      </c>
      <c r="I583" s="1066" t="s">
        <v>173</v>
      </c>
      <c r="J583" s="414" t="str">
        <f t="shared" si="9"/>
        <v>AExtensión de PlazoLey PreferencialResidencialUsadaApartamentoFERIA000000005000.00</v>
      </c>
      <c r="K583" s="1047">
        <v>5000</v>
      </c>
      <c r="L583" s="1047">
        <v>120000</v>
      </c>
      <c r="M583" s="1050">
        <v>100</v>
      </c>
      <c r="N583" s="1046">
        <v>30</v>
      </c>
      <c r="O583" s="1050">
        <v>0</v>
      </c>
      <c r="P583" s="1050">
        <v>4.28</v>
      </c>
    </row>
    <row r="584" spans="2:16" x14ac:dyDescent="0.25">
      <c r="B584" s="415">
        <v>583</v>
      </c>
      <c r="C584" s="595" t="s">
        <v>927</v>
      </c>
      <c r="D584" s="413" t="s">
        <v>215</v>
      </c>
      <c r="E584" s="413" t="s">
        <v>9</v>
      </c>
      <c r="F584" s="413" t="s">
        <v>11</v>
      </c>
      <c r="G584" s="413" t="s">
        <v>24</v>
      </c>
      <c r="H584" s="413" t="s">
        <v>22</v>
      </c>
      <c r="I584" s="1066" t="s">
        <v>567</v>
      </c>
      <c r="J584" s="414" t="str">
        <f t="shared" si="9"/>
        <v>AExtensión de PlazoLey PreferencialResidencialUsadaCasaBG000000005000.00</v>
      </c>
      <c r="K584" s="1047">
        <v>5000</v>
      </c>
      <c r="L584" s="1047">
        <v>120000</v>
      </c>
      <c r="M584" s="1050">
        <v>100</v>
      </c>
      <c r="N584" s="1046">
        <v>30</v>
      </c>
      <c r="O584" s="1050">
        <v>0</v>
      </c>
      <c r="P584" s="1050">
        <v>4.28</v>
      </c>
    </row>
    <row r="585" spans="2:16" x14ac:dyDescent="0.25">
      <c r="B585" s="415">
        <v>584</v>
      </c>
      <c r="C585" s="595" t="s">
        <v>927</v>
      </c>
      <c r="D585" s="413" t="s">
        <v>215</v>
      </c>
      <c r="E585" s="413" t="s">
        <v>9</v>
      </c>
      <c r="F585" s="413" t="s">
        <v>11</v>
      </c>
      <c r="G585" s="413" t="s">
        <v>24</v>
      </c>
      <c r="H585" s="413" t="s">
        <v>22</v>
      </c>
      <c r="I585" s="1066" t="s">
        <v>913</v>
      </c>
      <c r="J585" s="414" t="str">
        <f t="shared" si="9"/>
        <v>AExtensión de PlazoLey PreferencialResidencialUsadaCasaCOPA000000005000.00</v>
      </c>
      <c r="K585" s="1047">
        <v>5000</v>
      </c>
      <c r="L585" s="1047">
        <v>120000</v>
      </c>
      <c r="M585" s="1050">
        <v>100</v>
      </c>
      <c r="N585" s="1046">
        <v>30</v>
      </c>
      <c r="O585" s="1050">
        <v>0</v>
      </c>
      <c r="P585" s="1050">
        <v>4.28</v>
      </c>
    </row>
    <row r="586" spans="2:16" x14ac:dyDescent="0.25">
      <c r="B586" s="415">
        <v>585</v>
      </c>
      <c r="C586" s="595" t="s">
        <v>927</v>
      </c>
      <c r="D586" s="413" t="s">
        <v>215</v>
      </c>
      <c r="E586" s="413" t="s">
        <v>9</v>
      </c>
      <c r="F586" s="413" t="s">
        <v>11</v>
      </c>
      <c r="G586" s="413" t="s">
        <v>24</v>
      </c>
      <c r="H586" s="413" t="s">
        <v>22</v>
      </c>
      <c r="I586" s="1066" t="s">
        <v>173</v>
      </c>
      <c r="J586" s="414" t="str">
        <f t="shared" si="9"/>
        <v>AExtensión de PlazoLey PreferencialResidencialUsadaCasaFERIA000000005000.00</v>
      </c>
      <c r="K586" s="1047">
        <v>5000</v>
      </c>
      <c r="L586" s="1047">
        <v>120000</v>
      </c>
      <c r="M586" s="1050">
        <v>100</v>
      </c>
      <c r="N586" s="1046">
        <v>30</v>
      </c>
      <c r="O586" s="1050">
        <v>0</v>
      </c>
      <c r="P586" s="1050">
        <v>4.28</v>
      </c>
    </row>
    <row r="587" spans="2:16" x14ac:dyDescent="0.25">
      <c r="B587" s="412">
        <v>586</v>
      </c>
      <c r="C587" s="1374" t="s">
        <v>927</v>
      </c>
      <c r="D587" s="413" t="s">
        <v>26</v>
      </c>
      <c r="E587" s="413" t="s">
        <v>17</v>
      </c>
      <c r="F587" s="413" t="s">
        <v>11</v>
      </c>
      <c r="G587" s="413" t="s">
        <v>24</v>
      </c>
      <c r="H587" s="413" t="s">
        <v>25</v>
      </c>
      <c r="I587" s="1066" t="s">
        <v>567</v>
      </c>
      <c r="J587" s="414" t="str">
        <f t="shared" si="9"/>
        <v>ATraspaso de Otro BancoIndividualResidencialUsadaApartamentoBG000000030000.00</v>
      </c>
      <c r="K587" s="1047">
        <v>30000</v>
      </c>
      <c r="L587" s="1047">
        <v>250000</v>
      </c>
      <c r="M587" s="1050">
        <v>90</v>
      </c>
      <c r="N587" s="1046">
        <v>30</v>
      </c>
      <c r="O587" s="1050">
        <v>5.75</v>
      </c>
      <c r="P587" s="1050">
        <v>8.56</v>
      </c>
    </row>
    <row r="588" spans="2:16" x14ac:dyDescent="0.25">
      <c r="B588" s="415">
        <v>587</v>
      </c>
      <c r="C588" s="1374" t="s">
        <v>927</v>
      </c>
      <c r="D588" s="413" t="s">
        <v>26</v>
      </c>
      <c r="E588" s="413" t="s">
        <v>17</v>
      </c>
      <c r="F588" s="413" t="s">
        <v>11</v>
      </c>
      <c r="G588" s="413" t="s">
        <v>24</v>
      </c>
      <c r="H588" s="413" t="s">
        <v>25</v>
      </c>
      <c r="I588" s="1066" t="s">
        <v>567</v>
      </c>
      <c r="J588" s="414" t="str">
        <f t="shared" si="9"/>
        <v>ATraspaso de Otro BancoIndividualResidencialUsadaApartamentoBG000000250000.01</v>
      </c>
      <c r="K588" s="1047">
        <v>250000.01</v>
      </c>
      <c r="L588" s="1047">
        <v>500000</v>
      </c>
      <c r="M588" s="1050">
        <v>80</v>
      </c>
      <c r="N588" s="1046">
        <v>30</v>
      </c>
      <c r="O588" s="1050">
        <v>5.75</v>
      </c>
      <c r="P588" s="1050">
        <v>8.56</v>
      </c>
    </row>
    <row r="589" spans="2:16" x14ac:dyDescent="0.25">
      <c r="B589" s="415">
        <v>588</v>
      </c>
      <c r="C589" s="1374" t="s">
        <v>927</v>
      </c>
      <c r="D589" s="413" t="s">
        <v>26</v>
      </c>
      <c r="E589" s="413" t="s">
        <v>17</v>
      </c>
      <c r="F589" s="413" t="s">
        <v>11</v>
      </c>
      <c r="G589" s="413" t="s">
        <v>24</v>
      </c>
      <c r="H589" s="413" t="s">
        <v>25</v>
      </c>
      <c r="I589" s="1066" t="s">
        <v>567</v>
      </c>
      <c r="J589" s="414" t="str">
        <f t="shared" si="9"/>
        <v>ATraspaso de Otro BancoIndividualResidencialUsadaApartamentoBG000000500000.01</v>
      </c>
      <c r="K589" s="1047">
        <v>500000.01</v>
      </c>
      <c r="L589" s="1047">
        <v>99999999</v>
      </c>
      <c r="M589" s="1050">
        <v>70</v>
      </c>
      <c r="N589" s="1046">
        <v>30</v>
      </c>
      <c r="O589" s="1050">
        <v>5.75</v>
      </c>
      <c r="P589" s="1050">
        <v>8.56</v>
      </c>
    </row>
    <row r="590" spans="2:16" x14ac:dyDescent="0.25">
      <c r="B590" s="415">
        <v>589</v>
      </c>
      <c r="C590" s="595" t="s">
        <v>927</v>
      </c>
      <c r="D590" s="413" t="s">
        <v>26</v>
      </c>
      <c r="E590" s="413" t="s">
        <v>17</v>
      </c>
      <c r="F590" s="413" t="s">
        <v>11</v>
      </c>
      <c r="G590" s="413" t="s">
        <v>24</v>
      </c>
      <c r="H590" s="413" t="s">
        <v>25</v>
      </c>
      <c r="I590" s="1066" t="s">
        <v>913</v>
      </c>
      <c r="J590" s="414" t="str">
        <f t="shared" si="9"/>
        <v>ATraspaso de Otro BancoIndividualResidencialUsadaApartamentoCOPA000000030000.00</v>
      </c>
      <c r="K590" s="1047">
        <v>30000</v>
      </c>
      <c r="L590" s="1047">
        <v>250000</v>
      </c>
      <c r="M590" s="1050">
        <v>90</v>
      </c>
      <c r="N590" s="1046">
        <v>30</v>
      </c>
      <c r="O590" s="1050">
        <v>5.5</v>
      </c>
      <c r="P590" s="1050">
        <v>8.56</v>
      </c>
    </row>
    <row r="591" spans="2:16" x14ac:dyDescent="0.25">
      <c r="B591" s="415">
        <v>590</v>
      </c>
      <c r="C591" s="595" t="s">
        <v>927</v>
      </c>
      <c r="D591" s="413" t="s">
        <v>26</v>
      </c>
      <c r="E591" s="413" t="s">
        <v>17</v>
      </c>
      <c r="F591" s="413" t="s">
        <v>11</v>
      </c>
      <c r="G591" s="413" t="s">
        <v>24</v>
      </c>
      <c r="H591" s="413" t="s">
        <v>25</v>
      </c>
      <c r="I591" s="1066" t="s">
        <v>913</v>
      </c>
      <c r="J591" s="414" t="str">
        <f t="shared" si="9"/>
        <v>ATraspaso de Otro BancoIndividualResidencialUsadaApartamentoCOPA000000250000.01</v>
      </c>
      <c r="K591" s="1047">
        <v>250000.01</v>
      </c>
      <c r="L591" s="1047">
        <v>500000</v>
      </c>
      <c r="M591" s="1050">
        <v>80</v>
      </c>
      <c r="N591" s="1046">
        <v>30</v>
      </c>
      <c r="O591" s="1050">
        <v>5.25</v>
      </c>
      <c r="P591" s="1050">
        <v>8.56</v>
      </c>
    </row>
    <row r="592" spans="2:16" x14ac:dyDescent="0.25">
      <c r="B592" s="412">
        <v>591</v>
      </c>
      <c r="C592" s="595" t="s">
        <v>927</v>
      </c>
      <c r="D592" s="413" t="s">
        <v>26</v>
      </c>
      <c r="E592" s="413" t="s">
        <v>17</v>
      </c>
      <c r="F592" s="413" t="s">
        <v>11</v>
      </c>
      <c r="G592" s="413" t="s">
        <v>24</v>
      </c>
      <c r="H592" s="413" t="s">
        <v>25</v>
      </c>
      <c r="I592" s="1066" t="s">
        <v>913</v>
      </c>
      <c r="J592" s="414" t="str">
        <f t="shared" si="9"/>
        <v>ATraspaso de Otro BancoIndividualResidencialUsadaApartamentoCOPA000000500000.01</v>
      </c>
      <c r="K592" s="1047">
        <v>500000.01</v>
      </c>
      <c r="L592" s="1047">
        <v>99999999</v>
      </c>
      <c r="M592" s="1050">
        <v>70</v>
      </c>
      <c r="N592" s="1046">
        <v>30</v>
      </c>
      <c r="O592" s="1050">
        <v>5.25</v>
      </c>
      <c r="P592" s="1050">
        <v>8.56</v>
      </c>
    </row>
    <row r="593" spans="2:16" x14ac:dyDescent="0.25">
      <c r="B593" s="415">
        <v>592</v>
      </c>
      <c r="C593" s="595" t="s">
        <v>927</v>
      </c>
      <c r="D593" s="413" t="s">
        <v>26</v>
      </c>
      <c r="E593" s="413" t="s">
        <v>17</v>
      </c>
      <c r="F593" s="413" t="s">
        <v>11</v>
      </c>
      <c r="G593" s="413" t="s">
        <v>24</v>
      </c>
      <c r="H593" s="413" t="s">
        <v>25</v>
      </c>
      <c r="I593" s="1066" t="s">
        <v>173</v>
      </c>
      <c r="J593" s="414" t="str">
        <f t="shared" si="9"/>
        <v>ATraspaso de Otro BancoIndividualResidencialUsadaApartamentoFERIA000000040000.00</v>
      </c>
      <c r="K593" s="1056">
        <v>40000</v>
      </c>
      <c r="L593" s="1056">
        <v>200000</v>
      </c>
      <c r="M593" s="1050">
        <v>90</v>
      </c>
      <c r="N593" s="1046">
        <v>30</v>
      </c>
      <c r="O593" s="1050">
        <v>5.5</v>
      </c>
      <c r="P593" s="1050">
        <v>8.56</v>
      </c>
    </row>
    <row r="594" spans="2:16" x14ac:dyDescent="0.25">
      <c r="B594" s="415">
        <v>593</v>
      </c>
      <c r="C594" s="595" t="s">
        <v>927</v>
      </c>
      <c r="D594" s="413" t="s">
        <v>26</v>
      </c>
      <c r="E594" s="413" t="s">
        <v>17</v>
      </c>
      <c r="F594" s="413" t="s">
        <v>11</v>
      </c>
      <c r="G594" s="413" t="s">
        <v>24</v>
      </c>
      <c r="H594" s="413" t="s">
        <v>25</v>
      </c>
      <c r="I594" s="1066" t="s">
        <v>173</v>
      </c>
      <c r="J594" s="414" t="str">
        <f t="shared" si="9"/>
        <v>ATraspaso de Otro BancoIndividualResidencialUsadaApartamentoFERIA000000200000.01</v>
      </c>
      <c r="K594" s="1056">
        <v>200000.01</v>
      </c>
      <c r="L594" s="1056">
        <v>99999999</v>
      </c>
      <c r="M594" s="1050">
        <v>80</v>
      </c>
      <c r="N594" s="1046">
        <v>30</v>
      </c>
      <c r="O594" s="1050">
        <v>5.25</v>
      </c>
      <c r="P594" s="1050">
        <v>8.56</v>
      </c>
    </row>
    <row r="595" spans="2:16" x14ac:dyDescent="0.25">
      <c r="B595" s="415">
        <v>594</v>
      </c>
      <c r="C595" s="595" t="s">
        <v>927</v>
      </c>
      <c r="D595" s="413" t="s">
        <v>26</v>
      </c>
      <c r="E595" s="413" t="s">
        <v>17</v>
      </c>
      <c r="F595" s="413" t="s">
        <v>11</v>
      </c>
      <c r="G595" s="413" t="s">
        <v>24</v>
      </c>
      <c r="H595" s="413" t="s">
        <v>25</v>
      </c>
      <c r="I595" s="1066" t="s">
        <v>173</v>
      </c>
      <c r="J595" s="414" t="str">
        <f t="shared" si="9"/>
        <v>ATraspaso de Otro BancoIndividualResidencialUsadaApartamentoFERIA000000500000.01</v>
      </c>
      <c r="K595" s="1047">
        <v>500000.01</v>
      </c>
      <c r="L595" s="1047">
        <v>99999999</v>
      </c>
      <c r="M595" s="1050">
        <v>70</v>
      </c>
      <c r="N595" s="1046">
        <v>30</v>
      </c>
      <c r="O595" s="1050">
        <v>5.25</v>
      </c>
      <c r="P595" s="1050">
        <v>8.56</v>
      </c>
    </row>
    <row r="596" spans="2:16" x14ac:dyDescent="0.25">
      <c r="B596" s="415">
        <v>595</v>
      </c>
      <c r="C596" s="1374" t="s">
        <v>927</v>
      </c>
      <c r="D596" s="413" t="s">
        <v>26</v>
      </c>
      <c r="E596" s="413" t="s">
        <v>17</v>
      </c>
      <c r="F596" s="413" t="s">
        <v>11</v>
      </c>
      <c r="G596" s="413" t="s">
        <v>24</v>
      </c>
      <c r="H596" s="413" t="s">
        <v>22</v>
      </c>
      <c r="I596" s="1066" t="s">
        <v>567</v>
      </c>
      <c r="J596" s="414" t="str">
        <f t="shared" si="9"/>
        <v>ATraspaso de Otro BancoIndividualResidencialUsadaCasaBG000000030000.00</v>
      </c>
      <c r="K596" s="1047">
        <v>30000</v>
      </c>
      <c r="L596" s="1047">
        <v>250000</v>
      </c>
      <c r="M596" s="1050">
        <v>90</v>
      </c>
      <c r="N596" s="1046">
        <v>30</v>
      </c>
      <c r="O596" s="1050">
        <v>5.75</v>
      </c>
      <c r="P596" s="1050">
        <v>8.56</v>
      </c>
    </row>
    <row r="597" spans="2:16" x14ac:dyDescent="0.25">
      <c r="B597" s="412">
        <v>596</v>
      </c>
      <c r="C597" s="1374" t="s">
        <v>927</v>
      </c>
      <c r="D597" s="413" t="s">
        <v>26</v>
      </c>
      <c r="E597" s="413" t="s">
        <v>17</v>
      </c>
      <c r="F597" s="413" t="s">
        <v>11</v>
      </c>
      <c r="G597" s="413" t="s">
        <v>24</v>
      </c>
      <c r="H597" s="413" t="s">
        <v>22</v>
      </c>
      <c r="I597" s="1066" t="s">
        <v>567</v>
      </c>
      <c r="J597" s="414" t="str">
        <f t="shared" si="9"/>
        <v>ATraspaso de Otro BancoIndividualResidencialUsadaCasaBG000000250000.01</v>
      </c>
      <c r="K597" s="1047">
        <v>250000.01</v>
      </c>
      <c r="L597" s="1047">
        <v>500000</v>
      </c>
      <c r="M597" s="1050">
        <v>80</v>
      </c>
      <c r="N597" s="1046">
        <v>30</v>
      </c>
      <c r="O597" s="1050">
        <v>5.75</v>
      </c>
      <c r="P597" s="1050">
        <v>8.56</v>
      </c>
    </row>
    <row r="598" spans="2:16" x14ac:dyDescent="0.25">
      <c r="B598" s="415">
        <v>597</v>
      </c>
      <c r="C598" s="1374" t="s">
        <v>927</v>
      </c>
      <c r="D598" s="413" t="s">
        <v>26</v>
      </c>
      <c r="E598" s="413" t="s">
        <v>17</v>
      </c>
      <c r="F598" s="413" t="s">
        <v>11</v>
      </c>
      <c r="G598" s="413" t="s">
        <v>24</v>
      </c>
      <c r="H598" s="413" t="s">
        <v>22</v>
      </c>
      <c r="I598" s="1066" t="s">
        <v>567</v>
      </c>
      <c r="J598" s="414" t="str">
        <f t="shared" si="9"/>
        <v>ATraspaso de Otro BancoIndividualResidencialUsadaCasaBG000000500000.01</v>
      </c>
      <c r="K598" s="1047">
        <v>500000.01</v>
      </c>
      <c r="L598" s="1047">
        <v>99999999</v>
      </c>
      <c r="M598" s="1050">
        <v>70</v>
      </c>
      <c r="N598" s="1046">
        <v>30</v>
      </c>
      <c r="O598" s="1050">
        <v>5.75</v>
      </c>
      <c r="P598" s="1050">
        <v>8.56</v>
      </c>
    </row>
    <row r="599" spans="2:16" x14ac:dyDescent="0.25">
      <c r="B599" s="415">
        <v>598</v>
      </c>
      <c r="C599" s="595" t="s">
        <v>927</v>
      </c>
      <c r="D599" s="413" t="s">
        <v>26</v>
      </c>
      <c r="E599" s="413" t="s">
        <v>17</v>
      </c>
      <c r="F599" s="413" t="s">
        <v>11</v>
      </c>
      <c r="G599" s="413" t="s">
        <v>24</v>
      </c>
      <c r="H599" s="413" t="s">
        <v>22</v>
      </c>
      <c r="I599" s="1066" t="s">
        <v>913</v>
      </c>
      <c r="J599" s="414" t="str">
        <f t="shared" si="9"/>
        <v>ATraspaso de Otro BancoIndividualResidencialUsadaCasaCOPA000000030000.00</v>
      </c>
      <c r="K599" s="1047">
        <v>30000</v>
      </c>
      <c r="L599" s="1047">
        <v>250000</v>
      </c>
      <c r="M599" s="1050">
        <v>90</v>
      </c>
      <c r="N599" s="1046">
        <v>30</v>
      </c>
      <c r="O599" s="1050">
        <v>5.5</v>
      </c>
      <c r="P599" s="1050">
        <v>8.56</v>
      </c>
    </row>
    <row r="600" spans="2:16" x14ac:dyDescent="0.25">
      <c r="B600" s="415">
        <v>599</v>
      </c>
      <c r="C600" s="595" t="s">
        <v>927</v>
      </c>
      <c r="D600" s="413" t="s">
        <v>26</v>
      </c>
      <c r="E600" s="413" t="s">
        <v>17</v>
      </c>
      <c r="F600" s="413" t="s">
        <v>11</v>
      </c>
      <c r="G600" s="413" t="s">
        <v>24</v>
      </c>
      <c r="H600" s="413" t="s">
        <v>22</v>
      </c>
      <c r="I600" s="1066" t="s">
        <v>913</v>
      </c>
      <c r="J600" s="414" t="str">
        <f t="shared" si="9"/>
        <v>ATraspaso de Otro BancoIndividualResidencialUsadaCasaCOPA000000250000.01</v>
      </c>
      <c r="K600" s="1047">
        <v>250000.01</v>
      </c>
      <c r="L600" s="1047">
        <v>500000</v>
      </c>
      <c r="M600" s="1050">
        <v>80</v>
      </c>
      <c r="N600" s="1046">
        <v>30</v>
      </c>
      <c r="O600" s="1050">
        <v>5.25</v>
      </c>
      <c r="P600" s="1050">
        <v>8.56</v>
      </c>
    </row>
    <row r="601" spans="2:16" x14ac:dyDescent="0.25">
      <c r="B601" s="415">
        <v>600</v>
      </c>
      <c r="C601" s="595" t="s">
        <v>927</v>
      </c>
      <c r="D601" s="413" t="s">
        <v>26</v>
      </c>
      <c r="E601" s="413" t="s">
        <v>17</v>
      </c>
      <c r="F601" s="413" t="s">
        <v>11</v>
      </c>
      <c r="G601" s="413" t="s">
        <v>24</v>
      </c>
      <c r="H601" s="413" t="s">
        <v>22</v>
      </c>
      <c r="I601" s="1066" t="s">
        <v>913</v>
      </c>
      <c r="J601" s="414" t="str">
        <f t="shared" si="9"/>
        <v>ATraspaso de Otro BancoIndividualResidencialUsadaCasaCOPA000000500000.01</v>
      </c>
      <c r="K601" s="1047">
        <v>500000.01</v>
      </c>
      <c r="L601" s="1047">
        <v>99999999</v>
      </c>
      <c r="M601" s="1050">
        <v>70</v>
      </c>
      <c r="N601" s="1046">
        <v>30</v>
      </c>
      <c r="O601" s="1050">
        <v>5.25</v>
      </c>
      <c r="P601" s="1050">
        <v>8.56</v>
      </c>
    </row>
    <row r="602" spans="2:16" x14ac:dyDescent="0.25">
      <c r="B602" s="412">
        <v>601</v>
      </c>
      <c r="C602" s="595" t="s">
        <v>927</v>
      </c>
      <c r="D602" s="413" t="s">
        <v>26</v>
      </c>
      <c r="E602" s="413" t="s">
        <v>17</v>
      </c>
      <c r="F602" s="413" t="s">
        <v>11</v>
      </c>
      <c r="G602" s="413" t="s">
        <v>24</v>
      </c>
      <c r="H602" s="413" t="s">
        <v>22</v>
      </c>
      <c r="I602" s="1066" t="s">
        <v>173</v>
      </c>
      <c r="J602" s="414" t="str">
        <f t="shared" si="9"/>
        <v>ATraspaso de Otro BancoIndividualResidencialUsadaCasaFERIA000000040000.00</v>
      </c>
      <c r="K602" s="1056">
        <v>40000</v>
      </c>
      <c r="L602" s="1056">
        <v>200000</v>
      </c>
      <c r="M602" s="1050">
        <v>90</v>
      </c>
      <c r="N602" s="1046">
        <v>30</v>
      </c>
      <c r="O602" s="1050">
        <v>5.5</v>
      </c>
      <c r="P602" s="1050">
        <v>8.56</v>
      </c>
    </row>
    <row r="603" spans="2:16" x14ac:dyDescent="0.25">
      <c r="B603" s="415">
        <v>602</v>
      </c>
      <c r="C603" s="595" t="s">
        <v>927</v>
      </c>
      <c r="D603" s="413" t="s">
        <v>26</v>
      </c>
      <c r="E603" s="413" t="s">
        <v>17</v>
      </c>
      <c r="F603" s="413" t="s">
        <v>11</v>
      </c>
      <c r="G603" s="413" t="s">
        <v>24</v>
      </c>
      <c r="H603" s="413" t="s">
        <v>22</v>
      </c>
      <c r="I603" s="1066" t="s">
        <v>173</v>
      </c>
      <c r="J603" s="414" t="str">
        <f t="shared" si="9"/>
        <v>ATraspaso de Otro BancoIndividualResidencialUsadaCasaFERIA000000200000.01</v>
      </c>
      <c r="K603" s="1056">
        <v>200000.01</v>
      </c>
      <c r="L603" s="1056">
        <v>99999999</v>
      </c>
      <c r="M603" s="1050">
        <v>80</v>
      </c>
      <c r="N603" s="1046">
        <v>30</v>
      </c>
      <c r="O603" s="1050">
        <v>5.25</v>
      </c>
      <c r="P603" s="1050">
        <v>8.56</v>
      </c>
    </row>
    <row r="604" spans="2:16" x14ac:dyDescent="0.25">
      <c r="B604" s="415">
        <v>603</v>
      </c>
      <c r="C604" s="595" t="s">
        <v>927</v>
      </c>
      <c r="D604" s="413" t="s">
        <v>26</v>
      </c>
      <c r="E604" s="413" t="s">
        <v>17</v>
      </c>
      <c r="F604" s="413" t="s">
        <v>11</v>
      </c>
      <c r="G604" s="413" t="s">
        <v>24</v>
      </c>
      <c r="H604" s="413" t="s">
        <v>22</v>
      </c>
      <c r="I604" s="1066" t="s">
        <v>173</v>
      </c>
      <c r="J604" s="414" t="str">
        <f t="shared" si="9"/>
        <v>ATraspaso de Otro BancoIndividualResidencialUsadaCasaFERIA000000500000.01</v>
      </c>
      <c r="K604" s="1047">
        <v>500000.01</v>
      </c>
      <c r="L604" s="1047">
        <v>99999999</v>
      </c>
      <c r="M604" s="1050">
        <v>70</v>
      </c>
      <c r="N604" s="1046">
        <v>30</v>
      </c>
      <c r="O604" s="1050">
        <v>5.25</v>
      </c>
      <c r="P604" s="1050">
        <v>8.56</v>
      </c>
    </row>
    <row r="605" spans="2:16" x14ac:dyDescent="0.25">
      <c r="B605" s="415">
        <v>604</v>
      </c>
      <c r="C605" s="595" t="s">
        <v>927</v>
      </c>
      <c r="D605" s="413" t="s">
        <v>753</v>
      </c>
      <c r="E605" s="413" t="s">
        <v>9</v>
      </c>
      <c r="F605" s="413" t="s">
        <v>11</v>
      </c>
      <c r="G605" s="413" t="s">
        <v>24</v>
      </c>
      <c r="H605" s="413" t="s">
        <v>25</v>
      </c>
      <c r="I605" s="1066" t="s">
        <v>567</v>
      </c>
      <c r="J605" s="414" t="str">
        <f t="shared" si="9"/>
        <v>ATraspaso por compra de vivienda (Ley Preferencial en BG)Ley PreferencialResidencialUsadaApartamentoBG000000030000.00</v>
      </c>
      <c r="K605" s="1047">
        <v>30000</v>
      </c>
      <c r="L605" s="1047">
        <v>40000</v>
      </c>
      <c r="M605" s="1050">
        <v>95</v>
      </c>
      <c r="N605" s="1046">
        <v>30</v>
      </c>
      <c r="O605" s="1050">
        <v>0</v>
      </c>
      <c r="P605" s="1050">
        <v>8.56</v>
      </c>
    </row>
    <row r="606" spans="2:16" x14ac:dyDescent="0.25">
      <c r="B606" s="415">
        <v>605</v>
      </c>
      <c r="C606" s="595" t="s">
        <v>927</v>
      </c>
      <c r="D606" s="413" t="s">
        <v>753</v>
      </c>
      <c r="E606" s="413" t="s">
        <v>9</v>
      </c>
      <c r="F606" s="413" t="s">
        <v>11</v>
      </c>
      <c r="G606" s="413" t="s">
        <v>24</v>
      </c>
      <c r="H606" s="413" t="s">
        <v>25</v>
      </c>
      <c r="I606" s="1066" t="s">
        <v>567</v>
      </c>
      <c r="J606" s="414" t="str">
        <f t="shared" si="9"/>
        <v>ATraspaso por compra de vivienda (Ley Preferencial en BG)Ley PreferencialResidencialUsadaApartamentoBG000000040000.01</v>
      </c>
      <c r="K606" s="1047">
        <v>40000.01</v>
      </c>
      <c r="L606" s="1047">
        <v>80000</v>
      </c>
      <c r="M606" s="1050">
        <v>95</v>
      </c>
      <c r="N606" s="1046">
        <v>30</v>
      </c>
      <c r="O606" s="1050">
        <v>1.5</v>
      </c>
      <c r="P606" s="1050">
        <v>8.56</v>
      </c>
    </row>
    <row r="607" spans="2:16" x14ac:dyDescent="0.25">
      <c r="B607" s="412">
        <v>606</v>
      </c>
      <c r="C607" s="595" t="s">
        <v>927</v>
      </c>
      <c r="D607" s="413" t="s">
        <v>753</v>
      </c>
      <c r="E607" s="413" t="s">
        <v>9</v>
      </c>
      <c r="F607" s="413" t="s">
        <v>11</v>
      </c>
      <c r="G607" s="413" t="s">
        <v>24</v>
      </c>
      <c r="H607" s="413" t="s">
        <v>25</v>
      </c>
      <c r="I607" s="1066" t="s">
        <v>567</v>
      </c>
      <c r="J607" s="414" t="str">
        <f t="shared" si="9"/>
        <v>ATraspaso por compra de vivienda (Ley Preferencial en BG)Ley PreferencialResidencialUsadaApartamentoBG000000080000.01</v>
      </c>
      <c r="K607" s="1047">
        <v>80000.009999999995</v>
      </c>
      <c r="L607" s="1047">
        <v>120000</v>
      </c>
      <c r="M607" s="1050">
        <v>95</v>
      </c>
      <c r="N607" s="1046">
        <v>30</v>
      </c>
      <c r="O607" s="1050">
        <v>1.5</v>
      </c>
      <c r="P607" s="1050">
        <v>8.56</v>
      </c>
    </row>
    <row r="608" spans="2:16" x14ac:dyDescent="0.25">
      <c r="B608" s="415">
        <v>607</v>
      </c>
      <c r="C608" s="595" t="s">
        <v>927</v>
      </c>
      <c r="D608" s="413" t="s">
        <v>753</v>
      </c>
      <c r="E608" s="413" t="s">
        <v>9</v>
      </c>
      <c r="F608" s="413" t="s">
        <v>11</v>
      </c>
      <c r="G608" s="413" t="s">
        <v>24</v>
      </c>
      <c r="H608" s="413" t="s">
        <v>25</v>
      </c>
      <c r="I608" s="1066" t="s">
        <v>913</v>
      </c>
      <c r="J608" s="414" t="str">
        <f t="shared" si="9"/>
        <v>ATraspaso por compra de vivienda (Ley Preferencial en BG)Ley PreferencialResidencialUsadaApartamentoCOPA000000030000.00</v>
      </c>
      <c r="K608" s="1047">
        <v>30000</v>
      </c>
      <c r="L608" s="1047">
        <v>40000</v>
      </c>
      <c r="M608" s="1050">
        <v>95</v>
      </c>
      <c r="N608" s="1046">
        <v>30</v>
      </c>
      <c r="O608" s="1050">
        <v>0</v>
      </c>
      <c r="P608" s="1050">
        <v>4.28</v>
      </c>
    </row>
    <row r="609" spans="2:16" x14ac:dyDescent="0.25">
      <c r="B609" s="415">
        <v>608</v>
      </c>
      <c r="C609" s="595" t="s">
        <v>927</v>
      </c>
      <c r="D609" s="413" t="s">
        <v>753</v>
      </c>
      <c r="E609" s="413" t="s">
        <v>9</v>
      </c>
      <c r="F609" s="413" t="s">
        <v>11</v>
      </c>
      <c r="G609" s="413" t="s">
        <v>24</v>
      </c>
      <c r="H609" s="413" t="s">
        <v>25</v>
      </c>
      <c r="I609" s="1066" t="s">
        <v>913</v>
      </c>
      <c r="J609" s="414" t="str">
        <f t="shared" si="9"/>
        <v>ATraspaso por compra de vivienda (Ley Preferencial en BG)Ley PreferencialResidencialUsadaApartamentoCOPA000000040000.01</v>
      </c>
      <c r="K609" s="1047">
        <v>40000.01</v>
      </c>
      <c r="L609" s="1047">
        <v>80000</v>
      </c>
      <c r="M609" s="1050">
        <v>95</v>
      </c>
      <c r="N609" s="1046">
        <v>30</v>
      </c>
      <c r="O609" s="1050">
        <v>1.5</v>
      </c>
      <c r="P609" s="1050">
        <v>4.28</v>
      </c>
    </row>
    <row r="610" spans="2:16" x14ac:dyDescent="0.25">
      <c r="B610" s="415">
        <v>609</v>
      </c>
      <c r="C610" s="595" t="s">
        <v>927</v>
      </c>
      <c r="D610" s="413" t="s">
        <v>753</v>
      </c>
      <c r="E610" s="413" t="s">
        <v>9</v>
      </c>
      <c r="F610" s="413" t="s">
        <v>11</v>
      </c>
      <c r="G610" s="413" t="s">
        <v>24</v>
      </c>
      <c r="H610" s="413" t="s">
        <v>25</v>
      </c>
      <c r="I610" s="1066" t="s">
        <v>913</v>
      </c>
      <c r="J610" s="414" t="str">
        <f t="shared" si="9"/>
        <v>ATraspaso por compra de vivienda (Ley Preferencial en BG)Ley PreferencialResidencialUsadaApartamentoCOPA000000080000.01</v>
      </c>
      <c r="K610" s="1047">
        <v>80000.009999999995</v>
      </c>
      <c r="L610" s="1047">
        <v>120000</v>
      </c>
      <c r="M610" s="1050">
        <v>95</v>
      </c>
      <c r="N610" s="1046">
        <v>30</v>
      </c>
      <c r="O610" s="1050">
        <v>1.5</v>
      </c>
      <c r="P610" s="1050">
        <v>4.28</v>
      </c>
    </row>
    <row r="611" spans="2:16" x14ac:dyDescent="0.25">
      <c r="B611" s="415">
        <v>610</v>
      </c>
      <c r="C611" s="595" t="s">
        <v>927</v>
      </c>
      <c r="D611" s="413" t="s">
        <v>753</v>
      </c>
      <c r="E611" s="413" t="s">
        <v>9</v>
      </c>
      <c r="F611" s="413" t="s">
        <v>11</v>
      </c>
      <c r="G611" s="413" t="s">
        <v>24</v>
      </c>
      <c r="H611" s="413" t="s">
        <v>25</v>
      </c>
      <c r="I611" s="1066" t="s">
        <v>173</v>
      </c>
      <c r="J611" s="414" t="str">
        <f t="shared" si="9"/>
        <v>ATraspaso por compra de vivienda (Ley Preferencial en BG)Ley PreferencialResidencialUsadaApartamentoFERIA000000030000.00</v>
      </c>
      <c r="K611" s="1047">
        <v>30000</v>
      </c>
      <c r="L611" s="1047">
        <v>40000</v>
      </c>
      <c r="M611" s="1050">
        <v>95</v>
      </c>
      <c r="N611" s="1046">
        <v>30</v>
      </c>
      <c r="O611" s="1050">
        <v>0</v>
      </c>
      <c r="P611" s="1050">
        <v>4.28</v>
      </c>
    </row>
    <row r="612" spans="2:16" x14ac:dyDescent="0.25">
      <c r="B612" s="412">
        <v>611</v>
      </c>
      <c r="C612" s="595" t="s">
        <v>927</v>
      </c>
      <c r="D612" s="413" t="s">
        <v>753</v>
      </c>
      <c r="E612" s="413" t="s">
        <v>9</v>
      </c>
      <c r="F612" s="413" t="s">
        <v>11</v>
      </c>
      <c r="G612" s="413" t="s">
        <v>24</v>
      </c>
      <c r="H612" s="413" t="s">
        <v>25</v>
      </c>
      <c r="I612" s="1066" t="s">
        <v>173</v>
      </c>
      <c r="J612" s="414" t="str">
        <f t="shared" si="9"/>
        <v>ATraspaso por compra de vivienda (Ley Preferencial en BG)Ley PreferencialResidencialUsadaApartamentoFERIA000000040000.01</v>
      </c>
      <c r="K612" s="1047">
        <v>40000.01</v>
      </c>
      <c r="L612" s="1047">
        <v>80000</v>
      </c>
      <c r="M612" s="1050">
        <v>95</v>
      </c>
      <c r="N612" s="1046">
        <v>30</v>
      </c>
      <c r="O612" s="1050">
        <v>1.5</v>
      </c>
      <c r="P612" s="1050">
        <v>4.28</v>
      </c>
    </row>
    <row r="613" spans="2:16" x14ac:dyDescent="0.25">
      <c r="B613" s="415">
        <v>612</v>
      </c>
      <c r="C613" s="595" t="s">
        <v>927</v>
      </c>
      <c r="D613" s="413" t="s">
        <v>753</v>
      </c>
      <c r="E613" s="413" t="s">
        <v>9</v>
      </c>
      <c r="F613" s="413" t="s">
        <v>11</v>
      </c>
      <c r="G613" s="413" t="s">
        <v>24</v>
      </c>
      <c r="H613" s="413" t="s">
        <v>25</v>
      </c>
      <c r="I613" s="1066" t="s">
        <v>173</v>
      </c>
      <c r="J613" s="414" t="str">
        <f t="shared" si="9"/>
        <v>ATraspaso por compra de vivienda (Ley Preferencial en BG)Ley PreferencialResidencialUsadaApartamentoFERIA000000080000.01</v>
      </c>
      <c r="K613" s="1047">
        <v>80000.009999999995</v>
      </c>
      <c r="L613" s="1047">
        <v>120000</v>
      </c>
      <c r="M613" s="1050">
        <v>95</v>
      </c>
      <c r="N613" s="1046">
        <v>30</v>
      </c>
      <c r="O613" s="1050">
        <v>1.5</v>
      </c>
      <c r="P613" s="1050">
        <v>4.28</v>
      </c>
    </row>
    <row r="614" spans="2:16" x14ac:dyDescent="0.25">
      <c r="B614" s="415">
        <v>613</v>
      </c>
      <c r="C614" s="595" t="s">
        <v>927</v>
      </c>
      <c r="D614" s="413" t="s">
        <v>753</v>
      </c>
      <c r="E614" s="413" t="s">
        <v>9</v>
      </c>
      <c r="F614" s="413" t="s">
        <v>11</v>
      </c>
      <c r="G614" s="413" t="s">
        <v>24</v>
      </c>
      <c r="H614" s="413" t="s">
        <v>22</v>
      </c>
      <c r="I614" s="1066" t="s">
        <v>567</v>
      </c>
      <c r="J614" s="414" t="str">
        <f t="shared" si="9"/>
        <v>ATraspaso por compra de vivienda (Ley Preferencial en BG)Ley PreferencialResidencialUsadaCasaBG000000018000.00</v>
      </c>
      <c r="K614" s="1047">
        <v>18000</v>
      </c>
      <c r="L614" s="1047">
        <v>40000</v>
      </c>
      <c r="M614" s="1050">
        <v>98</v>
      </c>
      <c r="N614" s="1046">
        <v>30</v>
      </c>
      <c r="O614" s="1050">
        <v>0</v>
      </c>
      <c r="P614" s="1050">
        <v>8.56</v>
      </c>
    </row>
    <row r="615" spans="2:16" x14ac:dyDescent="0.25">
      <c r="B615" s="415">
        <v>614</v>
      </c>
      <c r="C615" s="595" t="s">
        <v>927</v>
      </c>
      <c r="D615" s="413" t="s">
        <v>753</v>
      </c>
      <c r="E615" s="413" t="s">
        <v>9</v>
      </c>
      <c r="F615" s="413" t="s">
        <v>11</v>
      </c>
      <c r="G615" s="413" t="s">
        <v>24</v>
      </c>
      <c r="H615" s="413" t="s">
        <v>22</v>
      </c>
      <c r="I615" s="1066" t="s">
        <v>567</v>
      </c>
      <c r="J615" s="414" t="str">
        <f t="shared" si="9"/>
        <v>ATraspaso por compra de vivienda (Ley Preferencial en BG)Ley PreferencialResidencialUsadaCasaBG000000030000.01</v>
      </c>
      <c r="K615" s="1047">
        <v>30000.01</v>
      </c>
      <c r="L615" s="1047">
        <v>80000</v>
      </c>
      <c r="M615" s="1050">
        <v>98</v>
      </c>
      <c r="N615" s="1046">
        <v>30</v>
      </c>
      <c r="O615" s="1050">
        <v>1.5</v>
      </c>
      <c r="P615" s="1050">
        <v>8.56</v>
      </c>
    </row>
    <row r="616" spans="2:16" x14ac:dyDescent="0.25">
      <c r="B616" s="415">
        <v>615</v>
      </c>
      <c r="C616" s="595" t="s">
        <v>927</v>
      </c>
      <c r="D616" s="413" t="s">
        <v>753</v>
      </c>
      <c r="E616" s="413" t="s">
        <v>9</v>
      </c>
      <c r="F616" s="413" t="s">
        <v>11</v>
      </c>
      <c r="G616" s="413" t="s">
        <v>24</v>
      </c>
      <c r="H616" s="413" t="s">
        <v>22</v>
      </c>
      <c r="I616" s="1066" t="s">
        <v>567</v>
      </c>
      <c r="J616" s="414" t="str">
        <f t="shared" si="9"/>
        <v>ATraspaso por compra de vivienda (Ley Preferencial en BG)Ley PreferencialResidencialUsadaCasaBG000000080000.01</v>
      </c>
      <c r="K616" s="1047">
        <v>80000.009999999995</v>
      </c>
      <c r="L616" s="1047">
        <v>120000</v>
      </c>
      <c r="M616" s="1050">
        <v>98</v>
      </c>
      <c r="N616" s="1046">
        <v>30</v>
      </c>
      <c r="O616" s="1050">
        <v>1.5</v>
      </c>
      <c r="P616" s="1050">
        <v>8.56</v>
      </c>
    </row>
    <row r="617" spans="2:16" x14ac:dyDescent="0.25">
      <c r="B617" s="412">
        <v>616</v>
      </c>
      <c r="C617" s="595" t="s">
        <v>927</v>
      </c>
      <c r="D617" s="413" t="s">
        <v>753</v>
      </c>
      <c r="E617" s="413" t="s">
        <v>9</v>
      </c>
      <c r="F617" s="413" t="s">
        <v>11</v>
      </c>
      <c r="G617" s="413" t="s">
        <v>24</v>
      </c>
      <c r="H617" s="413" t="s">
        <v>22</v>
      </c>
      <c r="I617" s="1066" t="s">
        <v>913</v>
      </c>
      <c r="J617" s="414" t="str">
        <f t="shared" si="9"/>
        <v>ATraspaso por compra de vivienda (Ley Preferencial en BG)Ley PreferencialResidencialUsadaCasaCOPA000000018000.00</v>
      </c>
      <c r="K617" s="1047">
        <v>18000</v>
      </c>
      <c r="L617" s="1047">
        <v>40000</v>
      </c>
      <c r="M617" s="1050">
        <v>98</v>
      </c>
      <c r="N617" s="1046">
        <v>30</v>
      </c>
      <c r="O617" s="1050">
        <v>0</v>
      </c>
      <c r="P617" s="1050">
        <v>4.28</v>
      </c>
    </row>
    <row r="618" spans="2:16" x14ac:dyDescent="0.25">
      <c r="B618" s="415">
        <v>617</v>
      </c>
      <c r="C618" s="595" t="s">
        <v>927</v>
      </c>
      <c r="D618" s="413" t="s">
        <v>753</v>
      </c>
      <c r="E618" s="413" t="s">
        <v>9</v>
      </c>
      <c r="F618" s="413" t="s">
        <v>11</v>
      </c>
      <c r="G618" s="413" t="s">
        <v>24</v>
      </c>
      <c r="H618" s="413" t="s">
        <v>22</v>
      </c>
      <c r="I618" s="1066" t="s">
        <v>913</v>
      </c>
      <c r="J618" s="414" t="str">
        <f t="shared" si="9"/>
        <v>ATraspaso por compra de vivienda (Ley Preferencial en BG)Ley PreferencialResidencialUsadaCasaCOPA000000030000.01</v>
      </c>
      <c r="K618" s="1047">
        <v>30000.01</v>
      </c>
      <c r="L618" s="1047">
        <v>80000</v>
      </c>
      <c r="M618" s="1050">
        <v>98</v>
      </c>
      <c r="N618" s="1046">
        <v>30</v>
      </c>
      <c r="O618" s="1050">
        <v>1.5</v>
      </c>
      <c r="P618" s="1050">
        <v>4.28</v>
      </c>
    </row>
    <row r="619" spans="2:16" x14ac:dyDescent="0.25">
      <c r="B619" s="415">
        <v>618</v>
      </c>
      <c r="C619" s="595" t="s">
        <v>927</v>
      </c>
      <c r="D619" s="413" t="s">
        <v>753</v>
      </c>
      <c r="E619" s="413" t="s">
        <v>9</v>
      </c>
      <c r="F619" s="413" t="s">
        <v>11</v>
      </c>
      <c r="G619" s="413" t="s">
        <v>24</v>
      </c>
      <c r="H619" s="413" t="s">
        <v>22</v>
      </c>
      <c r="I619" s="1066" t="s">
        <v>913</v>
      </c>
      <c r="J619" s="414" t="str">
        <f t="shared" si="9"/>
        <v>ATraspaso por compra de vivienda (Ley Preferencial en BG)Ley PreferencialResidencialUsadaCasaCOPA000000080000.01</v>
      </c>
      <c r="K619" s="1047">
        <v>80000.009999999995</v>
      </c>
      <c r="L619" s="1047">
        <v>120000</v>
      </c>
      <c r="M619" s="1050">
        <v>98</v>
      </c>
      <c r="N619" s="1046">
        <v>30</v>
      </c>
      <c r="O619" s="1050">
        <v>1.5</v>
      </c>
      <c r="P619" s="1050">
        <v>4.28</v>
      </c>
    </row>
    <row r="620" spans="2:16" x14ac:dyDescent="0.25">
      <c r="B620" s="415">
        <v>619</v>
      </c>
      <c r="C620" s="595" t="s">
        <v>927</v>
      </c>
      <c r="D620" s="413" t="s">
        <v>753</v>
      </c>
      <c r="E620" s="413" t="s">
        <v>9</v>
      </c>
      <c r="F620" s="413" t="s">
        <v>11</v>
      </c>
      <c r="G620" s="413" t="s">
        <v>24</v>
      </c>
      <c r="H620" s="413" t="s">
        <v>22</v>
      </c>
      <c r="I620" s="1066" t="s">
        <v>173</v>
      </c>
      <c r="J620" s="414" t="str">
        <f t="shared" si="9"/>
        <v>ATraspaso por compra de vivienda (Ley Preferencial en BG)Ley PreferencialResidencialUsadaCasaFERIA000000018000.00</v>
      </c>
      <c r="K620" s="1047">
        <v>18000</v>
      </c>
      <c r="L620" s="1047">
        <v>40000</v>
      </c>
      <c r="M620" s="1050">
        <v>98</v>
      </c>
      <c r="N620" s="1046">
        <v>30</v>
      </c>
      <c r="O620" s="1050">
        <v>0</v>
      </c>
      <c r="P620" s="1050">
        <v>4.28</v>
      </c>
    </row>
    <row r="621" spans="2:16" x14ac:dyDescent="0.25">
      <c r="B621" s="415">
        <v>620</v>
      </c>
      <c r="C621" s="595" t="s">
        <v>927</v>
      </c>
      <c r="D621" s="413" t="s">
        <v>753</v>
      </c>
      <c r="E621" s="413" t="s">
        <v>9</v>
      </c>
      <c r="F621" s="413" t="s">
        <v>11</v>
      </c>
      <c r="G621" s="413" t="s">
        <v>24</v>
      </c>
      <c r="H621" s="413" t="s">
        <v>22</v>
      </c>
      <c r="I621" s="1066" t="s">
        <v>173</v>
      </c>
      <c r="J621" s="414" t="str">
        <f t="shared" si="9"/>
        <v>ATraspaso por compra de vivienda (Ley Preferencial en BG)Ley PreferencialResidencialUsadaCasaFERIA000000030000.01</v>
      </c>
      <c r="K621" s="1047">
        <v>30000.01</v>
      </c>
      <c r="L621" s="1047">
        <v>80000</v>
      </c>
      <c r="M621" s="1050">
        <v>98</v>
      </c>
      <c r="N621" s="1046">
        <v>30</v>
      </c>
      <c r="O621" s="1050">
        <v>1.5</v>
      </c>
      <c r="P621" s="1050">
        <v>4.28</v>
      </c>
    </row>
    <row r="622" spans="2:16" x14ac:dyDescent="0.25">
      <c r="B622" s="412">
        <v>621</v>
      </c>
      <c r="C622" s="595" t="s">
        <v>927</v>
      </c>
      <c r="D622" s="413" t="s">
        <v>753</v>
      </c>
      <c r="E622" s="413" t="s">
        <v>9</v>
      </c>
      <c r="F622" s="413" t="s">
        <v>11</v>
      </c>
      <c r="G622" s="413" t="s">
        <v>24</v>
      </c>
      <c r="H622" s="413" t="s">
        <v>22</v>
      </c>
      <c r="I622" s="1066" t="s">
        <v>173</v>
      </c>
      <c r="J622" s="414" t="str">
        <f t="shared" si="9"/>
        <v>ATraspaso por compra de vivienda (Ley Preferencial en BG)Ley PreferencialResidencialUsadaCasaFERIA000000080000.01</v>
      </c>
      <c r="K622" s="1047">
        <v>80000.009999999995</v>
      </c>
      <c r="L622" s="1047">
        <v>120000</v>
      </c>
      <c r="M622" s="1050">
        <v>98</v>
      </c>
      <c r="N622" s="1046">
        <v>30</v>
      </c>
      <c r="O622" s="1050">
        <v>1.5</v>
      </c>
      <c r="P622" s="1050">
        <v>4.28</v>
      </c>
    </row>
    <row r="623" spans="2:16" x14ac:dyDescent="0.25">
      <c r="B623" s="415">
        <v>622</v>
      </c>
      <c r="C623" s="595" t="s">
        <v>928</v>
      </c>
      <c r="D623" s="413" t="s">
        <v>8</v>
      </c>
      <c r="E623" s="413" t="s">
        <v>762</v>
      </c>
      <c r="F623" s="413" t="s">
        <v>11</v>
      </c>
      <c r="G623" s="413" t="s">
        <v>21</v>
      </c>
      <c r="H623" s="413" t="s">
        <v>25</v>
      </c>
      <c r="I623" s="1066" t="s">
        <v>567</v>
      </c>
      <c r="J623" s="414" t="str">
        <f t="shared" si="9"/>
        <v>BCompra de ViviendaCasco AntiguoResidencialNuevaApartamentoBG000000030000.00</v>
      </c>
      <c r="K623" s="1047">
        <v>30000</v>
      </c>
      <c r="L623" s="1047">
        <v>99999999</v>
      </c>
      <c r="M623" s="1050">
        <v>80</v>
      </c>
      <c r="N623" s="1046">
        <v>30</v>
      </c>
      <c r="O623" s="1050">
        <v>3.5</v>
      </c>
      <c r="P623" s="1050">
        <v>8.56</v>
      </c>
    </row>
    <row r="624" spans="2:16" x14ac:dyDescent="0.25">
      <c r="B624" s="415">
        <v>623</v>
      </c>
      <c r="C624" s="595" t="s">
        <v>928</v>
      </c>
      <c r="D624" s="413" t="s">
        <v>8</v>
      </c>
      <c r="E624" s="413" t="s">
        <v>762</v>
      </c>
      <c r="F624" s="413" t="s">
        <v>11</v>
      </c>
      <c r="G624" s="413" t="s">
        <v>21</v>
      </c>
      <c r="H624" s="413" t="s">
        <v>25</v>
      </c>
      <c r="I624" s="1066" t="s">
        <v>913</v>
      </c>
      <c r="J624" s="414" t="str">
        <f t="shared" si="9"/>
        <v>BCompra de ViviendaCasco AntiguoResidencialNuevaApartamentoCOPA000000030000.00</v>
      </c>
      <c r="K624" s="1047">
        <v>30000</v>
      </c>
      <c r="L624" s="1047">
        <v>99999999</v>
      </c>
      <c r="M624" s="1050">
        <v>80</v>
      </c>
      <c r="N624" s="1046">
        <v>30</v>
      </c>
      <c r="O624" s="1050">
        <v>3.25</v>
      </c>
      <c r="P624" s="1050">
        <v>8.56</v>
      </c>
    </row>
    <row r="625" spans="2:16" x14ac:dyDescent="0.25">
      <c r="B625" s="415">
        <v>624</v>
      </c>
      <c r="C625" s="595" t="s">
        <v>928</v>
      </c>
      <c r="D625" s="413" t="s">
        <v>8</v>
      </c>
      <c r="E625" s="413" t="s">
        <v>762</v>
      </c>
      <c r="F625" s="413" t="s">
        <v>11</v>
      </c>
      <c r="G625" s="413" t="s">
        <v>21</v>
      </c>
      <c r="H625" s="413" t="s">
        <v>25</v>
      </c>
      <c r="I625" s="1066" t="s">
        <v>173</v>
      </c>
      <c r="J625" s="414" t="str">
        <f t="shared" si="9"/>
        <v>BCompra de ViviendaCasco AntiguoResidencialNuevaApartamentoFERIA000000030000.00</v>
      </c>
      <c r="K625" s="1047">
        <v>30000</v>
      </c>
      <c r="L625" s="1047">
        <v>99999999</v>
      </c>
      <c r="M625" s="1050">
        <v>80</v>
      </c>
      <c r="N625" s="1046">
        <v>30</v>
      </c>
      <c r="O625" s="1050">
        <v>3.5</v>
      </c>
      <c r="P625" s="1050">
        <v>4.28</v>
      </c>
    </row>
    <row r="626" spans="2:16" x14ac:dyDescent="0.25">
      <c r="B626" s="415">
        <v>625</v>
      </c>
      <c r="C626" s="595" t="s">
        <v>928</v>
      </c>
      <c r="D626" s="413" t="s">
        <v>8</v>
      </c>
      <c r="E626" s="413" t="s">
        <v>762</v>
      </c>
      <c r="F626" s="413" t="s">
        <v>11</v>
      </c>
      <c r="G626" s="413" t="s">
        <v>21</v>
      </c>
      <c r="H626" s="413" t="s">
        <v>22</v>
      </c>
      <c r="I626" s="1066" t="s">
        <v>567</v>
      </c>
      <c r="J626" s="414" t="str">
        <f t="shared" si="9"/>
        <v>BCompra de ViviendaCasco AntiguoResidencialNuevaCasaBG000000030000.00</v>
      </c>
      <c r="K626" s="1047">
        <v>30000</v>
      </c>
      <c r="L626" s="1047">
        <v>99999999</v>
      </c>
      <c r="M626" s="1050">
        <v>80</v>
      </c>
      <c r="N626" s="1046">
        <v>30</v>
      </c>
      <c r="O626" s="1050">
        <v>3.5</v>
      </c>
      <c r="P626" s="1050">
        <v>8.56</v>
      </c>
    </row>
    <row r="627" spans="2:16" x14ac:dyDescent="0.25">
      <c r="B627" s="412">
        <v>626</v>
      </c>
      <c r="C627" s="595" t="s">
        <v>928</v>
      </c>
      <c r="D627" s="413" t="s">
        <v>8</v>
      </c>
      <c r="E627" s="413" t="s">
        <v>762</v>
      </c>
      <c r="F627" s="413" t="s">
        <v>11</v>
      </c>
      <c r="G627" s="413" t="s">
        <v>21</v>
      </c>
      <c r="H627" s="413" t="s">
        <v>22</v>
      </c>
      <c r="I627" s="1066" t="s">
        <v>913</v>
      </c>
      <c r="J627" s="414" t="str">
        <f t="shared" si="9"/>
        <v>BCompra de ViviendaCasco AntiguoResidencialNuevaCasaCOPA000000030000.00</v>
      </c>
      <c r="K627" s="1047">
        <v>30000</v>
      </c>
      <c r="L627" s="1047">
        <v>99999999</v>
      </c>
      <c r="M627" s="1050">
        <v>80</v>
      </c>
      <c r="N627" s="1046">
        <v>30</v>
      </c>
      <c r="O627" s="1050">
        <v>3.25</v>
      </c>
      <c r="P627" s="1050">
        <v>8.56</v>
      </c>
    </row>
    <row r="628" spans="2:16" x14ac:dyDescent="0.25">
      <c r="B628" s="415">
        <v>627</v>
      </c>
      <c r="C628" s="595" t="s">
        <v>928</v>
      </c>
      <c r="D628" s="421" t="s">
        <v>8</v>
      </c>
      <c r="E628" s="421" t="s">
        <v>762</v>
      </c>
      <c r="F628" s="421" t="s">
        <v>11</v>
      </c>
      <c r="G628" s="421" t="s">
        <v>21</v>
      </c>
      <c r="H628" s="421" t="s">
        <v>22</v>
      </c>
      <c r="I628" s="1066" t="s">
        <v>173</v>
      </c>
      <c r="J628" s="414" t="str">
        <f t="shared" si="9"/>
        <v>BCompra de ViviendaCasco AntiguoResidencialNuevaCasaFERIA000000030000.00</v>
      </c>
      <c r="K628" s="1049">
        <v>30000</v>
      </c>
      <c r="L628" s="1049">
        <v>99999999</v>
      </c>
      <c r="M628" s="1053">
        <v>80</v>
      </c>
      <c r="N628" s="1048">
        <v>30</v>
      </c>
      <c r="O628" s="1050">
        <v>3.5</v>
      </c>
      <c r="P628" s="1050">
        <v>4.28</v>
      </c>
    </row>
    <row r="629" spans="2:16" x14ac:dyDescent="0.25">
      <c r="B629" s="415">
        <v>628</v>
      </c>
      <c r="C629" s="595" t="s">
        <v>928</v>
      </c>
      <c r="D629" s="421" t="s">
        <v>8</v>
      </c>
      <c r="E629" s="421" t="s">
        <v>762</v>
      </c>
      <c r="F629" s="421" t="s">
        <v>11</v>
      </c>
      <c r="G629" s="421" t="s">
        <v>24</v>
      </c>
      <c r="H629" s="421" t="s">
        <v>25</v>
      </c>
      <c r="I629" s="1066" t="s">
        <v>567</v>
      </c>
      <c r="J629" s="414" t="str">
        <f t="shared" si="9"/>
        <v>BCompra de ViviendaCasco AntiguoResidencialUsadaApartamentoBG000000030000.00</v>
      </c>
      <c r="K629" s="1049">
        <v>30000</v>
      </c>
      <c r="L629" s="1049">
        <v>99999999</v>
      </c>
      <c r="M629" s="1053">
        <v>80</v>
      </c>
      <c r="N629" s="1048">
        <v>30</v>
      </c>
      <c r="O629" s="1050">
        <v>3.5</v>
      </c>
      <c r="P629" s="1050">
        <v>8.56</v>
      </c>
    </row>
    <row r="630" spans="2:16" x14ac:dyDescent="0.25">
      <c r="B630" s="415">
        <v>629</v>
      </c>
      <c r="C630" s="595" t="s">
        <v>928</v>
      </c>
      <c r="D630" s="421" t="s">
        <v>8</v>
      </c>
      <c r="E630" s="421" t="s">
        <v>762</v>
      </c>
      <c r="F630" s="421" t="s">
        <v>11</v>
      </c>
      <c r="G630" s="421" t="s">
        <v>24</v>
      </c>
      <c r="H630" s="421" t="s">
        <v>25</v>
      </c>
      <c r="I630" s="1066" t="s">
        <v>913</v>
      </c>
      <c r="J630" s="414" t="str">
        <f t="shared" si="9"/>
        <v>BCompra de ViviendaCasco AntiguoResidencialUsadaApartamentoCOPA000000030000.00</v>
      </c>
      <c r="K630" s="1049">
        <v>30000</v>
      </c>
      <c r="L630" s="1049">
        <v>99999999</v>
      </c>
      <c r="M630" s="1053">
        <v>80</v>
      </c>
      <c r="N630" s="1048">
        <v>30</v>
      </c>
      <c r="O630" s="1050">
        <v>3.25</v>
      </c>
      <c r="P630" s="1050">
        <v>8.56</v>
      </c>
    </row>
    <row r="631" spans="2:16" x14ac:dyDescent="0.25">
      <c r="B631" s="415">
        <v>630</v>
      </c>
      <c r="C631" s="595" t="s">
        <v>928</v>
      </c>
      <c r="D631" s="413" t="s">
        <v>8</v>
      </c>
      <c r="E631" s="413" t="s">
        <v>762</v>
      </c>
      <c r="F631" s="413" t="s">
        <v>11</v>
      </c>
      <c r="G631" s="413" t="s">
        <v>24</v>
      </c>
      <c r="H631" s="413" t="s">
        <v>25</v>
      </c>
      <c r="I631" s="1066" t="s">
        <v>173</v>
      </c>
      <c r="J631" s="414" t="str">
        <f t="shared" si="9"/>
        <v>BCompra de ViviendaCasco AntiguoResidencialUsadaApartamentoFERIA000000030000.00</v>
      </c>
      <c r="K631" s="1047">
        <v>30000</v>
      </c>
      <c r="L631" s="1047">
        <v>99999999</v>
      </c>
      <c r="M631" s="1050">
        <v>80</v>
      </c>
      <c r="N631" s="1046">
        <v>30</v>
      </c>
      <c r="O631" s="1050">
        <v>3.5</v>
      </c>
      <c r="P631" s="1050">
        <v>4.28</v>
      </c>
    </row>
    <row r="632" spans="2:16" x14ac:dyDescent="0.25">
      <c r="B632" s="412">
        <v>631</v>
      </c>
      <c r="C632" s="595" t="s">
        <v>928</v>
      </c>
      <c r="D632" s="413" t="s">
        <v>8</v>
      </c>
      <c r="E632" s="413" t="s">
        <v>762</v>
      </c>
      <c r="F632" s="413" t="s">
        <v>11</v>
      </c>
      <c r="G632" s="413" t="s">
        <v>24</v>
      </c>
      <c r="H632" s="413" t="s">
        <v>22</v>
      </c>
      <c r="I632" s="1066" t="s">
        <v>567</v>
      </c>
      <c r="J632" s="414" t="str">
        <f t="shared" si="9"/>
        <v>BCompra de ViviendaCasco AntiguoResidencialUsadaCasaBG000000030000.00</v>
      </c>
      <c r="K632" s="1047">
        <v>30000</v>
      </c>
      <c r="L632" s="1047">
        <v>99999999</v>
      </c>
      <c r="M632" s="1050">
        <v>80</v>
      </c>
      <c r="N632" s="1046">
        <v>30</v>
      </c>
      <c r="O632" s="1050">
        <v>3.5</v>
      </c>
      <c r="P632" s="1050">
        <v>8.56</v>
      </c>
    </row>
    <row r="633" spans="2:16" x14ac:dyDescent="0.25">
      <c r="B633" s="415">
        <v>632</v>
      </c>
      <c r="C633" s="595" t="s">
        <v>928</v>
      </c>
      <c r="D633" s="413" t="s">
        <v>8</v>
      </c>
      <c r="E633" s="413" t="s">
        <v>762</v>
      </c>
      <c r="F633" s="413" t="s">
        <v>11</v>
      </c>
      <c r="G633" s="413" t="s">
        <v>24</v>
      </c>
      <c r="H633" s="413" t="s">
        <v>22</v>
      </c>
      <c r="I633" s="1066" t="s">
        <v>913</v>
      </c>
      <c r="J633" s="414" t="str">
        <f t="shared" si="9"/>
        <v>BCompra de ViviendaCasco AntiguoResidencialUsadaCasaCOPA000000030000.00</v>
      </c>
      <c r="K633" s="1047">
        <v>30000</v>
      </c>
      <c r="L633" s="1047">
        <v>99999999</v>
      </c>
      <c r="M633" s="1050">
        <v>80</v>
      </c>
      <c r="N633" s="1046">
        <v>30</v>
      </c>
      <c r="O633" s="1050">
        <v>3.25</v>
      </c>
      <c r="P633" s="1050">
        <v>8.56</v>
      </c>
    </row>
    <row r="634" spans="2:16" x14ac:dyDescent="0.25">
      <c r="B634" s="415">
        <v>633</v>
      </c>
      <c r="C634" s="595" t="s">
        <v>928</v>
      </c>
      <c r="D634" s="413" t="s">
        <v>8</v>
      </c>
      <c r="E634" s="413" t="s">
        <v>762</v>
      </c>
      <c r="F634" s="413" t="s">
        <v>11</v>
      </c>
      <c r="G634" s="413" t="s">
        <v>24</v>
      </c>
      <c r="H634" s="413" t="s">
        <v>22</v>
      </c>
      <c r="I634" s="1066" t="s">
        <v>173</v>
      </c>
      <c r="J634" s="414" t="str">
        <f t="shared" si="9"/>
        <v>BCompra de ViviendaCasco AntiguoResidencialUsadaCasaFERIA000000030000.00</v>
      </c>
      <c r="K634" s="1047">
        <v>30000</v>
      </c>
      <c r="L634" s="1047">
        <v>99999999</v>
      </c>
      <c r="M634" s="1050">
        <v>80</v>
      </c>
      <c r="N634" s="1046">
        <v>30</v>
      </c>
      <c r="O634" s="1050">
        <v>3.5</v>
      </c>
      <c r="P634" s="1050">
        <v>4.28</v>
      </c>
    </row>
    <row r="635" spans="2:16" x14ac:dyDescent="0.25">
      <c r="B635" s="415">
        <v>634</v>
      </c>
      <c r="C635" s="1374" t="s">
        <v>928</v>
      </c>
      <c r="D635" s="413" t="s">
        <v>8</v>
      </c>
      <c r="E635" s="413" t="s">
        <v>17</v>
      </c>
      <c r="F635" s="413" t="s">
        <v>18</v>
      </c>
      <c r="G635" s="413" t="s">
        <v>24</v>
      </c>
      <c r="H635" s="413" t="s">
        <v>25</v>
      </c>
      <c r="I635" s="1066" t="s">
        <v>567</v>
      </c>
      <c r="J635" s="414" t="str">
        <f t="shared" si="9"/>
        <v>BCompra de ViviendaIndividualReposeídoUsadaApartamentoBG000000030000.00</v>
      </c>
      <c r="K635" s="1047">
        <v>30000</v>
      </c>
      <c r="L635" s="1047">
        <v>250000</v>
      </c>
      <c r="M635" s="1050">
        <v>80</v>
      </c>
      <c r="N635" s="1046">
        <v>30</v>
      </c>
      <c r="O635" s="1050">
        <v>6</v>
      </c>
      <c r="P635" s="1050">
        <v>8.56</v>
      </c>
    </row>
    <row r="636" spans="2:16" x14ac:dyDescent="0.25">
      <c r="B636" s="415">
        <v>635</v>
      </c>
      <c r="C636" s="1374" t="s">
        <v>928</v>
      </c>
      <c r="D636" s="413" t="s">
        <v>8</v>
      </c>
      <c r="E636" s="413" t="s">
        <v>17</v>
      </c>
      <c r="F636" s="413" t="s">
        <v>18</v>
      </c>
      <c r="G636" s="413" t="s">
        <v>24</v>
      </c>
      <c r="H636" s="413" t="s">
        <v>25</v>
      </c>
      <c r="I636" s="1066" t="s">
        <v>567</v>
      </c>
      <c r="J636" s="414" t="str">
        <f t="shared" si="9"/>
        <v>BCompra de ViviendaIndividualReposeídoUsadaApartamentoBG000000250000.01</v>
      </c>
      <c r="K636" s="1047">
        <v>250000.01</v>
      </c>
      <c r="L636" s="1047">
        <v>500000</v>
      </c>
      <c r="M636" s="1050">
        <v>80</v>
      </c>
      <c r="N636" s="1046">
        <v>30</v>
      </c>
      <c r="O636" s="1050">
        <v>6</v>
      </c>
      <c r="P636" s="1050">
        <v>8.56</v>
      </c>
    </row>
    <row r="637" spans="2:16" x14ac:dyDescent="0.25">
      <c r="B637" s="412">
        <v>636</v>
      </c>
      <c r="C637" s="1374" t="s">
        <v>928</v>
      </c>
      <c r="D637" s="413" t="s">
        <v>8</v>
      </c>
      <c r="E637" s="413" t="s">
        <v>17</v>
      </c>
      <c r="F637" s="413" t="s">
        <v>18</v>
      </c>
      <c r="G637" s="413" t="s">
        <v>24</v>
      </c>
      <c r="H637" s="413" t="s">
        <v>25</v>
      </c>
      <c r="I637" s="1066" t="s">
        <v>567</v>
      </c>
      <c r="J637" s="414" t="str">
        <f t="shared" si="9"/>
        <v>BCompra de ViviendaIndividualReposeídoUsadaApartamentoBG000000500000.01</v>
      </c>
      <c r="K637" s="1047">
        <v>500000.01</v>
      </c>
      <c r="L637" s="1047">
        <v>99999999</v>
      </c>
      <c r="M637" s="1050">
        <v>70</v>
      </c>
      <c r="N637" s="1046">
        <v>30</v>
      </c>
      <c r="O637" s="1050">
        <v>6</v>
      </c>
      <c r="P637" s="1050">
        <v>8.56</v>
      </c>
    </row>
    <row r="638" spans="2:16" x14ac:dyDescent="0.25">
      <c r="B638" s="415">
        <v>637</v>
      </c>
      <c r="C638" s="595" t="s">
        <v>928</v>
      </c>
      <c r="D638" s="413" t="s">
        <v>8</v>
      </c>
      <c r="E638" s="413" t="s">
        <v>17</v>
      </c>
      <c r="F638" s="413" t="s">
        <v>18</v>
      </c>
      <c r="G638" s="413" t="s">
        <v>24</v>
      </c>
      <c r="H638" s="413" t="s">
        <v>25</v>
      </c>
      <c r="I638" s="1066" t="s">
        <v>913</v>
      </c>
      <c r="J638" s="414" t="str">
        <f t="shared" si="9"/>
        <v>BCompra de ViviendaIndividualReposeídoUsadaApartamentoCOPA000000030000.00</v>
      </c>
      <c r="K638" s="1047">
        <v>30000</v>
      </c>
      <c r="L638" s="1047">
        <v>250000</v>
      </c>
      <c r="M638" s="1050">
        <v>80</v>
      </c>
      <c r="N638" s="1046">
        <v>30</v>
      </c>
      <c r="O638" s="1050">
        <v>6.5</v>
      </c>
      <c r="P638" s="1050">
        <v>8.56</v>
      </c>
    </row>
    <row r="639" spans="2:16" x14ac:dyDescent="0.25">
      <c r="B639" s="415">
        <v>638</v>
      </c>
      <c r="C639" s="595" t="s">
        <v>928</v>
      </c>
      <c r="D639" s="413" t="s">
        <v>8</v>
      </c>
      <c r="E639" s="413" t="s">
        <v>17</v>
      </c>
      <c r="F639" s="413" t="s">
        <v>18</v>
      </c>
      <c r="G639" s="413" t="s">
        <v>24</v>
      </c>
      <c r="H639" s="413" t="s">
        <v>25</v>
      </c>
      <c r="I639" s="1066" t="s">
        <v>913</v>
      </c>
      <c r="J639" s="414" t="str">
        <f t="shared" si="9"/>
        <v>BCompra de ViviendaIndividualReposeídoUsadaApartamentoCOPA000000250000.01</v>
      </c>
      <c r="K639" s="1047">
        <v>250000.01</v>
      </c>
      <c r="L639" s="1047">
        <v>500000</v>
      </c>
      <c r="M639" s="1050">
        <v>80</v>
      </c>
      <c r="N639" s="1046">
        <v>30</v>
      </c>
      <c r="O639" s="1050">
        <v>6.5</v>
      </c>
      <c r="P639" s="1050">
        <v>8.56</v>
      </c>
    </row>
    <row r="640" spans="2:16" x14ac:dyDescent="0.25">
      <c r="B640" s="415">
        <v>639</v>
      </c>
      <c r="C640" s="595" t="s">
        <v>928</v>
      </c>
      <c r="D640" s="413" t="s">
        <v>8</v>
      </c>
      <c r="E640" s="413" t="s">
        <v>17</v>
      </c>
      <c r="F640" s="413" t="s">
        <v>18</v>
      </c>
      <c r="G640" s="413" t="s">
        <v>24</v>
      </c>
      <c r="H640" s="413" t="s">
        <v>25</v>
      </c>
      <c r="I640" s="1066" t="s">
        <v>913</v>
      </c>
      <c r="J640" s="414" t="str">
        <f t="shared" si="9"/>
        <v>BCompra de ViviendaIndividualReposeídoUsadaApartamentoCOPA000000500000.01</v>
      </c>
      <c r="K640" s="1047">
        <v>500000.01</v>
      </c>
      <c r="L640" s="1047">
        <v>99999999</v>
      </c>
      <c r="M640" s="1050">
        <v>80</v>
      </c>
      <c r="N640" s="1046">
        <v>30</v>
      </c>
      <c r="O640" s="1050">
        <v>6.5</v>
      </c>
      <c r="P640" s="1050">
        <v>8.56</v>
      </c>
    </row>
    <row r="641" spans="2:16" x14ac:dyDescent="0.25">
      <c r="B641" s="415">
        <v>640</v>
      </c>
      <c r="C641" s="595" t="s">
        <v>928</v>
      </c>
      <c r="D641" s="413" t="s">
        <v>8</v>
      </c>
      <c r="E641" s="413" t="s">
        <v>17</v>
      </c>
      <c r="F641" s="413" t="s">
        <v>18</v>
      </c>
      <c r="G641" s="413" t="s">
        <v>24</v>
      </c>
      <c r="H641" s="413" t="s">
        <v>25</v>
      </c>
      <c r="I641" s="1066" t="s">
        <v>173</v>
      </c>
      <c r="J641" s="414" t="str">
        <f t="shared" si="9"/>
        <v>BCompra de ViviendaIndividualReposeídoUsadaApartamentoFERIA000000030000.00</v>
      </c>
      <c r="K641" s="1047">
        <v>30000</v>
      </c>
      <c r="L641" s="1047">
        <v>250000</v>
      </c>
      <c r="M641" s="1050">
        <v>80</v>
      </c>
      <c r="N641" s="1046">
        <v>30</v>
      </c>
      <c r="O641" s="1050">
        <v>6.5</v>
      </c>
      <c r="P641" s="1050">
        <v>8.56</v>
      </c>
    </row>
    <row r="642" spans="2:16" x14ac:dyDescent="0.25">
      <c r="B642" s="412">
        <v>641</v>
      </c>
      <c r="C642" s="595" t="s">
        <v>928</v>
      </c>
      <c r="D642" s="413" t="s">
        <v>8</v>
      </c>
      <c r="E642" s="413" t="s">
        <v>17</v>
      </c>
      <c r="F642" s="413" t="s">
        <v>18</v>
      </c>
      <c r="G642" s="413" t="s">
        <v>24</v>
      </c>
      <c r="H642" s="413" t="s">
        <v>25</v>
      </c>
      <c r="I642" s="1066" t="s">
        <v>173</v>
      </c>
      <c r="J642" s="414" t="str">
        <f t="shared" ref="J642:J705" si="10">C642&amp;D642&amp;E642&amp;F642&amp;G642&amp;H642&amp;I642 &amp; REPT("0",15-LEN(K642 &amp; IF(IFERROR(FIND(".",K642&amp;""),0)=0,".00","")))&amp;K642 &amp; IF(IFERROR(FIND(".",K642&amp;""),0)=0,".00","")</f>
        <v>BCompra de ViviendaIndividualReposeídoUsadaApartamentoFERIA000000250000.01</v>
      </c>
      <c r="K642" s="1047">
        <v>250000.01</v>
      </c>
      <c r="L642" s="1047">
        <v>500000</v>
      </c>
      <c r="M642" s="1050">
        <v>80</v>
      </c>
      <c r="N642" s="1046">
        <v>30</v>
      </c>
      <c r="O642" s="1050">
        <v>6.5</v>
      </c>
      <c r="P642" s="1050">
        <v>8.56</v>
      </c>
    </row>
    <row r="643" spans="2:16" x14ac:dyDescent="0.25">
      <c r="B643" s="415">
        <v>642</v>
      </c>
      <c r="C643" s="595" t="s">
        <v>928</v>
      </c>
      <c r="D643" s="413" t="s">
        <v>8</v>
      </c>
      <c r="E643" s="413" t="s">
        <v>17</v>
      </c>
      <c r="F643" s="413" t="s">
        <v>18</v>
      </c>
      <c r="G643" s="413" t="s">
        <v>24</v>
      </c>
      <c r="H643" s="413" t="s">
        <v>25</v>
      </c>
      <c r="I643" s="1066" t="s">
        <v>173</v>
      </c>
      <c r="J643" s="414" t="str">
        <f t="shared" si="10"/>
        <v>BCompra de ViviendaIndividualReposeídoUsadaApartamentoFERIA000000500000.01</v>
      </c>
      <c r="K643" s="1047">
        <v>500000.01</v>
      </c>
      <c r="L643" s="1047">
        <v>99999999</v>
      </c>
      <c r="M643" s="1050">
        <v>80</v>
      </c>
      <c r="N643" s="1046">
        <v>30</v>
      </c>
      <c r="O643" s="1050">
        <v>6.5</v>
      </c>
      <c r="P643" s="1050">
        <v>8.56</v>
      </c>
    </row>
    <row r="644" spans="2:16" x14ac:dyDescent="0.25">
      <c r="B644" s="415">
        <v>643</v>
      </c>
      <c r="C644" s="1374" t="s">
        <v>928</v>
      </c>
      <c r="D644" s="413" t="s">
        <v>8</v>
      </c>
      <c r="E644" s="413" t="s">
        <v>17</v>
      </c>
      <c r="F644" s="413" t="s">
        <v>18</v>
      </c>
      <c r="G644" s="413" t="s">
        <v>24</v>
      </c>
      <c r="H644" s="413" t="s">
        <v>22</v>
      </c>
      <c r="I644" s="1066" t="s">
        <v>567</v>
      </c>
      <c r="J644" s="414" t="str">
        <f t="shared" si="10"/>
        <v>BCompra de ViviendaIndividualReposeídoUsadaCasaBG000000030000.00</v>
      </c>
      <c r="K644" s="1047">
        <v>30000</v>
      </c>
      <c r="L644" s="1047">
        <v>250000</v>
      </c>
      <c r="M644" s="1050">
        <v>80</v>
      </c>
      <c r="N644" s="1046">
        <v>30</v>
      </c>
      <c r="O644" s="1050">
        <v>6</v>
      </c>
      <c r="P644" s="1050">
        <v>8.56</v>
      </c>
    </row>
    <row r="645" spans="2:16" x14ac:dyDescent="0.25">
      <c r="B645" s="415">
        <v>644</v>
      </c>
      <c r="C645" s="1374" t="s">
        <v>928</v>
      </c>
      <c r="D645" s="413" t="s">
        <v>8</v>
      </c>
      <c r="E645" s="413" t="s">
        <v>17</v>
      </c>
      <c r="F645" s="413" t="s">
        <v>18</v>
      </c>
      <c r="G645" s="413" t="s">
        <v>24</v>
      </c>
      <c r="H645" s="413" t="s">
        <v>22</v>
      </c>
      <c r="I645" s="1066" t="s">
        <v>567</v>
      </c>
      <c r="J645" s="414" t="str">
        <f t="shared" si="10"/>
        <v>BCompra de ViviendaIndividualReposeídoUsadaCasaBG000000250000.01</v>
      </c>
      <c r="K645" s="1047">
        <v>250000.01</v>
      </c>
      <c r="L645" s="1047">
        <v>500000</v>
      </c>
      <c r="M645" s="1050">
        <v>80</v>
      </c>
      <c r="N645" s="1046">
        <v>30</v>
      </c>
      <c r="O645" s="1050">
        <v>6</v>
      </c>
      <c r="P645" s="1050">
        <v>8.56</v>
      </c>
    </row>
    <row r="646" spans="2:16" x14ac:dyDescent="0.25">
      <c r="B646" s="415">
        <v>645</v>
      </c>
      <c r="C646" s="1374" t="s">
        <v>928</v>
      </c>
      <c r="D646" s="413" t="s">
        <v>8</v>
      </c>
      <c r="E646" s="413" t="s">
        <v>17</v>
      </c>
      <c r="F646" s="413" t="s">
        <v>18</v>
      </c>
      <c r="G646" s="413" t="s">
        <v>24</v>
      </c>
      <c r="H646" s="413" t="s">
        <v>22</v>
      </c>
      <c r="I646" s="1066" t="s">
        <v>567</v>
      </c>
      <c r="J646" s="414" t="str">
        <f t="shared" si="10"/>
        <v>BCompra de ViviendaIndividualReposeídoUsadaCasaBG000000500000.01</v>
      </c>
      <c r="K646" s="1047">
        <v>500000.01</v>
      </c>
      <c r="L646" s="1047">
        <v>99999999</v>
      </c>
      <c r="M646" s="1050">
        <v>70</v>
      </c>
      <c r="N646" s="1046">
        <v>30</v>
      </c>
      <c r="O646" s="1050">
        <v>6</v>
      </c>
      <c r="P646" s="1050">
        <v>8.56</v>
      </c>
    </row>
    <row r="647" spans="2:16" x14ac:dyDescent="0.25">
      <c r="B647" s="412">
        <v>646</v>
      </c>
      <c r="C647" s="595" t="s">
        <v>928</v>
      </c>
      <c r="D647" s="413" t="s">
        <v>8</v>
      </c>
      <c r="E647" s="413" t="s">
        <v>17</v>
      </c>
      <c r="F647" s="413" t="s">
        <v>18</v>
      </c>
      <c r="G647" s="413" t="s">
        <v>24</v>
      </c>
      <c r="H647" s="413" t="s">
        <v>22</v>
      </c>
      <c r="I647" s="1066" t="s">
        <v>913</v>
      </c>
      <c r="J647" s="414" t="str">
        <f t="shared" si="10"/>
        <v>BCompra de ViviendaIndividualReposeídoUsadaCasaCOPA000000030000.00</v>
      </c>
      <c r="K647" s="1047">
        <v>30000</v>
      </c>
      <c r="L647" s="1047">
        <v>250000</v>
      </c>
      <c r="M647" s="1050">
        <v>80</v>
      </c>
      <c r="N647" s="1046">
        <v>30</v>
      </c>
      <c r="O647" s="1050">
        <v>6.5</v>
      </c>
      <c r="P647" s="1050">
        <v>8.56</v>
      </c>
    </row>
    <row r="648" spans="2:16" x14ac:dyDescent="0.25">
      <c r="B648" s="415">
        <v>647</v>
      </c>
      <c r="C648" s="595" t="s">
        <v>928</v>
      </c>
      <c r="D648" s="413" t="s">
        <v>8</v>
      </c>
      <c r="E648" s="413" t="s">
        <v>17</v>
      </c>
      <c r="F648" s="413" t="s">
        <v>18</v>
      </c>
      <c r="G648" s="413" t="s">
        <v>24</v>
      </c>
      <c r="H648" s="413" t="s">
        <v>22</v>
      </c>
      <c r="I648" s="1066" t="s">
        <v>913</v>
      </c>
      <c r="J648" s="414" t="str">
        <f t="shared" si="10"/>
        <v>BCompra de ViviendaIndividualReposeídoUsadaCasaCOPA000000250000.01</v>
      </c>
      <c r="K648" s="1047">
        <v>250000.01</v>
      </c>
      <c r="L648" s="1047">
        <v>500000</v>
      </c>
      <c r="M648" s="1050">
        <v>80</v>
      </c>
      <c r="N648" s="1046">
        <v>30</v>
      </c>
      <c r="O648" s="1050">
        <v>6.5</v>
      </c>
      <c r="P648" s="1050">
        <v>8.56</v>
      </c>
    </row>
    <row r="649" spans="2:16" x14ac:dyDescent="0.25">
      <c r="B649" s="415">
        <v>648</v>
      </c>
      <c r="C649" s="595" t="s">
        <v>928</v>
      </c>
      <c r="D649" s="413" t="s">
        <v>8</v>
      </c>
      <c r="E649" s="413" t="s">
        <v>17</v>
      </c>
      <c r="F649" s="413" t="s">
        <v>18</v>
      </c>
      <c r="G649" s="413" t="s">
        <v>24</v>
      </c>
      <c r="H649" s="413" t="s">
        <v>22</v>
      </c>
      <c r="I649" s="1066" t="s">
        <v>913</v>
      </c>
      <c r="J649" s="414" t="str">
        <f t="shared" si="10"/>
        <v>BCompra de ViviendaIndividualReposeídoUsadaCasaCOPA000000500000.01</v>
      </c>
      <c r="K649" s="1047">
        <v>500000.01</v>
      </c>
      <c r="L649" s="1047">
        <v>99999999</v>
      </c>
      <c r="M649" s="1050">
        <v>80</v>
      </c>
      <c r="N649" s="1046">
        <v>30</v>
      </c>
      <c r="O649" s="1050">
        <v>6.5</v>
      </c>
      <c r="P649" s="1050">
        <v>8.56</v>
      </c>
    </row>
    <row r="650" spans="2:16" x14ac:dyDescent="0.25">
      <c r="B650" s="415">
        <v>649</v>
      </c>
      <c r="C650" s="595" t="s">
        <v>928</v>
      </c>
      <c r="D650" s="413" t="s">
        <v>8</v>
      </c>
      <c r="E650" s="413" t="s">
        <v>17</v>
      </c>
      <c r="F650" s="413" t="s">
        <v>18</v>
      </c>
      <c r="G650" s="413" t="s">
        <v>24</v>
      </c>
      <c r="H650" s="413" t="s">
        <v>22</v>
      </c>
      <c r="I650" s="1066" t="s">
        <v>173</v>
      </c>
      <c r="J650" s="414" t="str">
        <f t="shared" si="10"/>
        <v>BCompra de ViviendaIndividualReposeídoUsadaCasaFERIA000000030000.00</v>
      </c>
      <c r="K650" s="1047">
        <v>30000</v>
      </c>
      <c r="L650" s="1047">
        <v>250000</v>
      </c>
      <c r="M650" s="1050">
        <v>80</v>
      </c>
      <c r="N650" s="1046">
        <v>30</v>
      </c>
      <c r="O650" s="1050">
        <v>6.5</v>
      </c>
      <c r="P650" s="1050">
        <v>8.56</v>
      </c>
    </row>
    <row r="651" spans="2:16" x14ac:dyDescent="0.25">
      <c r="B651" s="415">
        <v>650</v>
      </c>
      <c r="C651" s="595" t="s">
        <v>928</v>
      </c>
      <c r="D651" s="413" t="s">
        <v>8</v>
      </c>
      <c r="E651" s="413" t="s">
        <v>17</v>
      </c>
      <c r="F651" s="413" t="s">
        <v>18</v>
      </c>
      <c r="G651" s="413" t="s">
        <v>24</v>
      </c>
      <c r="H651" s="413" t="s">
        <v>22</v>
      </c>
      <c r="I651" s="1066" t="s">
        <v>173</v>
      </c>
      <c r="J651" s="414" t="str">
        <f t="shared" si="10"/>
        <v>BCompra de ViviendaIndividualReposeídoUsadaCasaFERIA000000250000.01</v>
      </c>
      <c r="K651" s="1047">
        <v>250000.01</v>
      </c>
      <c r="L651" s="1047">
        <v>500000</v>
      </c>
      <c r="M651" s="1050">
        <v>80</v>
      </c>
      <c r="N651" s="1046">
        <v>30</v>
      </c>
      <c r="O651" s="1050">
        <v>6.5</v>
      </c>
      <c r="P651" s="1050">
        <v>8.56</v>
      </c>
    </row>
    <row r="652" spans="2:16" x14ac:dyDescent="0.25">
      <c r="B652" s="412">
        <v>651</v>
      </c>
      <c r="C652" s="595" t="s">
        <v>928</v>
      </c>
      <c r="D652" s="413" t="s">
        <v>8</v>
      </c>
      <c r="E652" s="413" t="s">
        <v>17</v>
      </c>
      <c r="F652" s="413" t="s">
        <v>18</v>
      </c>
      <c r="G652" s="413" t="s">
        <v>24</v>
      </c>
      <c r="H652" s="413" t="s">
        <v>22</v>
      </c>
      <c r="I652" s="1066" t="s">
        <v>173</v>
      </c>
      <c r="J652" s="414" t="str">
        <f t="shared" si="10"/>
        <v>BCompra de ViviendaIndividualReposeídoUsadaCasaFERIA000000500000.01</v>
      </c>
      <c r="K652" s="1047">
        <v>500000.01</v>
      </c>
      <c r="L652" s="1047">
        <v>99999999</v>
      </c>
      <c r="M652" s="1050">
        <v>80</v>
      </c>
      <c r="N652" s="1046">
        <v>30</v>
      </c>
      <c r="O652" s="1050">
        <v>6.5</v>
      </c>
      <c r="P652" s="1050">
        <v>8.56</v>
      </c>
    </row>
    <row r="653" spans="2:16" x14ac:dyDescent="0.25">
      <c r="B653" s="415">
        <v>652</v>
      </c>
      <c r="C653" s="595" t="s">
        <v>928</v>
      </c>
      <c r="D653" s="413" t="s">
        <v>8</v>
      </c>
      <c r="E653" s="413" t="s">
        <v>17</v>
      </c>
      <c r="F653" s="413" t="s">
        <v>11</v>
      </c>
      <c r="G653" s="413" t="s">
        <v>21</v>
      </c>
      <c r="H653" s="413" t="s">
        <v>25</v>
      </c>
      <c r="I653" s="1066" t="s">
        <v>567</v>
      </c>
      <c r="J653" s="414" t="str">
        <f t="shared" si="10"/>
        <v>BCompra de ViviendaIndividualResidencialNuevaApartamentoBG000000030000.00</v>
      </c>
      <c r="K653" s="1047">
        <v>30000</v>
      </c>
      <c r="L653" s="1047">
        <v>100000</v>
      </c>
      <c r="M653" s="1050">
        <v>80</v>
      </c>
      <c r="N653" s="1046">
        <v>30</v>
      </c>
      <c r="O653" s="1050">
        <v>6.75</v>
      </c>
      <c r="P653" s="1050">
        <v>8.56</v>
      </c>
    </row>
    <row r="654" spans="2:16" x14ac:dyDescent="0.25">
      <c r="B654" s="415">
        <v>653</v>
      </c>
      <c r="C654" s="595" t="s">
        <v>928</v>
      </c>
      <c r="D654" s="413" t="s">
        <v>8</v>
      </c>
      <c r="E654" s="413" t="s">
        <v>17</v>
      </c>
      <c r="F654" s="413" t="s">
        <v>11</v>
      </c>
      <c r="G654" s="413" t="s">
        <v>21</v>
      </c>
      <c r="H654" s="413" t="s">
        <v>25</v>
      </c>
      <c r="I654" s="1066" t="s">
        <v>567</v>
      </c>
      <c r="J654" s="414" t="str">
        <f t="shared" si="10"/>
        <v>BCompra de ViviendaIndividualResidencialNuevaApartamentoBG000000100000.01</v>
      </c>
      <c r="K654" s="1047">
        <v>100000.01</v>
      </c>
      <c r="L654" s="1047">
        <v>250000</v>
      </c>
      <c r="M654" s="1050">
        <v>80</v>
      </c>
      <c r="N654" s="1046">
        <v>30</v>
      </c>
      <c r="O654" s="1050">
        <v>6.75</v>
      </c>
      <c r="P654" s="1050">
        <v>8.56</v>
      </c>
    </row>
    <row r="655" spans="2:16" x14ac:dyDescent="0.25">
      <c r="B655" s="415">
        <v>654</v>
      </c>
      <c r="C655" s="595" t="s">
        <v>928</v>
      </c>
      <c r="D655" s="413" t="s">
        <v>8</v>
      </c>
      <c r="E655" s="413" t="s">
        <v>17</v>
      </c>
      <c r="F655" s="413" t="s">
        <v>11</v>
      </c>
      <c r="G655" s="413" t="s">
        <v>21</v>
      </c>
      <c r="H655" s="413" t="s">
        <v>25</v>
      </c>
      <c r="I655" s="1066" t="s">
        <v>567</v>
      </c>
      <c r="J655" s="414" t="str">
        <f t="shared" si="10"/>
        <v>BCompra de ViviendaIndividualResidencialNuevaApartamentoBG000000250000.01</v>
      </c>
      <c r="K655" s="1047">
        <v>250000.01</v>
      </c>
      <c r="L655" s="1047">
        <v>500000</v>
      </c>
      <c r="M655" s="1050">
        <v>80</v>
      </c>
      <c r="N655" s="1046">
        <v>30</v>
      </c>
      <c r="O655" s="1050">
        <v>6.75</v>
      </c>
      <c r="P655" s="1050">
        <v>8.56</v>
      </c>
    </row>
    <row r="656" spans="2:16" x14ac:dyDescent="0.25">
      <c r="B656" s="415">
        <v>655</v>
      </c>
      <c r="C656" s="595" t="s">
        <v>928</v>
      </c>
      <c r="D656" s="413" t="s">
        <v>8</v>
      </c>
      <c r="E656" s="413" t="s">
        <v>17</v>
      </c>
      <c r="F656" s="413" t="s">
        <v>11</v>
      </c>
      <c r="G656" s="413" t="s">
        <v>21</v>
      </c>
      <c r="H656" s="413" t="s">
        <v>25</v>
      </c>
      <c r="I656" s="1066" t="s">
        <v>567</v>
      </c>
      <c r="J656" s="414" t="str">
        <f t="shared" si="10"/>
        <v>BCompra de ViviendaIndividualResidencialNuevaApartamentoBG000000500000.01</v>
      </c>
      <c r="K656" s="1047">
        <v>500000.01</v>
      </c>
      <c r="L656" s="1047">
        <v>99999999</v>
      </c>
      <c r="M656" s="1050">
        <v>80</v>
      </c>
      <c r="N656" s="1046">
        <v>30</v>
      </c>
      <c r="O656" s="1050">
        <v>6.75</v>
      </c>
      <c r="P656" s="1050">
        <v>8.56</v>
      </c>
    </row>
    <row r="657" spans="2:16" x14ac:dyDescent="0.25">
      <c r="B657" s="412">
        <v>656</v>
      </c>
      <c r="C657" s="595" t="s">
        <v>928</v>
      </c>
      <c r="D657" s="413" t="s">
        <v>8</v>
      </c>
      <c r="E657" s="413" t="s">
        <v>17</v>
      </c>
      <c r="F657" s="413" t="s">
        <v>11</v>
      </c>
      <c r="G657" s="413" t="s">
        <v>21</v>
      </c>
      <c r="H657" s="413" t="s">
        <v>25</v>
      </c>
      <c r="I657" s="1066" t="s">
        <v>913</v>
      </c>
      <c r="J657" s="414" t="str">
        <f t="shared" si="10"/>
        <v>BCompra de ViviendaIndividualResidencialNuevaApartamentoCOPA000000030000.00</v>
      </c>
      <c r="K657" s="1047">
        <v>30000</v>
      </c>
      <c r="L657" s="1047">
        <v>100000</v>
      </c>
      <c r="M657" s="1050">
        <v>80</v>
      </c>
      <c r="N657" s="1046">
        <v>30</v>
      </c>
      <c r="O657" s="1050">
        <v>6.75</v>
      </c>
      <c r="P657" s="1050">
        <v>8.56</v>
      </c>
    </row>
    <row r="658" spans="2:16" x14ac:dyDescent="0.25">
      <c r="B658" s="415">
        <v>657</v>
      </c>
      <c r="C658" s="595" t="s">
        <v>928</v>
      </c>
      <c r="D658" s="413" t="s">
        <v>8</v>
      </c>
      <c r="E658" s="413" t="s">
        <v>17</v>
      </c>
      <c r="F658" s="413" t="s">
        <v>11</v>
      </c>
      <c r="G658" s="413" t="s">
        <v>21</v>
      </c>
      <c r="H658" s="413" t="s">
        <v>25</v>
      </c>
      <c r="I658" s="1066" t="s">
        <v>913</v>
      </c>
      <c r="J658" s="414" t="str">
        <f t="shared" si="10"/>
        <v>BCompra de ViviendaIndividualResidencialNuevaApartamentoCOPA000000100000.01</v>
      </c>
      <c r="K658" s="1047">
        <v>100000.01</v>
      </c>
      <c r="L658" s="1047">
        <v>250000</v>
      </c>
      <c r="M658" s="1050">
        <v>80</v>
      </c>
      <c r="N658" s="1046">
        <v>30</v>
      </c>
      <c r="O658" s="1050">
        <v>6.75</v>
      </c>
      <c r="P658" s="1050">
        <v>8.56</v>
      </c>
    </row>
    <row r="659" spans="2:16" x14ac:dyDescent="0.25">
      <c r="B659" s="415">
        <v>658</v>
      </c>
      <c r="C659" s="595" t="s">
        <v>928</v>
      </c>
      <c r="D659" s="413" t="s">
        <v>8</v>
      </c>
      <c r="E659" s="413" t="s">
        <v>17</v>
      </c>
      <c r="F659" s="413" t="s">
        <v>11</v>
      </c>
      <c r="G659" s="413" t="s">
        <v>21</v>
      </c>
      <c r="H659" s="413" t="s">
        <v>25</v>
      </c>
      <c r="I659" s="1066" t="s">
        <v>913</v>
      </c>
      <c r="J659" s="414" t="str">
        <f t="shared" si="10"/>
        <v>BCompra de ViviendaIndividualResidencialNuevaApartamentoCOPA000000250000.01</v>
      </c>
      <c r="K659" s="1047">
        <v>250000.01</v>
      </c>
      <c r="L659" s="1047">
        <v>500000</v>
      </c>
      <c r="M659" s="1050">
        <v>80</v>
      </c>
      <c r="N659" s="1046">
        <v>30</v>
      </c>
      <c r="O659" s="1050">
        <v>6.75</v>
      </c>
      <c r="P659" s="1050">
        <v>8.56</v>
      </c>
    </row>
    <row r="660" spans="2:16" x14ac:dyDescent="0.25">
      <c r="B660" s="415">
        <v>659</v>
      </c>
      <c r="C660" s="595" t="s">
        <v>928</v>
      </c>
      <c r="D660" s="413" t="s">
        <v>8</v>
      </c>
      <c r="E660" s="413" t="s">
        <v>17</v>
      </c>
      <c r="F660" s="413" t="s">
        <v>11</v>
      </c>
      <c r="G660" s="413" t="s">
        <v>21</v>
      </c>
      <c r="H660" s="413" t="s">
        <v>25</v>
      </c>
      <c r="I660" s="1066" t="s">
        <v>913</v>
      </c>
      <c r="J660" s="414" t="str">
        <f t="shared" si="10"/>
        <v>BCompra de ViviendaIndividualResidencialNuevaApartamentoCOPA000000500000.01</v>
      </c>
      <c r="K660" s="1047">
        <v>500000.01</v>
      </c>
      <c r="L660" s="1047">
        <v>99999999</v>
      </c>
      <c r="M660" s="1050">
        <v>80</v>
      </c>
      <c r="N660" s="1046">
        <v>30</v>
      </c>
      <c r="O660" s="1050">
        <v>6.75</v>
      </c>
      <c r="P660" s="1050">
        <v>8.56</v>
      </c>
    </row>
    <row r="661" spans="2:16" x14ac:dyDescent="0.25">
      <c r="B661" s="415">
        <v>660</v>
      </c>
      <c r="C661" s="595" t="s">
        <v>928</v>
      </c>
      <c r="D661" s="413" t="s">
        <v>8</v>
      </c>
      <c r="E661" s="413" t="s">
        <v>17</v>
      </c>
      <c r="F661" s="413" t="s">
        <v>11</v>
      </c>
      <c r="G661" s="413" t="s">
        <v>21</v>
      </c>
      <c r="H661" s="413" t="s">
        <v>25</v>
      </c>
      <c r="I661" s="1066" t="s">
        <v>173</v>
      </c>
      <c r="J661" s="414" t="str">
        <f t="shared" si="10"/>
        <v>BCompra de ViviendaIndividualResidencialNuevaApartamentoFERIA000000030000.00</v>
      </c>
      <c r="K661" s="1047">
        <v>30000</v>
      </c>
      <c r="L661" s="1047">
        <v>100000</v>
      </c>
      <c r="M661" s="1050">
        <v>80</v>
      </c>
      <c r="N661" s="1046">
        <v>30</v>
      </c>
      <c r="O661" s="1050">
        <v>6.75</v>
      </c>
      <c r="P661" s="1050">
        <v>8.56</v>
      </c>
    </row>
    <row r="662" spans="2:16" x14ac:dyDescent="0.25">
      <c r="B662" s="412">
        <v>661</v>
      </c>
      <c r="C662" s="595" t="s">
        <v>928</v>
      </c>
      <c r="D662" s="413" t="s">
        <v>8</v>
      </c>
      <c r="E662" s="413" t="s">
        <v>17</v>
      </c>
      <c r="F662" s="413" t="s">
        <v>11</v>
      </c>
      <c r="G662" s="413" t="s">
        <v>21</v>
      </c>
      <c r="H662" s="413" t="s">
        <v>25</v>
      </c>
      <c r="I662" s="1066" t="s">
        <v>173</v>
      </c>
      <c r="J662" s="414" t="str">
        <f t="shared" si="10"/>
        <v>BCompra de ViviendaIndividualResidencialNuevaApartamentoFERIA000000100000.01</v>
      </c>
      <c r="K662" s="1047">
        <v>100000.01</v>
      </c>
      <c r="L662" s="1047">
        <v>250000</v>
      </c>
      <c r="M662" s="1050">
        <v>80</v>
      </c>
      <c r="N662" s="1046">
        <v>30</v>
      </c>
      <c r="O662" s="1050">
        <v>6.75</v>
      </c>
      <c r="P662" s="1050">
        <v>8.56</v>
      </c>
    </row>
    <row r="663" spans="2:16" x14ac:dyDescent="0.25">
      <c r="B663" s="415">
        <v>662</v>
      </c>
      <c r="C663" s="595" t="s">
        <v>928</v>
      </c>
      <c r="D663" s="413" t="s">
        <v>8</v>
      </c>
      <c r="E663" s="413" t="s">
        <v>17</v>
      </c>
      <c r="F663" s="413" t="s">
        <v>11</v>
      </c>
      <c r="G663" s="413" t="s">
        <v>21</v>
      </c>
      <c r="H663" s="413" t="s">
        <v>25</v>
      </c>
      <c r="I663" s="1066" t="s">
        <v>173</v>
      </c>
      <c r="J663" s="414" t="str">
        <f t="shared" si="10"/>
        <v>BCompra de ViviendaIndividualResidencialNuevaApartamentoFERIA000000250000.01</v>
      </c>
      <c r="K663" s="1047">
        <v>250000.01</v>
      </c>
      <c r="L663" s="1047">
        <v>500000</v>
      </c>
      <c r="M663" s="1050">
        <v>80</v>
      </c>
      <c r="N663" s="1046">
        <v>30</v>
      </c>
      <c r="O663" s="1050">
        <v>6.75</v>
      </c>
      <c r="P663" s="1050">
        <v>8.56</v>
      </c>
    </row>
    <row r="664" spans="2:16" x14ac:dyDescent="0.25">
      <c r="B664" s="415">
        <v>663</v>
      </c>
      <c r="C664" s="595" t="s">
        <v>928</v>
      </c>
      <c r="D664" s="413" t="s">
        <v>8</v>
      </c>
      <c r="E664" s="413" t="s">
        <v>17</v>
      </c>
      <c r="F664" s="413" t="s">
        <v>11</v>
      </c>
      <c r="G664" s="413" t="s">
        <v>21</v>
      </c>
      <c r="H664" s="413" t="s">
        <v>25</v>
      </c>
      <c r="I664" s="1066" t="s">
        <v>173</v>
      </c>
      <c r="J664" s="414" t="str">
        <f t="shared" si="10"/>
        <v>BCompra de ViviendaIndividualResidencialNuevaApartamentoFERIA000000500000.01</v>
      </c>
      <c r="K664" s="1047">
        <v>500000.01</v>
      </c>
      <c r="L664" s="1047">
        <v>99999999</v>
      </c>
      <c r="M664" s="1050">
        <v>80</v>
      </c>
      <c r="N664" s="1046">
        <v>30</v>
      </c>
      <c r="O664" s="1050">
        <v>6.75</v>
      </c>
      <c r="P664" s="1050">
        <v>8.56</v>
      </c>
    </row>
    <row r="665" spans="2:16" x14ac:dyDescent="0.25">
      <c r="B665" s="415">
        <v>664</v>
      </c>
      <c r="C665" s="595" t="s">
        <v>928</v>
      </c>
      <c r="D665" s="413" t="s">
        <v>8</v>
      </c>
      <c r="E665" s="413" t="s">
        <v>17</v>
      </c>
      <c r="F665" s="413" t="s">
        <v>11</v>
      </c>
      <c r="G665" s="413" t="s">
        <v>21</v>
      </c>
      <c r="H665" s="413" t="s">
        <v>22</v>
      </c>
      <c r="I665" s="1066" t="s">
        <v>567</v>
      </c>
      <c r="J665" s="414" t="str">
        <f t="shared" si="10"/>
        <v>BCompra de ViviendaIndividualResidencialNuevaCasaBG000000018000.00</v>
      </c>
      <c r="K665" s="1047">
        <v>18000</v>
      </c>
      <c r="L665" s="1047">
        <v>100000</v>
      </c>
      <c r="M665" s="1050">
        <v>80</v>
      </c>
      <c r="N665" s="1046">
        <v>30</v>
      </c>
      <c r="O665" s="1050">
        <v>6.75</v>
      </c>
      <c r="P665" s="1050">
        <v>8.56</v>
      </c>
    </row>
    <row r="666" spans="2:16" x14ac:dyDescent="0.25">
      <c r="B666" s="415">
        <v>665</v>
      </c>
      <c r="C666" s="595" t="s">
        <v>928</v>
      </c>
      <c r="D666" s="413" t="s">
        <v>8</v>
      </c>
      <c r="E666" s="413" t="s">
        <v>17</v>
      </c>
      <c r="F666" s="413" t="s">
        <v>11</v>
      </c>
      <c r="G666" s="413" t="s">
        <v>21</v>
      </c>
      <c r="H666" s="413" t="s">
        <v>22</v>
      </c>
      <c r="I666" s="1066" t="s">
        <v>567</v>
      </c>
      <c r="J666" s="414" t="str">
        <f t="shared" si="10"/>
        <v>BCompra de ViviendaIndividualResidencialNuevaCasaBG000000100000.01</v>
      </c>
      <c r="K666" s="1047">
        <v>100000.01</v>
      </c>
      <c r="L666" s="1047">
        <v>250000</v>
      </c>
      <c r="M666" s="1050">
        <v>80</v>
      </c>
      <c r="N666" s="1046">
        <v>30</v>
      </c>
      <c r="O666" s="1050">
        <v>6.75</v>
      </c>
      <c r="P666" s="1050">
        <v>8.56</v>
      </c>
    </row>
    <row r="667" spans="2:16" x14ac:dyDescent="0.25">
      <c r="B667" s="412">
        <v>666</v>
      </c>
      <c r="C667" s="595" t="s">
        <v>928</v>
      </c>
      <c r="D667" s="413" t="s">
        <v>8</v>
      </c>
      <c r="E667" s="413" t="s">
        <v>17</v>
      </c>
      <c r="F667" s="413" t="s">
        <v>11</v>
      </c>
      <c r="G667" s="413" t="s">
        <v>21</v>
      </c>
      <c r="H667" s="413" t="s">
        <v>22</v>
      </c>
      <c r="I667" s="1066" t="s">
        <v>567</v>
      </c>
      <c r="J667" s="414" t="str">
        <f t="shared" si="10"/>
        <v>BCompra de ViviendaIndividualResidencialNuevaCasaBG000000250000.01</v>
      </c>
      <c r="K667" s="1047">
        <v>250000.01</v>
      </c>
      <c r="L667" s="1047">
        <v>600000</v>
      </c>
      <c r="M667" s="1050">
        <v>80</v>
      </c>
      <c r="N667" s="1046">
        <v>30</v>
      </c>
      <c r="O667" s="1050">
        <v>6.75</v>
      </c>
      <c r="P667" s="1050">
        <v>8.56</v>
      </c>
    </row>
    <row r="668" spans="2:16" x14ac:dyDescent="0.25">
      <c r="B668" s="415">
        <v>667</v>
      </c>
      <c r="C668" s="595" t="s">
        <v>928</v>
      </c>
      <c r="D668" s="413" t="s">
        <v>8</v>
      </c>
      <c r="E668" s="413" t="s">
        <v>17</v>
      </c>
      <c r="F668" s="413" t="s">
        <v>11</v>
      </c>
      <c r="G668" s="413" t="s">
        <v>21</v>
      </c>
      <c r="H668" s="413" t="s">
        <v>22</v>
      </c>
      <c r="I668" s="1066" t="s">
        <v>567</v>
      </c>
      <c r="J668" s="414" t="str">
        <f t="shared" si="10"/>
        <v>BCompra de ViviendaIndividualResidencialNuevaCasaBG000000600000.01</v>
      </c>
      <c r="K668" s="1047">
        <v>600000.01</v>
      </c>
      <c r="L668" s="1047">
        <v>99999999</v>
      </c>
      <c r="M668" s="1050">
        <v>80</v>
      </c>
      <c r="N668" s="1046">
        <v>30</v>
      </c>
      <c r="O668" s="1050">
        <v>6.75</v>
      </c>
      <c r="P668" s="1050">
        <v>8.56</v>
      </c>
    </row>
    <row r="669" spans="2:16" x14ac:dyDescent="0.25">
      <c r="B669" s="415">
        <v>668</v>
      </c>
      <c r="C669" s="595" t="s">
        <v>928</v>
      </c>
      <c r="D669" s="413" t="s">
        <v>8</v>
      </c>
      <c r="E669" s="413" t="s">
        <v>17</v>
      </c>
      <c r="F669" s="413" t="s">
        <v>11</v>
      </c>
      <c r="G669" s="413" t="s">
        <v>21</v>
      </c>
      <c r="H669" s="413" t="s">
        <v>22</v>
      </c>
      <c r="I669" s="1066" t="s">
        <v>913</v>
      </c>
      <c r="J669" s="414" t="str">
        <f t="shared" si="10"/>
        <v>BCompra de ViviendaIndividualResidencialNuevaCasaCOPA000000018000.00</v>
      </c>
      <c r="K669" s="1047">
        <v>18000</v>
      </c>
      <c r="L669" s="1047">
        <v>100000</v>
      </c>
      <c r="M669" s="1050">
        <v>80</v>
      </c>
      <c r="N669" s="1046">
        <v>30</v>
      </c>
      <c r="O669" s="1050">
        <v>6.75</v>
      </c>
      <c r="P669" s="1050">
        <v>8.56</v>
      </c>
    </row>
    <row r="670" spans="2:16" x14ac:dyDescent="0.25">
      <c r="B670" s="415">
        <v>669</v>
      </c>
      <c r="C670" s="595" t="s">
        <v>928</v>
      </c>
      <c r="D670" s="413" t="s">
        <v>8</v>
      </c>
      <c r="E670" s="413" t="s">
        <v>17</v>
      </c>
      <c r="F670" s="413" t="s">
        <v>11</v>
      </c>
      <c r="G670" s="413" t="s">
        <v>21</v>
      </c>
      <c r="H670" s="413" t="s">
        <v>22</v>
      </c>
      <c r="I670" s="1066" t="s">
        <v>913</v>
      </c>
      <c r="J670" s="414" t="str">
        <f t="shared" si="10"/>
        <v>BCompra de ViviendaIndividualResidencialNuevaCasaCOPA000000100000.01</v>
      </c>
      <c r="K670" s="1047">
        <v>100000.01</v>
      </c>
      <c r="L670" s="1047">
        <v>250000</v>
      </c>
      <c r="M670" s="1050">
        <v>80</v>
      </c>
      <c r="N670" s="1046">
        <v>30</v>
      </c>
      <c r="O670" s="1050">
        <v>6.75</v>
      </c>
      <c r="P670" s="1050">
        <v>8.56</v>
      </c>
    </row>
    <row r="671" spans="2:16" x14ac:dyDescent="0.25">
      <c r="B671" s="415">
        <v>670</v>
      </c>
      <c r="C671" s="595" t="s">
        <v>928</v>
      </c>
      <c r="D671" s="413" t="s">
        <v>8</v>
      </c>
      <c r="E671" s="413" t="s">
        <v>17</v>
      </c>
      <c r="F671" s="413" t="s">
        <v>11</v>
      </c>
      <c r="G671" s="413" t="s">
        <v>21</v>
      </c>
      <c r="H671" s="413" t="s">
        <v>22</v>
      </c>
      <c r="I671" s="1066" t="s">
        <v>913</v>
      </c>
      <c r="J671" s="414" t="str">
        <f t="shared" si="10"/>
        <v>BCompra de ViviendaIndividualResidencialNuevaCasaCOPA000000250000.01</v>
      </c>
      <c r="K671" s="1047">
        <v>250000.01</v>
      </c>
      <c r="L671" s="1047">
        <v>600000</v>
      </c>
      <c r="M671" s="1050">
        <v>80</v>
      </c>
      <c r="N671" s="1046">
        <v>30</v>
      </c>
      <c r="O671" s="1050">
        <v>6.75</v>
      </c>
      <c r="P671" s="1050">
        <v>8.56</v>
      </c>
    </row>
    <row r="672" spans="2:16" x14ac:dyDescent="0.25">
      <c r="B672" s="412">
        <v>671</v>
      </c>
      <c r="C672" s="595" t="s">
        <v>928</v>
      </c>
      <c r="D672" s="413" t="s">
        <v>8</v>
      </c>
      <c r="E672" s="413" t="s">
        <v>17</v>
      </c>
      <c r="F672" s="413" t="s">
        <v>11</v>
      </c>
      <c r="G672" s="413" t="s">
        <v>21</v>
      </c>
      <c r="H672" s="413" t="s">
        <v>22</v>
      </c>
      <c r="I672" s="1066" t="s">
        <v>913</v>
      </c>
      <c r="J672" s="414" t="str">
        <f t="shared" si="10"/>
        <v>BCompra de ViviendaIndividualResidencialNuevaCasaCOPA000000600000.01</v>
      </c>
      <c r="K672" s="1047">
        <v>600000.01</v>
      </c>
      <c r="L672" s="1047">
        <v>99999999</v>
      </c>
      <c r="M672" s="1050">
        <v>80</v>
      </c>
      <c r="N672" s="1046">
        <v>30</v>
      </c>
      <c r="O672" s="1050">
        <v>6.75</v>
      </c>
      <c r="P672" s="1050">
        <v>8.56</v>
      </c>
    </row>
    <row r="673" spans="2:16" x14ac:dyDescent="0.25">
      <c r="B673" s="415">
        <v>672</v>
      </c>
      <c r="C673" s="595" t="s">
        <v>928</v>
      </c>
      <c r="D673" s="413" t="s">
        <v>8</v>
      </c>
      <c r="E673" s="413" t="s">
        <v>17</v>
      </c>
      <c r="F673" s="413" t="s">
        <v>11</v>
      </c>
      <c r="G673" s="413" t="s">
        <v>21</v>
      </c>
      <c r="H673" s="413" t="s">
        <v>22</v>
      </c>
      <c r="I673" s="1066" t="s">
        <v>173</v>
      </c>
      <c r="J673" s="414" t="str">
        <f t="shared" si="10"/>
        <v>BCompra de ViviendaIndividualResidencialNuevaCasaFERIA000000018000.00</v>
      </c>
      <c r="K673" s="1047">
        <v>18000</v>
      </c>
      <c r="L673" s="1047">
        <v>100000</v>
      </c>
      <c r="M673" s="1050">
        <v>80</v>
      </c>
      <c r="N673" s="1046">
        <v>30</v>
      </c>
      <c r="O673" s="1050">
        <v>6.75</v>
      </c>
      <c r="P673" s="1050">
        <v>8.56</v>
      </c>
    </row>
    <row r="674" spans="2:16" x14ac:dyDescent="0.25">
      <c r="B674" s="415">
        <v>673</v>
      </c>
      <c r="C674" s="595" t="s">
        <v>928</v>
      </c>
      <c r="D674" s="413" t="s">
        <v>8</v>
      </c>
      <c r="E674" s="413" t="s">
        <v>17</v>
      </c>
      <c r="F674" s="413" t="s">
        <v>11</v>
      </c>
      <c r="G674" s="413" t="s">
        <v>21</v>
      </c>
      <c r="H674" s="413" t="s">
        <v>22</v>
      </c>
      <c r="I674" s="1066" t="s">
        <v>173</v>
      </c>
      <c r="J674" s="414" t="str">
        <f t="shared" si="10"/>
        <v>BCompra de ViviendaIndividualResidencialNuevaCasaFERIA000000100000.01</v>
      </c>
      <c r="K674" s="1047">
        <v>100000.01</v>
      </c>
      <c r="L674" s="1047">
        <v>250000</v>
      </c>
      <c r="M674" s="1050">
        <v>80</v>
      </c>
      <c r="N674" s="1046">
        <v>30</v>
      </c>
      <c r="O674" s="1050">
        <v>6.75</v>
      </c>
      <c r="P674" s="1050">
        <v>8.56</v>
      </c>
    </row>
    <row r="675" spans="2:16" x14ac:dyDescent="0.25">
      <c r="B675" s="415">
        <v>674</v>
      </c>
      <c r="C675" s="595" t="s">
        <v>928</v>
      </c>
      <c r="D675" s="413" t="s">
        <v>8</v>
      </c>
      <c r="E675" s="413" t="s">
        <v>17</v>
      </c>
      <c r="F675" s="413" t="s">
        <v>11</v>
      </c>
      <c r="G675" s="413" t="s">
        <v>21</v>
      </c>
      <c r="H675" s="413" t="s">
        <v>22</v>
      </c>
      <c r="I675" s="1066" t="s">
        <v>173</v>
      </c>
      <c r="J675" s="414" t="str">
        <f t="shared" si="10"/>
        <v>BCompra de ViviendaIndividualResidencialNuevaCasaFERIA000000250000.01</v>
      </c>
      <c r="K675" s="1047">
        <v>250000.01</v>
      </c>
      <c r="L675" s="1047">
        <v>600000</v>
      </c>
      <c r="M675" s="1050">
        <v>80</v>
      </c>
      <c r="N675" s="1046">
        <v>30</v>
      </c>
      <c r="O675" s="1050">
        <v>6.75</v>
      </c>
      <c r="P675" s="1050">
        <v>8.56</v>
      </c>
    </row>
    <row r="676" spans="2:16" x14ac:dyDescent="0.25">
      <c r="B676" s="415">
        <v>675</v>
      </c>
      <c r="C676" s="595" t="s">
        <v>928</v>
      </c>
      <c r="D676" s="413" t="s">
        <v>8</v>
      </c>
      <c r="E676" s="413" t="s">
        <v>17</v>
      </c>
      <c r="F676" s="413" t="s">
        <v>11</v>
      </c>
      <c r="G676" s="413" t="s">
        <v>21</v>
      </c>
      <c r="H676" s="413" t="s">
        <v>22</v>
      </c>
      <c r="I676" s="1066" t="s">
        <v>173</v>
      </c>
      <c r="J676" s="414" t="str">
        <f t="shared" si="10"/>
        <v>BCompra de ViviendaIndividualResidencialNuevaCasaFERIA000000600000.01</v>
      </c>
      <c r="K676" s="1047">
        <v>600000.01</v>
      </c>
      <c r="L676" s="1047">
        <v>99999999</v>
      </c>
      <c r="M676" s="1050">
        <v>80</v>
      </c>
      <c r="N676" s="1046">
        <v>30</v>
      </c>
      <c r="O676" s="1050">
        <v>6.75</v>
      </c>
      <c r="P676" s="1050">
        <v>8.56</v>
      </c>
    </row>
    <row r="677" spans="2:16" x14ac:dyDescent="0.25">
      <c r="B677" s="412">
        <v>676</v>
      </c>
      <c r="C677" s="1374" t="s">
        <v>928</v>
      </c>
      <c r="D677" s="413" t="s">
        <v>8</v>
      </c>
      <c r="E677" s="413" t="s">
        <v>17</v>
      </c>
      <c r="F677" s="413" t="s">
        <v>11</v>
      </c>
      <c r="G677" s="413" t="s">
        <v>24</v>
      </c>
      <c r="H677" s="413" t="s">
        <v>25</v>
      </c>
      <c r="I677" s="1066" t="s">
        <v>567</v>
      </c>
      <c r="J677" s="414" t="str">
        <f t="shared" si="10"/>
        <v>BCompra de ViviendaIndividualResidencialUsadaApartamentoBG000000030000.00</v>
      </c>
      <c r="K677" s="1047">
        <v>30000</v>
      </c>
      <c r="L677" s="1047">
        <v>250000</v>
      </c>
      <c r="M677" s="1050">
        <v>80</v>
      </c>
      <c r="N677" s="1046">
        <v>30</v>
      </c>
      <c r="O677" s="1050">
        <v>6</v>
      </c>
      <c r="P677" s="1050">
        <v>8.56</v>
      </c>
    </row>
    <row r="678" spans="2:16" x14ac:dyDescent="0.25">
      <c r="B678" s="415">
        <v>677</v>
      </c>
      <c r="C678" s="1374" t="s">
        <v>928</v>
      </c>
      <c r="D678" s="413" t="s">
        <v>8</v>
      </c>
      <c r="E678" s="413" t="s">
        <v>17</v>
      </c>
      <c r="F678" s="413" t="s">
        <v>11</v>
      </c>
      <c r="G678" s="413" t="s">
        <v>24</v>
      </c>
      <c r="H678" s="413" t="s">
        <v>25</v>
      </c>
      <c r="I678" s="1066" t="s">
        <v>567</v>
      </c>
      <c r="J678" s="414" t="str">
        <f t="shared" si="10"/>
        <v>BCompra de ViviendaIndividualResidencialUsadaApartamentoBG000000250000.01</v>
      </c>
      <c r="K678" s="1047">
        <v>250000.01</v>
      </c>
      <c r="L678" s="1047">
        <v>500000</v>
      </c>
      <c r="M678" s="1050">
        <v>80</v>
      </c>
      <c r="N678" s="1046">
        <v>30</v>
      </c>
      <c r="O678" s="1050">
        <v>6</v>
      </c>
      <c r="P678" s="1050">
        <v>8.56</v>
      </c>
    </row>
    <row r="679" spans="2:16" x14ac:dyDescent="0.25">
      <c r="B679" s="415">
        <v>678</v>
      </c>
      <c r="C679" s="1374" t="s">
        <v>928</v>
      </c>
      <c r="D679" s="413" t="s">
        <v>8</v>
      </c>
      <c r="E679" s="413" t="s">
        <v>17</v>
      </c>
      <c r="F679" s="413" t="s">
        <v>11</v>
      </c>
      <c r="G679" s="413" t="s">
        <v>24</v>
      </c>
      <c r="H679" s="413" t="s">
        <v>25</v>
      </c>
      <c r="I679" s="1066" t="s">
        <v>567</v>
      </c>
      <c r="J679" s="414" t="str">
        <f t="shared" si="10"/>
        <v>BCompra de ViviendaIndividualResidencialUsadaApartamentoBG000000500000.01</v>
      </c>
      <c r="K679" s="1047">
        <v>500000.01</v>
      </c>
      <c r="L679" s="1047">
        <v>99999999</v>
      </c>
      <c r="M679" s="1050">
        <v>70</v>
      </c>
      <c r="N679" s="1046">
        <v>30</v>
      </c>
      <c r="O679" s="1050">
        <v>6</v>
      </c>
      <c r="P679" s="1050">
        <v>8.56</v>
      </c>
    </row>
    <row r="680" spans="2:16" x14ac:dyDescent="0.25">
      <c r="B680" s="415">
        <v>679</v>
      </c>
      <c r="C680" s="595" t="s">
        <v>928</v>
      </c>
      <c r="D680" s="413" t="s">
        <v>8</v>
      </c>
      <c r="E680" s="413" t="s">
        <v>17</v>
      </c>
      <c r="F680" s="413" t="s">
        <v>11</v>
      </c>
      <c r="G680" s="413" t="s">
        <v>24</v>
      </c>
      <c r="H680" s="413" t="s">
        <v>25</v>
      </c>
      <c r="I680" s="1066" t="s">
        <v>913</v>
      </c>
      <c r="J680" s="414" t="str">
        <f t="shared" si="10"/>
        <v>BCompra de ViviendaIndividualResidencialUsadaApartamentoCOPA000000030000.00</v>
      </c>
      <c r="K680" s="1047">
        <v>30000</v>
      </c>
      <c r="L680" s="1047">
        <v>250000</v>
      </c>
      <c r="M680" s="1050">
        <v>80</v>
      </c>
      <c r="N680" s="1046">
        <v>30</v>
      </c>
      <c r="O680" s="1050">
        <v>6.5</v>
      </c>
      <c r="P680" s="1050">
        <v>8.56</v>
      </c>
    </row>
    <row r="681" spans="2:16" x14ac:dyDescent="0.25">
      <c r="B681" s="415">
        <v>680</v>
      </c>
      <c r="C681" s="595" t="s">
        <v>928</v>
      </c>
      <c r="D681" s="413" t="s">
        <v>8</v>
      </c>
      <c r="E681" s="413" t="s">
        <v>17</v>
      </c>
      <c r="F681" s="413" t="s">
        <v>11</v>
      </c>
      <c r="G681" s="413" t="s">
        <v>24</v>
      </c>
      <c r="H681" s="413" t="s">
        <v>25</v>
      </c>
      <c r="I681" s="1066" t="s">
        <v>913</v>
      </c>
      <c r="J681" s="414" t="str">
        <f t="shared" si="10"/>
        <v>BCompra de ViviendaIndividualResidencialUsadaApartamentoCOPA000000250000.01</v>
      </c>
      <c r="K681" s="1047">
        <v>250000.01</v>
      </c>
      <c r="L681" s="1047">
        <v>500000</v>
      </c>
      <c r="M681" s="1050">
        <v>80</v>
      </c>
      <c r="N681" s="1046">
        <v>30</v>
      </c>
      <c r="O681" s="1050">
        <v>6.5</v>
      </c>
      <c r="P681" s="1050">
        <v>8.56</v>
      </c>
    </row>
    <row r="682" spans="2:16" x14ac:dyDescent="0.25">
      <c r="B682" s="412">
        <v>681</v>
      </c>
      <c r="C682" s="595" t="s">
        <v>928</v>
      </c>
      <c r="D682" s="413" t="s">
        <v>8</v>
      </c>
      <c r="E682" s="413" t="s">
        <v>17</v>
      </c>
      <c r="F682" s="413" t="s">
        <v>11</v>
      </c>
      <c r="G682" s="413" t="s">
        <v>24</v>
      </c>
      <c r="H682" s="413" t="s">
        <v>25</v>
      </c>
      <c r="I682" s="1066" t="s">
        <v>913</v>
      </c>
      <c r="J682" s="414" t="str">
        <f t="shared" si="10"/>
        <v>BCompra de ViviendaIndividualResidencialUsadaApartamentoCOPA000000500000.01</v>
      </c>
      <c r="K682" s="1047">
        <v>500000.01</v>
      </c>
      <c r="L682" s="1047">
        <v>99999999</v>
      </c>
      <c r="M682" s="1050">
        <v>80</v>
      </c>
      <c r="N682" s="1046">
        <v>30</v>
      </c>
      <c r="O682" s="1050">
        <v>6.5</v>
      </c>
      <c r="P682" s="1050">
        <v>8.56</v>
      </c>
    </row>
    <row r="683" spans="2:16" x14ac:dyDescent="0.25">
      <c r="B683" s="415">
        <v>682</v>
      </c>
      <c r="C683" s="595" t="s">
        <v>928</v>
      </c>
      <c r="D683" s="413" t="s">
        <v>8</v>
      </c>
      <c r="E683" s="413" t="s">
        <v>17</v>
      </c>
      <c r="F683" s="413" t="s">
        <v>11</v>
      </c>
      <c r="G683" s="413" t="s">
        <v>24</v>
      </c>
      <c r="H683" s="413" t="s">
        <v>25</v>
      </c>
      <c r="I683" s="1066" t="s">
        <v>173</v>
      </c>
      <c r="J683" s="414" t="str">
        <f t="shared" si="10"/>
        <v>BCompra de ViviendaIndividualResidencialUsadaApartamentoFERIA000000030000.00</v>
      </c>
      <c r="K683" s="1047">
        <v>30000</v>
      </c>
      <c r="L683" s="1047">
        <v>250000</v>
      </c>
      <c r="M683" s="1050">
        <v>80</v>
      </c>
      <c r="N683" s="1046">
        <v>30</v>
      </c>
      <c r="O683" s="1050">
        <v>6.5</v>
      </c>
      <c r="P683" s="1050">
        <v>8.56</v>
      </c>
    </row>
    <row r="684" spans="2:16" x14ac:dyDescent="0.25">
      <c r="B684" s="415">
        <v>683</v>
      </c>
      <c r="C684" s="595" t="s">
        <v>928</v>
      </c>
      <c r="D684" s="413" t="s">
        <v>8</v>
      </c>
      <c r="E684" s="413" t="s">
        <v>17</v>
      </c>
      <c r="F684" s="413" t="s">
        <v>11</v>
      </c>
      <c r="G684" s="413" t="s">
        <v>24</v>
      </c>
      <c r="H684" s="413" t="s">
        <v>25</v>
      </c>
      <c r="I684" s="1066" t="s">
        <v>173</v>
      </c>
      <c r="J684" s="414" t="str">
        <f t="shared" si="10"/>
        <v>BCompra de ViviendaIndividualResidencialUsadaApartamentoFERIA000000250000.01</v>
      </c>
      <c r="K684" s="1047">
        <v>250000.01</v>
      </c>
      <c r="L684" s="1047">
        <v>500000</v>
      </c>
      <c r="M684" s="1050">
        <v>80</v>
      </c>
      <c r="N684" s="1046">
        <v>30</v>
      </c>
      <c r="O684" s="1050">
        <v>6.5</v>
      </c>
      <c r="P684" s="1050">
        <v>8.56</v>
      </c>
    </row>
    <row r="685" spans="2:16" x14ac:dyDescent="0.25">
      <c r="B685" s="415">
        <v>684</v>
      </c>
      <c r="C685" s="595" t="s">
        <v>928</v>
      </c>
      <c r="D685" s="413" t="s">
        <v>8</v>
      </c>
      <c r="E685" s="413" t="s">
        <v>17</v>
      </c>
      <c r="F685" s="413" t="s">
        <v>11</v>
      </c>
      <c r="G685" s="413" t="s">
        <v>24</v>
      </c>
      <c r="H685" s="413" t="s">
        <v>25</v>
      </c>
      <c r="I685" s="1066" t="s">
        <v>173</v>
      </c>
      <c r="J685" s="414" t="str">
        <f t="shared" si="10"/>
        <v>BCompra de ViviendaIndividualResidencialUsadaApartamentoFERIA000000500000.01</v>
      </c>
      <c r="K685" s="1047">
        <v>500000.01</v>
      </c>
      <c r="L685" s="1047">
        <v>99999999</v>
      </c>
      <c r="M685" s="1050">
        <v>80</v>
      </c>
      <c r="N685" s="1046">
        <v>30</v>
      </c>
      <c r="O685" s="1050">
        <v>6.5</v>
      </c>
      <c r="P685" s="1050">
        <v>8.56</v>
      </c>
    </row>
    <row r="686" spans="2:16" x14ac:dyDescent="0.25">
      <c r="B686" s="415">
        <v>685</v>
      </c>
      <c r="C686" s="1374" t="s">
        <v>928</v>
      </c>
      <c r="D686" s="413" t="s">
        <v>8</v>
      </c>
      <c r="E686" s="413" t="s">
        <v>17</v>
      </c>
      <c r="F686" s="413" t="s">
        <v>11</v>
      </c>
      <c r="G686" s="413" t="s">
        <v>24</v>
      </c>
      <c r="H686" s="413" t="s">
        <v>22</v>
      </c>
      <c r="I686" s="1066" t="s">
        <v>567</v>
      </c>
      <c r="J686" s="414" t="str">
        <f t="shared" si="10"/>
        <v>BCompra de ViviendaIndividualResidencialUsadaCasaBG000000030000.00</v>
      </c>
      <c r="K686" s="1047">
        <v>30000</v>
      </c>
      <c r="L686" s="1047">
        <v>250000</v>
      </c>
      <c r="M686" s="1050">
        <v>80</v>
      </c>
      <c r="N686" s="1046">
        <v>30</v>
      </c>
      <c r="O686" s="1050">
        <v>6</v>
      </c>
      <c r="P686" s="1050">
        <v>8.56</v>
      </c>
    </row>
    <row r="687" spans="2:16" x14ac:dyDescent="0.25">
      <c r="B687" s="412">
        <v>686</v>
      </c>
      <c r="C687" s="1374" t="s">
        <v>928</v>
      </c>
      <c r="D687" s="413" t="s">
        <v>8</v>
      </c>
      <c r="E687" s="413" t="s">
        <v>17</v>
      </c>
      <c r="F687" s="413" t="s">
        <v>11</v>
      </c>
      <c r="G687" s="413" t="s">
        <v>24</v>
      </c>
      <c r="H687" s="413" t="s">
        <v>22</v>
      </c>
      <c r="I687" s="1066" t="s">
        <v>567</v>
      </c>
      <c r="J687" s="414" t="str">
        <f t="shared" si="10"/>
        <v>BCompra de ViviendaIndividualResidencialUsadaCasaBG000000250000.01</v>
      </c>
      <c r="K687" s="1047">
        <v>250000.01</v>
      </c>
      <c r="L687" s="1047">
        <v>500000</v>
      </c>
      <c r="M687" s="1050">
        <v>80</v>
      </c>
      <c r="N687" s="1046">
        <v>30</v>
      </c>
      <c r="O687" s="1050">
        <v>6</v>
      </c>
      <c r="P687" s="1050">
        <v>8.56</v>
      </c>
    </row>
    <row r="688" spans="2:16" x14ac:dyDescent="0.25">
      <c r="B688" s="415">
        <v>687</v>
      </c>
      <c r="C688" s="1374" t="s">
        <v>928</v>
      </c>
      <c r="D688" s="413" t="s">
        <v>8</v>
      </c>
      <c r="E688" s="413" t="s">
        <v>17</v>
      </c>
      <c r="F688" s="413" t="s">
        <v>11</v>
      </c>
      <c r="G688" s="413" t="s">
        <v>24</v>
      </c>
      <c r="H688" s="413" t="s">
        <v>22</v>
      </c>
      <c r="I688" s="1066" t="s">
        <v>567</v>
      </c>
      <c r="J688" s="414" t="str">
        <f t="shared" si="10"/>
        <v>BCompra de ViviendaIndividualResidencialUsadaCasaBG000000500000.01</v>
      </c>
      <c r="K688" s="1047">
        <v>500000.01</v>
      </c>
      <c r="L688" s="1047">
        <v>99999999</v>
      </c>
      <c r="M688" s="1050">
        <v>70</v>
      </c>
      <c r="N688" s="1046">
        <v>30</v>
      </c>
      <c r="O688" s="1050">
        <v>6</v>
      </c>
      <c r="P688" s="1050">
        <v>8.56</v>
      </c>
    </row>
    <row r="689" spans="2:16" x14ac:dyDescent="0.25">
      <c r="B689" s="415">
        <v>688</v>
      </c>
      <c r="C689" s="595" t="s">
        <v>928</v>
      </c>
      <c r="D689" s="413" t="s">
        <v>8</v>
      </c>
      <c r="E689" s="413" t="s">
        <v>17</v>
      </c>
      <c r="F689" s="413" t="s">
        <v>11</v>
      </c>
      <c r="G689" s="413" t="s">
        <v>24</v>
      </c>
      <c r="H689" s="413" t="s">
        <v>22</v>
      </c>
      <c r="I689" s="1066" t="s">
        <v>913</v>
      </c>
      <c r="J689" s="414" t="str">
        <f t="shared" si="10"/>
        <v>BCompra de ViviendaIndividualResidencialUsadaCasaCOPA000000030000.00</v>
      </c>
      <c r="K689" s="1047">
        <v>30000</v>
      </c>
      <c r="L689" s="1047">
        <v>250000</v>
      </c>
      <c r="M689" s="1050">
        <v>80</v>
      </c>
      <c r="N689" s="1046">
        <v>30</v>
      </c>
      <c r="O689" s="1050">
        <v>6.5</v>
      </c>
      <c r="P689" s="1050">
        <v>8.56</v>
      </c>
    </row>
    <row r="690" spans="2:16" x14ac:dyDescent="0.25">
      <c r="B690" s="415">
        <v>689</v>
      </c>
      <c r="C690" s="595" t="s">
        <v>928</v>
      </c>
      <c r="D690" s="413" t="s">
        <v>8</v>
      </c>
      <c r="E690" s="413" t="s">
        <v>17</v>
      </c>
      <c r="F690" s="413" t="s">
        <v>11</v>
      </c>
      <c r="G690" s="413" t="s">
        <v>24</v>
      </c>
      <c r="H690" s="413" t="s">
        <v>22</v>
      </c>
      <c r="I690" s="1066" t="s">
        <v>913</v>
      </c>
      <c r="J690" s="414" t="str">
        <f t="shared" si="10"/>
        <v>BCompra de ViviendaIndividualResidencialUsadaCasaCOPA000000250000.01</v>
      </c>
      <c r="K690" s="1047">
        <v>250000.01</v>
      </c>
      <c r="L690" s="1047">
        <v>500000</v>
      </c>
      <c r="M690" s="1050">
        <v>80</v>
      </c>
      <c r="N690" s="1046">
        <v>30</v>
      </c>
      <c r="O690" s="1050">
        <v>6.5</v>
      </c>
      <c r="P690" s="1050">
        <v>8.56</v>
      </c>
    </row>
    <row r="691" spans="2:16" x14ac:dyDescent="0.25">
      <c r="B691" s="415">
        <v>690</v>
      </c>
      <c r="C691" s="595" t="s">
        <v>928</v>
      </c>
      <c r="D691" s="413" t="s">
        <v>8</v>
      </c>
      <c r="E691" s="413" t="s">
        <v>17</v>
      </c>
      <c r="F691" s="413" t="s">
        <v>11</v>
      </c>
      <c r="G691" s="413" t="s">
        <v>24</v>
      </c>
      <c r="H691" s="413" t="s">
        <v>22</v>
      </c>
      <c r="I691" s="1066" t="s">
        <v>913</v>
      </c>
      <c r="J691" s="414" t="str">
        <f t="shared" si="10"/>
        <v>BCompra de ViviendaIndividualResidencialUsadaCasaCOPA000000500000.01</v>
      </c>
      <c r="K691" s="1047">
        <v>500000.01</v>
      </c>
      <c r="L691" s="1047">
        <v>99999999</v>
      </c>
      <c r="M691" s="1050">
        <v>80</v>
      </c>
      <c r="N691" s="1046">
        <v>30</v>
      </c>
      <c r="O691" s="1050">
        <v>6.5</v>
      </c>
      <c r="P691" s="1050">
        <v>8.56</v>
      </c>
    </row>
    <row r="692" spans="2:16" x14ac:dyDescent="0.25">
      <c r="B692" s="412">
        <v>691</v>
      </c>
      <c r="C692" s="595" t="s">
        <v>928</v>
      </c>
      <c r="D692" s="413" t="s">
        <v>8</v>
      </c>
      <c r="E692" s="413" t="s">
        <v>17</v>
      </c>
      <c r="F692" s="413" t="s">
        <v>11</v>
      </c>
      <c r="G692" s="413" t="s">
        <v>24</v>
      </c>
      <c r="H692" s="413" t="s">
        <v>22</v>
      </c>
      <c r="I692" s="1066" t="s">
        <v>173</v>
      </c>
      <c r="J692" s="414" t="str">
        <f t="shared" si="10"/>
        <v>BCompra de ViviendaIndividualResidencialUsadaCasaFERIA000000030000.00</v>
      </c>
      <c r="K692" s="1047">
        <v>30000</v>
      </c>
      <c r="L692" s="1047">
        <v>250000</v>
      </c>
      <c r="M692" s="1050">
        <v>80</v>
      </c>
      <c r="N692" s="1046">
        <v>30</v>
      </c>
      <c r="O692" s="1050">
        <v>6.5</v>
      </c>
      <c r="P692" s="1050">
        <v>8.56</v>
      </c>
    </row>
    <row r="693" spans="2:16" x14ac:dyDescent="0.25">
      <c r="B693" s="415">
        <v>692</v>
      </c>
      <c r="C693" s="595" t="s">
        <v>928</v>
      </c>
      <c r="D693" s="413" t="s">
        <v>8</v>
      </c>
      <c r="E693" s="413" t="s">
        <v>17</v>
      </c>
      <c r="F693" s="413" t="s">
        <v>11</v>
      </c>
      <c r="G693" s="413" t="s">
        <v>24</v>
      </c>
      <c r="H693" s="413" t="s">
        <v>22</v>
      </c>
      <c r="I693" s="1066" t="s">
        <v>173</v>
      </c>
      <c r="J693" s="414" t="str">
        <f t="shared" si="10"/>
        <v>BCompra de ViviendaIndividualResidencialUsadaCasaFERIA000000250000.01</v>
      </c>
      <c r="K693" s="1047">
        <v>250000.01</v>
      </c>
      <c r="L693" s="1047">
        <v>500000</v>
      </c>
      <c r="M693" s="1050">
        <v>80</v>
      </c>
      <c r="N693" s="1046">
        <v>30</v>
      </c>
      <c r="O693" s="1050">
        <v>6.5</v>
      </c>
      <c r="P693" s="1050">
        <v>8.56</v>
      </c>
    </row>
    <row r="694" spans="2:16" x14ac:dyDescent="0.25">
      <c r="B694" s="415">
        <v>693</v>
      </c>
      <c r="C694" s="595" t="s">
        <v>928</v>
      </c>
      <c r="D694" s="413" t="s">
        <v>8</v>
      </c>
      <c r="E694" s="413" t="s">
        <v>17</v>
      </c>
      <c r="F694" s="413" t="s">
        <v>11</v>
      </c>
      <c r="G694" s="413" t="s">
        <v>24</v>
      </c>
      <c r="H694" s="413" t="s">
        <v>22</v>
      </c>
      <c r="I694" s="1066" t="s">
        <v>173</v>
      </c>
      <c r="J694" s="414" t="str">
        <f t="shared" si="10"/>
        <v>BCompra de ViviendaIndividualResidencialUsadaCasaFERIA000000500000.01</v>
      </c>
      <c r="K694" s="1047">
        <v>500000.01</v>
      </c>
      <c r="L694" s="1047">
        <v>99999999</v>
      </c>
      <c r="M694" s="1050">
        <v>80</v>
      </c>
      <c r="N694" s="1046">
        <v>30</v>
      </c>
      <c r="O694" s="1050">
        <v>6.5</v>
      </c>
      <c r="P694" s="1050">
        <v>8.56</v>
      </c>
    </row>
    <row r="695" spans="2:16" x14ac:dyDescent="0.25">
      <c r="B695" s="415">
        <v>694</v>
      </c>
      <c r="C695" s="595" t="s">
        <v>928</v>
      </c>
      <c r="D695" s="413" t="s">
        <v>1365</v>
      </c>
      <c r="E695" s="413" t="s">
        <v>762</v>
      </c>
      <c r="F695" s="413" t="s">
        <v>11</v>
      </c>
      <c r="G695" s="413" t="s">
        <v>21</v>
      </c>
      <c r="H695" s="413" t="s">
        <v>25</v>
      </c>
      <c r="I695" s="1066" t="s">
        <v>567</v>
      </c>
      <c r="J695" s="414" t="str">
        <f t="shared" si="10"/>
        <v>BCompra Venta de AccionesCasco AntiguoResidencialNuevaApartamentoBG000000030000.00</v>
      </c>
      <c r="K695" s="1047">
        <v>30000</v>
      </c>
      <c r="L695" s="1047">
        <v>99999999</v>
      </c>
      <c r="M695" s="1050">
        <v>80</v>
      </c>
      <c r="N695" s="1046">
        <v>30</v>
      </c>
      <c r="O695" s="1050">
        <v>3.5</v>
      </c>
      <c r="P695" s="1050">
        <v>4.28</v>
      </c>
    </row>
    <row r="696" spans="2:16" x14ac:dyDescent="0.25">
      <c r="B696" s="415">
        <v>695</v>
      </c>
      <c r="C696" s="595" t="s">
        <v>928</v>
      </c>
      <c r="D696" s="413" t="s">
        <v>1365</v>
      </c>
      <c r="E696" s="413" t="s">
        <v>762</v>
      </c>
      <c r="F696" s="413" t="s">
        <v>11</v>
      </c>
      <c r="G696" s="413" t="s">
        <v>21</v>
      </c>
      <c r="H696" s="413" t="s">
        <v>22</v>
      </c>
      <c r="I696" s="1066" t="s">
        <v>567</v>
      </c>
      <c r="J696" s="414" t="str">
        <f t="shared" si="10"/>
        <v>BCompra Venta de AccionesCasco AntiguoResidencialNuevaCasaBG000000030000.00</v>
      </c>
      <c r="K696" s="1047">
        <v>30000</v>
      </c>
      <c r="L696" s="1047">
        <v>99999999</v>
      </c>
      <c r="M696" s="1050">
        <v>80</v>
      </c>
      <c r="N696" s="1046">
        <v>30</v>
      </c>
      <c r="O696" s="1050">
        <v>3.5</v>
      </c>
      <c r="P696" s="1050">
        <v>4.28</v>
      </c>
    </row>
    <row r="697" spans="2:16" x14ac:dyDescent="0.25">
      <c r="B697" s="412">
        <v>696</v>
      </c>
      <c r="C697" s="595" t="s">
        <v>928</v>
      </c>
      <c r="D697" s="413" t="s">
        <v>1365</v>
      </c>
      <c r="E697" s="413" t="s">
        <v>762</v>
      </c>
      <c r="F697" s="413" t="s">
        <v>11</v>
      </c>
      <c r="G697" s="413" t="s">
        <v>24</v>
      </c>
      <c r="H697" s="413" t="s">
        <v>25</v>
      </c>
      <c r="I697" s="1066" t="s">
        <v>567</v>
      </c>
      <c r="J697" s="414" t="str">
        <f t="shared" si="10"/>
        <v>BCompra Venta de AccionesCasco AntiguoResidencialUsadaApartamentoBG000000030000.00</v>
      </c>
      <c r="K697" s="1047">
        <v>30000</v>
      </c>
      <c r="L697" s="1047">
        <v>99999999</v>
      </c>
      <c r="M697" s="1050">
        <v>80</v>
      </c>
      <c r="N697" s="1046">
        <v>30</v>
      </c>
      <c r="O697" s="1050">
        <v>3.5</v>
      </c>
      <c r="P697" s="1050">
        <v>4.28</v>
      </c>
    </row>
    <row r="698" spans="2:16" x14ac:dyDescent="0.25">
      <c r="B698" s="415">
        <v>697</v>
      </c>
      <c r="C698" s="595" t="s">
        <v>928</v>
      </c>
      <c r="D698" s="413" t="s">
        <v>1365</v>
      </c>
      <c r="E698" s="413" t="s">
        <v>762</v>
      </c>
      <c r="F698" s="413" t="s">
        <v>11</v>
      </c>
      <c r="G698" s="413" t="s">
        <v>24</v>
      </c>
      <c r="H698" s="413" t="s">
        <v>22</v>
      </c>
      <c r="I698" s="1066" t="s">
        <v>567</v>
      </c>
      <c r="J698" s="414" t="str">
        <f t="shared" si="10"/>
        <v>BCompra Venta de AccionesCasco AntiguoResidencialUsadaCasaBG000000030000.00</v>
      </c>
      <c r="K698" s="1047">
        <v>30000</v>
      </c>
      <c r="L698" s="1047">
        <v>99999999</v>
      </c>
      <c r="M698" s="1050">
        <v>80</v>
      </c>
      <c r="N698" s="1046">
        <v>30</v>
      </c>
      <c r="O698" s="1050">
        <v>3.5</v>
      </c>
      <c r="P698" s="1050">
        <v>4.28</v>
      </c>
    </row>
    <row r="699" spans="2:16" x14ac:dyDescent="0.25">
      <c r="B699" s="415">
        <v>698</v>
      </c>
      <c r="C699" s="595" t="s">
        <v>928</v>
      </c>
      <c r="D699" s="413" t="s">
        <v>1365</v>
      </c>
      <c r="E699" s="413" t="s">
        <v>17</v>
      </c>
      <c r="F699" s="413" t="s">
        <v>11</v>
      </c>
      <c r="G699" s="413" t="s">
        <v>21</v>
      </c>
      <c r="H699" s="413" t="s">
        <v>25</v>
      </c>
      <c r="I699" s="1066" t="s">
        <v>567</v>
      </c>
      <c r="J699" s="414" t="str">
        <f t="shared" si="10"/>
        <v>BCompra Venta de AccionesIndividualResidencialNuevaApartamentoBG000000030000.00</v>
      </c>
      <c r="K699" s="1047">
        <v>30000</v>
      </c>
      <c r="L699" s="1047">
        <v>100000</v>
      </c>
      <c r="M699" s="1050">
        <v>80</v>
      </c>
      <c r="N699" s="1046">
        <v>30</v>
      </c>
      <c r="O699" s="1050">
        <v>5.5</v>
      </c>
      <c r="P699" s="1050">
        <v>8.56</v>
      </c>
    </row>
    <row r="700" spans="2:16" x14ac:dyDescent="0.25">
      <c r="B700" s="415">
        <v>699</v>
      </c>
      <c r="C700" s="595" t="s">
        <v>928</v>
      </c>
      <c r="D700" s="413" t="s">
        <v>1365</v>
      </c>
      <c r="E700" s="413" t="s">
        <v>17</v>
      </c>
      <c r="F700" s="413" t="s">
        <v>11</v>
      </c>
      <c r="G700" s="413" t="s">
        <v>21</v>
      </c>
      <c r="H700" s="413" t="s">
        <v>25</v>
      </c>
      <c r="I700" s="1066" t="s">
        <v>567</v>
      </c>
      <c r="J700" s="414" t="str">
        <f t="shared" si="10"/>
        <v>BCompra Venta de AccionesIndividualResidencialNuevaApartamentoBG000000100000.01</v>
      </c>
      <c r="K700" s="1047">
        <v>100000.01</v>
      </c>
      <c r="L700" s="1047">
        <v>250000</v>
      </c>
      <c r="M700" s="1050">
        <v>80</v>
      </c>
      <c r="N700" s="1046">
        <v>30</v>
      </c>
      <c r="O700" s="1050">
        <v>5.5</v>
      </c>
      <c r="P700" s="1050">
        <v>8.56</v>
      </c>
    </row>
    <row r="701" spans="2:16" x14ac:dyDescent="0.25">
      <c r="B701" s="415">
        <v>700</v>
      </c>
      <c r="C701" s="595" t="s">
        <v>928</v>
      </c>
      <c r="D701" s="413" t="s">
        <v>1365</v>
      </c>
      <c r="E701" s="413" t="s">
        <v>17</v>
      </c>
      <c r="F701" s="413" t="s">
        <v>11</v>
      </c>
      <c r="G701" s="413" t="s">
        <v>21</v>
      </c>
      <c r="H701" s="413" t="s">
        <v>25</v>
      </c>
      <c r="I701" s="1066" t="s">
        <v>567</v>
      </c>
      <c r="J701" s="414" t="str">
        <f t="shared" si="10"/>
        <v>BCompra Venta de AccionesIndividualResidencialNuevaApartamentoBG000000250000.01</v>
      </c>
      <c r="K701" s="1047">
        <v>250000.01</v>
      </c>
      <c r="L701" s="1047">
        <v>400000</v>
      </c>
      <c r="M701" s="1050">
        <v>80</v>
      </c>
      <c r="N701" s="1046">
        <v>30</v>
      </c>
      <c r="O701" s="1050">
        <v>5.5</v>
      </c>
      <c r="P701" s="1050">
        <v>8.56</v>
      </c>
    </row>
    <row r="702" spans="2:16" x14ac:dyDescent="0.25">
      <c r="B702" s="412">
        <v>701</v>
      </c>
      <c r="C702" s="595" t="s">
        <v>928</v>
      </c>
      <c r="D702" s="413" t="s">
        <v>1365</v>
      </c>
      <c r="E702" s="413" t="s">
        <v>17</v>
      </c>
      <c r="F702" s="413" t="s">
        <v>11</v>
      </c>
      <c r="G702" s="413" t="s">
        <v>21</v>
      </c>
      <c r="H702" s="413" t="s">
        <v>25</v>
      </c>
      <c r="I702" s="1066" t="s">
        <v>567</v>
      </c>
      <c r="J702" s="414" t="str">
        <f t="shared" si="10"/>
        <v>BCompra Venta de AccionesIndividualResidencialNuevaApartamentoBG000000400000.01</v>
      </c>
      <c r="K702" s="1047">
        <v>400000.01</v>
      </c>
      <c r="L702" s="1047">
        <v>99999999</v>
      </c>
      <c r="M702" s="1050">
        <v>80</v>
      </c>
      <c r="N702" s="1046">
        <v>30</v>
      </c>
      <c r="O702" s="1050">
        <v>5.5</v>
      </c>
      <c r="P702" s="1050">
        <v>8.56</v>
      </c>
    </row>
    <row r="703" spans="2:16" x14ac:dyDescent="0.25">
      <c r="B703" s="415">
        <v>702</v>
      </c>
      <c r="C703" s="595" t="s">
        <v>928</v>
      </c>
      <c r="D703" s="413" t="s">
        <v>1365</v>
      </c>
      <c r="E703" s="413" t="s">
        <v>17</v>
      </c>
      <c r="F703" s="413" t="s">
        <v>11</v>
      </c>
      <c r="G703" s="413" t="s">
        <v>21</v>
      </c>
      <c r="H703" s="413" t="s">
        <v>22</v>
      </c>
      <c r="I703" s="1066" t="s">
        <v>567</v>
      </c>
      <c r="J703" s="414" t="str">
        <f t="shared" si="10"/>
        <v>BCompra Venta de AccionesIndividualResidencialNuevaCasaBG000000018000.00</v>
      </c>
      <c r="K703" s="1047">
        <v>18000</v>
      </c>
      <c r="L703" s="1047">
        <v>100000</v>
      </c>
      <c r="M703" s="1050">
        <v>80</v>
      </c>
      <c r="N703" s="1046">
        <v>30</v>
      </c>
      <c r="O703" s="1050">
        <v>5.5</v>
      </c>
      <c r="P703" s="1050">
        <v>8.56</v>
      </c>
    </row>
    <row r="704" spans="2:16" x14ac:dyDescent="0.25">
      <c r="B704" s="415">
        <v>703</v>
      </c>
      <c r="C704" s="595" t="s">
        <v>928</v>
      </c>
      <c r="D704" s="413" t="s">
        <v>1365</v>
      </c>
      <c r="E704" s="413" t="s">
        <v>17</v>
      </c>
      <c r="F704" s="413" t="s">
        <v>11</v>
      </c>
      <c r="G704" s="413" t="s">
        <v>21</v>
      </c>
      <c r="H704" s="413" t="s">
        <v>22</v>
      </c>
      <c r="I704" s="1066" t="s">
        <v>567</v>
      </c>
      <c r="J704" s="414" t="str">
        <f t="shared" si="10"/>
        <v>BCompra Venta de AccionesIndividualResidencialNuevaCasaBG000000100000.01</v>
      </c>
      <c r="K704" s="1047">
        <v>100000.01</v>
      </c>
      <c r="L704" s="1047">
        <v>250000</v>
      </c>
      <c r="M704" s="1050">
        <v>80</v>
      </c>
      <c r="N704" s="1046">
        <v>30</v>
      </c>
      <c r="O704" s="1050">
        <v>5.5</v>
      </c>
      <c r="P704" s="1050">
        <v>8.56</v>
      </c>
    </row>
    <row r="705" spans="2:16" x14ac:dyDescent="0.25">
      <c r="B705" s="415">
        <v>704</v>
      </c>
      <c r="C705" s="595" t="s">
        <v>928</v>
      </c>
      <c r="D705" s="413" t="s">
        <v>1365</v>
      </c>
      <c r="E705" s="413" t="s">
        <v>17</v>
      </c>
      <c r="F705" s="413" t="s">
        <v>11</v>
      </c>
      <c r="G705" s="413" t="s">
        <v>21</v>
      </c>
      <c r="H705" s="413" t="s">
        <v>22</v>
      </c>
      <c r="I705" s="1066" t="s">
        <v>567</v>
      </c>
      <c r="J705" s="414" t="str">
        <f t="shared" si="10"/>
        <v>BCompra Venta de AccionesIndividualResidencialNuevaCasaBG000000250000.01</v>
      </c>
      <c r="K705" s="1047">
        <v>250000.01</v>
      </c>
      <c r="L705" s="1047">
        <v>600000</v>
      </c>
      <c r="M705" s="1050">
        <v>80</v>
      </c>
      <c r="N705" s="1046">
        <v>30</v>
      </c>
      <c r="O705" s="1050">
        <v>5.5</v>
      </c>
      <c r="P705" s="1050">
        <v>8.56</v>
      </c>
    </row>
    <row r="706" spans="2:16" x14ac:dyDescent="0.25">
      <c r="B706" s="415">
        <v>705</v>
      </c>
      <c r="C706" s="595" t="s">
        <v>928</v>
      </c>
      <c r="D706" s="413" t="s">
        <v>1365</v>
      </c>
      <c r="E706" s="413" t="s">
        <v>17</v>
      </c>
      <c r="F706" s="413" t="s">
        <v>11</v>
      </c>
      <c r="G706" s="413" t="s">
        <v>21</v>
      </c>
      <c r="H706" s="413" t="s">
        <v>22</v>
      </c>
      <c r="I706" s="1066" t="s">
        <v>567</v>
      </c>
      <c r="J706" s="414" t="str">
        <f t="shared" ref="J706:J769" si="11">C706&amp;D706&amp;E706&amp;F706&amp;G706&amp;H706&amp;I706 &amp; REPT("0",15-LEN(K706 &amp; IF(IFERROR(FIND(".",K706&amp;""),0)=0,".00","")))&amp;K706 &amp; IF(IFERROR(FIND(".",K706&amp;""),0)=0,".00","")</f>
        <v>BCompra Venta de AccionesIndividualResidencialNuevaCasaBG000000600000.01</v>
      </c>
      <c r="K706" s="1047">
        <v>600000.01</v>
      </c>
      <c r="L706" s="1047">
        <v>99999999</v>
      </c>
      <c r="M706" s="1050">
        <v>80</v>
      </c>
      <c r="N706" s="1046">
        <v>30</v>
      </c>
      <c r="O706" s="1050">
        <v>5.5</v>
      </c>
      <c r="P706" s="1050">
        <v>8.56</v>
      </c>
    </row>
    <row r="707" spans="2:16" x14ac:dyDescent="0.25">
      <c r="B707" s="412">
        <v>706</v>
      </c>
      <c r="C707" s="595" t="s">
        <v>928</v>
      </c>
      <c r="D707" s="413" t="s">
        <v>1365</v>
      </c>
      <c r="E707" s="413" t="s">
        <v>17</v>
      </c>
      <c r="F707" s="413" t="s">
        <v>11</v>
      </c>
      <c r="G707" s="413" t="s">
        <v>24</v>
      </c>
      <c r="H707" s="413" t="s">
        <v>25</v>
      </c>
      <c r="I707" s="1066" t="s">
        <v>567</v>
      </c>
      <c r="J707" s="414" t="str">
        <f t="shared" si="11"/>
        <v>BCompra Venta de AccionesIndividualResidencialUsadaApartamentoBG000000030000.00</v>
      </c>
      <c r="K707" s="1047">
        <v>30000</v>
      </c>
      <c r="L707" s="1047">
        <v>250000</v>
      </c>
      <c r="M707" s="1050">
        <v>80</v>
      </c>
      <c r="N707" s="1046">
        <v>30</v>
      </c>
      <c r="O707" s="1050">
        <v>6.5</v>
      </c>
      <c r="P707" s="1050">
        <v>8.56</v>
      </c>
    </row>
    <row r="708" spans="2:16" x14ac:dyDescent="0.25">
      <c r="B708" s="415">
        <v>707</v>
      </c>
      <c r="C708" s="595" t="s">
        <v>928</v>
      </c>
      <c r="D708" s="413" t="s">
        <v>1365</v>
      </c>
      <c r="E708" s="413" t="s">
        <v>17</v>
      </c>
      <c r="F708" s="413" t="s">
        <v>11</v>
      </c>
      <c r="G708" s="413" t="s">
        <v>24</v>
      </c>
      <c r="H708" s="413" t="s">
        <v>25</v>
      </c>
      <c r="I708" s="1066" t="s">
        <v>567</v>
      </c>
      <c r="J708" s="414" t="str">
        <f t="shared" si="11"/>
        <v>BCompra Venta de AccionesIndividualResidencialUsadaApartamentoBG000000250000.01</v>
      </c>
      <c r="K708" s="1047">
        <v>250000.01</v>
      </c>
      <c r="L708" s="1047">
        <v>500000</v>
      </c>
      <c r="M708" s="1050">
        <v>80</v>
      </c>
      <c r="N708" s="1046">
        <v>30</v>
      </c>
      <c r="O708" s="1050">
        <v>6.5</v>
      </c>
      <c r="P708" s="1050">
        <v>8.56</v>
      </c>
    </row>
    <row r="709" spans="2:16" x14ac:dyDescent="0.25">
      <c r="B709" s="415">
        <v>708</v>
      </c>
      <c r="C709" s="595" t="s">
        <v>928</v>
      </c>
      <c r="D709" s="413" t="s">
        <v>1365</v>
      </c>
      <c r="E709" s="413" t="s">
        <v>17</v>
      </c>
      <c r="F709" s="413" t="s">
        <v>11</v>
      </c>
      <c r="G709" s="413" t="s">
        <v>24</v>
      </c>
      <c r="H709" s="413" t="s">
        <v>25</v>
      </c>
      <c r="I709" s="1066" t="s">
        <v>567</v>
      </c>
      <c r="J709" s="414" t="str">
        <f t="shared" si="11"/>
        <v>BCompra Venta de AccionesIndividualResidencialUsadaApartamentoBG000000500000.01</v>
      </c>
      <c r="K709" s="1047">
        <v>500000.01</v>
      </c>
      <c r="L709" s="1047">
        <v>99999999</v>
      </c>
      <c r="M709" s="1050">
        <v>80</v>
      </c>
      <c r="N709" s="1046">
        <v>30</v>
      </c>
      <c r="O709" s="1050">
        <v>6.5</v>
      </c>
      <c r="P709" s="1050">
        <v>8.56</v>
      </c>
    </row>
    <row r="710" spans="2:16" x14ac:dyDescent="0.25">
      <c r="B710" s="415">
        <v>709</v>
      </c>
      <c r="C710" s="595" t="s">
        <v>928</v>
      </c>
      <c r="D710" s="413" t="s">
        <v>1365</v>
      </c>
      <c r="E710" s="413" t="s">
        <v>17</v>
      </c>
      <c r="F710" s="413" t="s">
        <v>11</v>
      </c>
      <c r="G710" s="413" t="s">
        <v>24</v>
      </c>
      <c r="H710" s="413" t="s">
        <v>22</v>
      </c>
      <c r="I710" s="1066" t="s">
        <v>567</v>
      </c>
      <c r="J710" s="414" t="str">
        <f t="shared" si="11"/>
        <v>BCompra Venta de AccionesIndividualResidencialUsadaCasaBG000000030000.00</v>
      </c>
      <c r="K710" s="1047">
        <v>30000</v>
      </c>
      <c r="L710" s="1047">
        <v>250000</v>
      </c>
      <c r="M710" s="1050">
        <v>80</v>
      </c>
      <c r="N710" s="1046">
        <v>30</v>
      </c>
      <c r="O710" s="1050">
        <v>6.5</v>
      </c>
      <c r="P710" s="1050">
        <v>8.56</v>
      </c>
    </row>
    <row r="711" spans="2:16" x14ac:dyDescent="0.25">
      <c r="B711" s="415">
        <v>710</v>
      </c>
      <c r="C711" s="595" t="s">
        <v>928</v>
      </c>
      <c r="D711" s="413" t="s">
        <v>1365</v>
      </c>
      <c r="E711" s="413" t="s">
        <v>17</v>
      </c>
      <c r="F711" s="413" t="s">
        <v>11</v>
      </c>
      <c r="G711" s="413" t="s">
        <v>24</v>
      </c>
      <c r="H711" s="413" t="s">
        <v>22</v>
      </c>
      <c r="I711" s="1066" t="s">
        <v>567</v>
      </c>
      <c r="J711" s="414" t="str">
        <f t="shared" si="11"/>
        <v>BCompra Venta de AccionesIndividualResidencialUsadaCasaBG000000250000.01</v>
      </c>
      <c r="K711" s="1047">
        <v>250000.01</v>
      </c>
      <c r="L711" s="1047">
        <v>500000</v>
      </c>
      <c r="M711" s="1050">
        <v>80</v>
      </c>
      <c r="N711" s="1046">
        <v>30</v>
      </c>
      <c r="O711" s="1050">
        <v>6.5</v>
      </c>
      <c r="P711" s="1050">
        <v>8.56</v>
      </c>
    </row>
    <row r="712" spans="2:16" x14ac:dyDescent="0.25">
      <c r="B712" s="412">
        <v>711</v>
      </c>
      <c r="C712" s="595" t="s">
        <v>928</v>
      </c>
      <c r="D712" s="413" t="s">
        <v>1365</v>
      </c>
      <c r="E712" s="413" t="s">
        <v>17</v>
      </c>
      <c r="F712" s="413" t="s">
        <v>11</v>
      </c>
      <c r="G712" s="413" t="s">
        <v>24</v>
      </c>
      <c r="H712" s="413" t="s">
        <v>22</v>
      </c>
      <c r="I712" s="1066" t="s">
        <v>567</v>
      </c>
      <c r="J712" s="414" t="str">
        <f t="shared" si="11"/>
        <v>BCompra Venta de AccionesIndividualResidencialUsadaCasaBG000000500000.01</v>
      </c>
      <c r="K712" s="1047">
        <v>500000.01</v>
      </c>
      <c r="L712" s="1047">
        <v>99999999</v>
      </c>
      <c r="M712" s="1050">
        <v>80</v>
      </c>
      <c r="N712" s="1046">
        <v>30</v>
      </c>
      <c r="O712" s="1050">
        <v>6.5</v>
      </c>
      <c r="P712" s="1050">
        <v>8.56</v>
      </c>
    </row>
    <row r="713" spans="2:16" x14ac:dyDescent="0.25">
      <c r="B713" s="415">
        <v>712</v>
      </c>
      <c r="C713" s="1374" t="s">
        <v>928</v>
      </c>
      <c r="D713" s="413" t="s">
        <v>23</v>
      </c>
      <c r="E713" s="413" t="s">
        <v>17</v>
      </c>
      <c r="F713" s="413" t="s">
        <v>13</v>
      </c>
      <c r="G713" s="413" t="s">
        <v>21</v>
      </c>
      <c r="H713" s="413" t="s">
        <v>25</v>
      </c>
      <c r="I713" s="1066" t="s">
        <v>567</v>
      </c>
      <c r="J713" s="414" t="str">
        <f t="shared" si="11"/>
        <v>BCompra Vivienda VacacionalIndividualVacacionalNuevaApartamentoBG000000050000.00</v>
      </c>
      <c r="K713" s="1047">
        <v>50000</v>
      </c>
      <c r="L713" s="1047">
        <v>99999999</v>
      </c>
      <c r="M713" s="1050">
        <v>60</v>
      </c>
      <c r="N713" s="1046">
        <v>20</v>
      </c>
      <c r="O713" s="1050">
        <v>7</v>
      </c>
      <c r="P713" s="1050">
        <v>8.56</v>
      </c>
    </row>
    <row r="714" spans="2:16" x14ac:dyDescent="0.25">
      <c r="B714" s="415">
        <v>713</v>
      </c>
      <c r="C714" s="595" t="s">
        <v>928</v>
      </c>
      <c r="D714" s="413" t="s">
        <v>23</v>
      </c>
      <c r="E714" s="413" t="s">
        <v>17</v>
      </c>
      <c r="F714" s="413" t="s">
        <v>13</v>
      </c>
      <c r="G714" s="413" t="s">
        <v>21</v>
      </c>
      <c r="H714" s="413" t="s">
        <v>25</v>
      </c>
      <c r="I714" s="1066" t="s">
        <v>913</v>
      </c>
      <c r="J714" s="414" t="str">
        <f t="shared" si="11"/>
        <v>BCompra Vivienda VacacionalIndividualVacacionalNuevaApartamentoCOPA000000050000.00</v>
      </c>
      <c r="K714" s="1047">
        <v>50000</v>
      </c>
      <c r="L714" s="1047">
        <v>99999999</v>
      </c>
      <c r="M714" s="1050">
        <v>70</v>
      </c>
      <c r="N714" s="1046">
        <v>20</v>
      </c>
      <c r="O714" s="1050">
        <v>6.75</v>
      </c>
      <c r="P714" s="1050">
        <v>8.56</v>
      </c>
    </row>
    <row r="715" spans="2:16" x14ac:dyDescent="0.25">
      <c r="B715" s="415">
        <v>714</v>
      </c>
      <c r="C715" s="595" t="s">
        <v>928</v>
      </c>
      <c r="D715" s="413" t="s">
        <v>23</v>
      </c>
      <c r="E715" s="413" t="s">
        <v>17</v>
      </c>
      <c r="F715" s="413" t="s">
        <v>13</v>
      </c>
      <c r="G715" s="413" t="s">
        <v>21</v>
      </c>
      <c r="H715" s="413" t="s">
        <v>25</v>
      </c>
      <c r="I715" s="1066" t="s">
        <v>173</v>
      </c>
      <c r="J715" s="414" t="str">
        <f t="shared" si="11"/>
        <v>BCompra Vivienda VacacionalIndividualVacacionalNuevaApartamentoFERIA000000050000.00</v>
      </c>
      <c r="K715" s="1047">
        <v>50000</v>
      </c>
      <c r="L715" s="1047">
        <v>99999999</v>
      </c>
      <c r="M715" s="1050">
        <v>70</v>
      </c>
      <c r="N715" s="1046">
        <v>20</v>
      </c>
      <c r="O715" s="1050">
        <v>6.75</v>
      </c>
      <c r="P715" s="1050">
        <v>8.56</v>
      </c>
    </row>
    <row r="716" spans="2:16" x14ac:dyDescent="0.25">
      <c r="B716" s="415">
        <v>715</v>
      </c>
      <c r="C716" s="1374" t="s">
        <v>928</v>
      </c>
      <c r="D716" s="413" t="s">
        <v>23</v>
      </c>
      <c r="E716" s="413" t="s">
        <v>17</v>
      </c>
      <c r="F716" s="413" t="s">
        <v>13</v>
      </c>
      <c r="G716" s="413" t="s">
        <v>21</v>
      </c>
      <c r="H716" s="413" t="s">
        <v>22</v>
      </c>
      <c r="I716" s="1066" t="s">
        <v>567</v>
      </c>
      <c r="J716" s="414" t="str">
        <f t="shared" si="11"/>
        <v>BCompra Vivienda VacacionalIndividualVacacionalNuevaCasaBG000000050000.00</v>
      </c>
      <c r="K716" s="1047">
        <v>50000</v>
      </c>
      <c r="L716" s="1047">
        <v>99999999</v>
      </c>
      <c r="M716" s="1050">
        <v>60</v>
      </c>
      <c r="N716" s="1046">
        <v>20</v>
      </c>
      <c r="O716" s="1050">
        <v>7</v>
      </c>
      <c r="P716" s="1050">
        <v>8.56</v>
      </c>
    </row>
    <row r="717" spans="2:16" x14ac:dyDescent="0.25">
      <c r="B717" s="412">
        <v>716</v>
      </c>
      <c r="C717" s="595" t="s">
        <v>928</v>
      </c>
      <c r="D717" s="413" t="s">
        <v>23</v>
      </c>
      <c r="E717" s="413" t="s">
        <v>17</v>
      </c>
      <c r="F717" s="413" t="s">
        <v>13</v>
      </c>
      <c r="G717" s="413" t="s">
        <v>21</v>
      </c>
      <c r="H717" s="413" t="s">
        <v>22</v>
      </c>
      <c r="I717" s="1066" t="s">
        <v>913</v>
      </c>
      <c r="J717" s="414" t="str">
        <f t="shared" si="11"/>
        <v>BCompra Vivienda VacacionalIndividualVacacionalNuevaCasaCOPA000000050000.00</v>
      </c>
      <c r="K717" s="1047">
        <v>50000</v>
      </c>
      <c r="L717" s="1047">
        <v>99999999</v>
      </c>
      <c r="M717" s="1050">
        <v>70</v>
      </c>
      <c r="N717" s="1046">
        <v>20</v>
      </c>
      <c r="O717" s="1050">
        <v>6.75</v>
      </c>
      <c r="P717" s="1050">
        <v>8.56</v>
      </c>
    </row>
    <row r="718" spans="2:16" x14ac:dyDescent="0.25">
      <c r="B718" s="415">
        <v>717</v>
      </c>
      <c r="C718" s="595" t="s">
        <v>928</v>
      </c>
      <c r="D718" s="413" t="s">
        <v>23</v>
      </c>
      <c r="E718" s="413" t="s">
        <v>17</v>
      </c>
      <c r="F718" s="413" t="s">
        <v>13</v>
      </c>
      <c r="G718" s="413" t="s">
        <v>21</v>
      </c>
      <c r="H718" s="413" t="s">
        <v>22</v>
      </c>
      <c r="I718" s="1066" t="s">
        <v>173</v>
      </c>
      <c r="J718" s="414" t="str">
        <f t="shared" si="11"/>
        <v>BCompra Vivienda VacacionalIndividualVacacionalNuevaCasaFERIA000000050000.00</v>
      </c>
      <c r="K718" s="1047">
        <v>50000</v>
      </c>
      <c r="L718" s="1047">
        <v>99999999</v>
      </c>
      <c r="M718" s="1050">
        <v>70</v>
      </c>
      <c r="N718" s="1046">
        <v>20</v>
      </c>
      <c r="O718" s="1050">
        <v>6.75</v>
      </c>
      <c r="P718" s="1050">
        <v>8.56</v>
      </c>
    </row>
    <row r="719" spans="2:16" x14ac:dyDescent="0.25">
      <c r="B719" s="415">
        <v>718</v>
      </c>
      <c r="C719" s="1374" t="s">
        <v>928</v>
      </c>
      <c r="D719" s="413" t="s">
        <v>23</v>
      </c>
      <c r="E719" s="413" t="s">
        <v>17</v>
      </c>
      <c r="F719" s="413" t="s">
        <v>13</v>
      </c>
      <c r="G719" s="413" t="s">
        <v>24</v>
      </c>
      <c r="H719" s="413" t="s">
        <v>25</v>
      </c>
      <c r="I719" s="1066" t="s">
        <v>567</v>
      </c>
      <c r="J719" s="414" t="str">
        <f t="shared" si="11"/>
        <v>BCompra Vivienda VacacionalIndividualVacacionalUsadaApartamentoBG000000050000.00</v>
      </c>
      <c r="K719" s="1047">
        <v>50000</v>
      </c>
      <c r="L719" s="1047">
        <v>99999999</v>
      </c>
      <c r="M719" s="1050">
        <v>60</v>
      </c>
      <c r="N719" s="1046">
        <v>20</v>
      </c>
      <c r="O719" s="1050">
        <v>7</v>
      </c>
      <c r="P719" s="1050">
        <v>8.56</v>
      </c>
    </row>
    <row r="720" spans="2:16" x14ac:dyDescent="0.25">
      <c r="B720" s="415">
        <v>719</v>
      </c>
      <c r="C720" s="595" t="s">
        <v>928</v>
      </c>
      <c r="D720" s="413" t="s">
        <v>23</v>
      </c>
      <c r="E720" s="413" t="s">
        <v>17</v>
      </c>
      <c r="F720" s="413" t="s">
        <v>13</v>
      </c>
      <c r="G720" s="413" t="s">
        <v>24</v>
      </c>
      <c r="H720" s="413" t="s">
        <v>25</v>
      </c>
      <c r="I720" s="1066" t="s">
        <v>913</v>
      </c>
      <c r="J720" s="414" t="str">
        <f t="shared" si="11"/>
        <v>BCompra Vivienda VacacionalIndividualVacacionalUsadaApartamentoCOPA000000050000.00</v>
      </c>
      <c r="K720" s="1047">
        <v>50000</v>
      </c>
      <c r="L720" s="1047">
        <v>99999999</v>
      </c>
      <c r="M720" s="1050">
        <v>70</v>
      </c>
      <c r="N720" s="1046">
        <v>20</v>
      </c>
      <c r="O720" s="1050">
        <v>6.75</v>
      </c>
      <c r="P720" s="1050">
        <v>8.56</v>
      </c>
    </row>
    <row r="721" spans="2:16" x14ac:dyDescent="0.25">
      <c r="B721" s="415">
        <v>720</v>
      </c>
      <c r="C721" s="595" t="s">
        <v>928</v>
      </c>
      <c r="D721" s="413" t="s">
        <v>23</v>
      </c>
      <c r="E721" s="413" t="s">
        <v>17</v>
      </c>
      <c r="F721" s="413" t="s">
        <v>13</v>
      </c>
      <c r="G721" s="413" t="s">
        <v>24</v>
      </c>
      <c r="H721" s="413" t="s">
        <v>25</v>
      </c>
      <c r="I721" s="1066" t="s">
        <v>173</v>
      </c>
      <c r="J721" s="414" t="str">
        <f t="shared" si="11"/>
        <v>BCompra Vivienda VacacionalIndividualVacacionalUsadaApartamentoFERIA000000050000.00</v>
      </c>
      <c r="K721" s="1047">
        <v>50000</v>
      </c>
      <c r="L721" s="1047">
        <v>99999999</v>
      </c>
      <c r="M721" s="1050">
        <v>70</v>
      </c>
      <c r="N721" s="1046">
        <v>20</v>
      </c>
      <c r="O721" s="1050">
        <v>6.75</v>
      </c>
      <c r="P721" s="1050">
        <v>8.56</v>
      </c>
    </row>
    <row r="722" spans="2:16" x14ac:dyDescent="0.25">
      <c r="B722" s="412">
        <v>721</v>
      </c>
      <c r="C722" s="1374" t="s">
        <v>928</v>
      </c>
      <c r="D722" s="413" t="s">
        <v>23</v>
      </c>
      <c r="E722" s="413" t="s">
        <v>17</v>
      </c>
      <c r="F722" s="413" t="s">
        <v>13</v>
      </c>
      <c r="G722" s="413" t="s">
        <v>24</v>
      </c>
      <c r="H722" s="413" t="s">
        <v>22</v>
      </c>
      <c r="I722" s="1066" t="s">
        <v>567</v>
      </c>
      <c r="J722" s="414" t="str">
        <f t="shared" si="11"/>
        <v>BCompra Vivienda VacacionalIndividualVacacionalUsadaCasaBG000000050000.00</v>
      </c>
      <c r="K722" s="1047">
        <v>50000</v>
      </c>
      <c r="L722" s="1047">
        <v>99999999</v>
      </c>
      <c r="M722" s="1050">
        <v>60</v>
      </c>
      <c r="N722" s="1046">
        <v>20</v>
      </c>
      <c r="O722" s="1050">
        <v>7</v>
      </c>
      <c r="P722" s="1050">
        <v>8.56</v>
      </c>
    </row>
    <row r="723" spans="2:16" x14ac:dyDescent="0.25">
      <c r="B723" s="415">
        <v>722</v>
      </c>
      <c r="C723" s="595" t="s">
        <v>928</v>
      </c>
      <c r="D723" s="413" t="s">
        <v>23</v>
      </c>
      <c r="E723" s="413" t="s">
        <v>17</v>
      </c>
      <c r="F723" s="413" t="s">
        <v>13</v>
      </c>
      <c r="G723" s="413" t="s">
        <v>24</v>
      </c>
      <c r="H723" s="413" t="s">
        <v>22</v>
      </c>
      <c r="I723" s="1066" t="s">
        <v>913</v>
      </c>
      <c r="J723" s="414" t="str">
        <f t="shared" si="11"/>
        <v>BCompra Vivienda VacacionalIndividualVacacionalUsadaCasaCOPA000000050000.00</v>
      </c>
      <c r="K723" s="1047">
        <v>50000</v>
      </c>
      <c r="L723" s="1047">
        <v>99999999</v>
      </c>
      <c r="M723" s="1050">
        <v>70</v>
      </c>
      <c r="N723" s="1046">
        <v>20</v>
      </c>
      <c r="O723" s="1050">
        <v>6.75</v>
      </c>
      <c r="P723" s="1050">
        <v>8.56</v>
      </c>
    </row>
    <row r="724" spans="2:16" x14ac:dyDescent="0.25">
      <c r="B724" s="415">
        <v>723</v>
      </c>
      <c r="C724" s="595" t="s">
        <v>928</v>
      </c>
      <c r="D724" s="421" t="s">
        <v>23</v>
      </c>
      <c r="E724" s="421" t="s">
        <v>17</v>
      </c>
      <c r="F724" s="421" t="s">
        <v>13</v>
      </c>
      <c r="G724" s="421" t="s">
        <v>24</v>
      </c>
      <c r="H724" s="421" t="s">
        <v>22</v>
      </c>
      <c r="I724" s="1066" t="s">
        <v>173</v>
      </c>
      <c r="J724" s="414" t="str">
        <f t="shared" si="11"/>
        <v>BCompra Vivienda VacacionalIndividualVacacionalUsadaCasaFERIA000000050000.00</v>
      </c>
      <c r="K724" s="1049">
        <v>50000</v>
      </c>
      <c r="L724" s="1049">
        <v>99999999</v>
      </c>
      <c r="M724" s="1053">
        <v>70</v>
      </c>
      <c r="N724" s="1048">
        <v>20</v>
      </c>
      <c r="O724" s="1050">
        <v>6.75</v>
      </c>
      <c r="P724" s="1050">
        <v>8.56</v>
      </c>
    </row>
    <row r="725" spans="2:16" x14ac:dyDescent="0.25">
      <c r="B725" s="415">
        <v>724</v>
      </c>
      <c r="C725" s="1374" t="s">
        <v>928</v>
      </c>
      <c r="D725" s="421" t="s">
        <v>26</v>
      </c>
      <c r="E725" s="421" t="s">
        <v>17</v>
      </c>
      <c r="F725" s="421" t="s">
        <v>11</v>
      </c>
      <c r="G725" s="421" t="s">
        <v>24</v>
      </c>
      <c r="H725" s="421" t="s">
        <v>25</v>
      </c>
      <c r="I725" s="1066" t="s">
        <v>567</v>
      </c>
      <c r="J725" s="414" t="str">
        <f t="shared" si="11"/>
        <v>BTraspaso de Otro BancoIndividualResidencialUsadaApartamentoBG000000030000.00</v>
      </c>
      <c r="K725" s="1049">
        <v>30000</v>
      </c>
      <c r="L725" s="1049">
        <v>250000</v>
      </c>
      <c r="M725" s="1053">
        <v>80</v>
      </c>
      <c r="N725" s="1048">
        <v>30</v>
      </c>
      <c r="O725" s="1053">
        <v>5.75</v>
      </c>
      <c r="P725" s="1050">
        <v>8.56</v>
      </c>
    </row>
    <row r="726" spans="2:16" x14ac:dyDescent="0.25">
      <c r="B726" s="415">
        <v>725</v>
      </c>
      <c r="C726" s="1374" t="s">
        <v>928</v>
      </c>
      <c r="D726" s="413" t="s">
        <v>26</v>
      </c>
      <c r="E726" s="413" t="s">
        <v>17</v>
      </c>
      <c r="F726" s="413" t="s">
        <v>11</v>
      </c>
      <c r="G726" s="413" t="s">
        <v>24</v>
      </c>
      <c r="H726" s="413" t="s">
        <v>25</v>
      </c>
      <c r="I726" s="1066" t="s">
        <v>567</v>
      </c>
      <c r="J726" s="414" t="str">
        <f t="shared" si="11"/>
        <v>BTraspaso de Otro BancoIndividualResidencialUsadaApartamentoBG000000250000.01</v>
      </c>
      <c r="K726" s="1047">
        <v>250000.01</v>
      </c>
      <c r="L726" s="1047">
        <v>500000</v>
      </c>
      <c r="M726" s="1050">
        <v>80</v>
      </c>
      <c r="N726" s="1046">
        <v>30</v>
      </c>
      <c r="O726" s="1053">
        <v>5.75</v>
      </c>
      <c r="P726" s="1050">
        <v>8.56</v>
      </c>
    </row>
    <row r="727" spans="2:16" x14ac:dyDescent="0.25">
      <c r="B727" s="412">
        <v>726</v>
      </c>
      <c r="C727" s="1374" t="s">
        <v>928</v>
      </c>
      <c r="D727" s="413" t="s">
        <v>26</v>
      </c>
      <c r="E727" s="413" t="s">
        <v>17</v>
      </c>
      <c r="F727" s="413" t="s">
        <v>11</v>
      </c>
      <c r="G727" s="413" t="s">
        <v>24</v>
      </c>
      <c r="H727" s="413" t="s">
        <v>25</v>
      </c>
      <c r="I727" s="1066" t="s">
        <v>567</v>
      </c>
      <c r="J727" s="414" t="str">
        <f t="shared" si="11"/>
        <v>BTraspaso de Otro BancoIndividualResidencialUsadaApartamentoBG000000500000.01</v>
      </c>
      <c r="K727" s="1047">
        <v>500000.01</v>
      </c>
      <c r="L727" s="1047">
        <v>99999999</v>
      </c>
      <c r="M727" s="1050">
        <v>70</v>
      </c>
      <c r="N727" s="1046">
        <v>30</v>
      </c>
      <c r="O727" s="1053">
        <v>5.75</v>
      </c>
      <c r="P727" s="1050">
        <v>8.56</v>
      </c>
    </row>
    <row r="728" spans="2:16" x14ac:dyDescent="0.25">
      <c r="B728" s="415">
        <v>727</v>
      </c>
      <c r="C728" s="595" t="s">
        <v>928</v>
      </c>
      <c r="D728" s="413" t="s">
        <v>26</v>
      </c>
      <c r="E728" s="413" t="s">
        <v>17</v>
      </c>
      <c r="F728" s="413" t="s">
        <v>11</v>
      </c>
      <c r="G728" s="413" t="s">
        <v>24</v>
      </c>
      <c r="H728" s="413" t="s">
        <v>25</v>
      </c>
      <c r="I728" s="1066" t="s">
        <v>913</v>
      </c>
      <c r="J728" s="414" t="str">
        <f t="shared" si="11"/>
        <v>BTraspaso de Otro BancoIndividualResidencialUsadaApartamentoCOPA000000030000.00</v>
      </c>
      <c r="K728" s="1047">
        <v>30000</v>
      </c>
      <c r="L728" s="1047">
        <v>250000</v>
      </c>
      <c r="M728" s="1050">
        <v>90</v>
      </c>
      <c r="N728" s="1046">
        <v>30</v>
      </c>
      <c r="O728" s="1050">
        <v>6.25</v>
      </c>
      <c r="P728" s="1050">
        <v>8.56</v>
      </c>
    </row>
    <row r="729" spans="2:16" x14ac:dyDescent="0.25">
      <c r="B729" s="415">
        <v>728</v>
      </c>
      <c r="C729" s="595" t="s">
        <v>928</v>
      </c>
      <c r="D729" s="413" t="s">
        <v>26</v>
      </c>
      <c r="E729" s="413" t="s">
        <v>17</v>
      </c>
      <c r="F729" s="413" t="s">
        <v>11</v>
      </c>
      <c r="G729" s="413" t="s">
        <v>24</v>
      </c>
      <c r="H729" s="413" t="s">
        <v>25</v>
      </c>
      <c r="I729" s="1066" t="s">
        <v>913</v>
      </c>
      <c r="J729" s="414" t="str">
        <f t="shared" si="11"/>
        <v>BTraspaso de Otro BancoIndividualResidencialUsadaApartamentoCOPA000000250000.01</v>
      </c>
      <c r="K729" s="1047">
        <v>250000.01</v>
      </c>
      <c r="L729" s="1047">
        <v>500000</v>
      </c>
      <c r="M729" s="1050">
        <v>80</v>
      </c>
      <c r="N729" s="1046">
        <v>30</v>
      </c>
      <c r="O729" s="1050">
        <v>6.25</v>
      </c>
      <c r="P729" s="1050">
        <v>8.56</v>
      </c>
    </row>
    <row r="730" spans="2:16" x14ac:dyDescent="0.25">
      <c r="B730" s="415">
        <v>729</v>
      </c>
      <c r="C730" s="595" t="s">
        <v>928</v>
      </c>
      <c r="D730" s="413" t="s">
        <v>26</v>
      </c>
      <c r="E730" s="413" t="s">
        <v>17</v>
      </c>
      <c r="F730" s="413" t="s">
        <v>11</v>
      </c>
      <c r="G730" s="413" t="s">
        <v>24</v>
      </c>
      <c r="H730" s="413" t="s">
        <v>25</v>
      </c>
      <c r="I730" s="1066" t="s">
        <v>913</v>
      </c>
      <c r="J730" s="414" t="str">
        <f t="shared" si="11"/>
        <v>BTraspaso de Otro BancoIndividualResidencialUsadaApartamentoCOPA000000500000.01</v>
      </c>
      <c r="K730" s="1047">
        <v>500000.01</v>
      </c>
      <c r="L730" s="1047">
        <v>99999999</v>
      </c>
      <c r="M730" s="1050">
        <v>80</v>
      </c>
      <c r="N730" s="1046">
        <v>30</v>
      </c>
      <c r="O730" s="1050">
        <v>6.25</v>
      </c>
      <c r="P730" s="1050">
        <v>8.56</v>
      </c>
    </row>
    <row r="731" spans="2:16" x14ac:dyDescent="0.25">
      <c r="B731" s="415">
        <v>730</v>
      </c>
      <c r="C731" s="595" t="s">
        <v>928</v>
      </c>
      <c r="D731" s="413" t="s">
        <v>26</v>
      </c>
      <c r="E731" s="413" t="s">
        <v>17</v>
      </c>
      <c r="F731" s="413" t="s">
        <v>11</v>
      </c>
      <c r="G731" s="413" t="s">
        <v>24</v>
      </c>
      <c r="H731" s="413" t="s">
        <v>25</v>
      </c>
      <c r="I731" s="1066" t="s">
        <v>173</v>
      </c>
      <c r="J731" s="414" t="str">
        <f t="shared" si="11"/>
        <v>BTraspaso de Otro BancoIndividualResidencialUsadaApartamentoFERIA000000030000.00</v>
      </c>
      <c r="K731" s="1047">
        <v>30000</v>
      </c>
      <c r="L731" s="1047">
        <v>250000</v>
      </c>
      <c r="M731" s="1050">
        <v>90</v>
      </c>
      <c r="N731" s="1046">
        <v>30</v>
      </c>
      <c r="O731" s="1050">
        <v>6.25</v>
      </c>
      <c r="P731" s="1050">
        <v>8.56</v>
      </c>
    </row>
    <row r="732" spans="2:16" x14ac:dyDescent="0.25">
      <c r="B732" s="412">
        <v>731</v>
      </c>
      <c r="C732" s="595" t="s">
        <v>928</v>
      </c>
      <c r="D732" s="413" t="s">
        <v>26</v>
      </c>
      <c r="E732" s="413" t="s">
        <v>17</v>
      </c>
      <c r="F732" s="413" t="s">
        <v>11</v>
      </c>
      <c r="G732" s="413" t="s">
        <v>24</v>
      </c>
      <c r="H732" s="413" t="s">
        <v>25</v>
      </c>
      <c r="I732" s="1066" t="s">
        <v>173</v>
      </c>
      <c r="J732" s="414" t="str">
        <f t="shared" si="11"/>
        <v>BTraspaso de Otro BancoIndividualResidencialUsadaApartamentoFERIA000000250000.01</v>
      </c>
      <c r="K732" s="1047">
        <v>250000.01</v>
      </c>
      <c r="L732" s="1047">
        <v>500000</v>
      </c>
      <c r="M732" s="1050">
        <v>80</v>
      </c>
      <c r="N732" s="1046">
        <v>30</v>
      </c>
      <c r="O732" s="1050">
        <v>6.25</v>
      </c>
      <c r="P732" s="1050">
        <v>8.56</v>
      </c>
    </row>
    <row r="733" spans="2:16" x14ac:dyDescent="0.25">
      <c r="B733" s="415">
        <v>732</v>
      </c>
      <c r="C733" s="595" t="s">
        <v>928</v>
      </c>
      <c r="D733" s="413" t="s">
        <v>26</v>
      </c>
      <c r="E733" s="413" t="s">
        <v>17</v>
      </c>
      <c r="F733" s="413" t="s">
        <v>11</v>
      </c>
      <c r="G733" s="413" t="s">
        <v>24</v>
      </c>
      <c r="H733" s="413" t="s">
        <v>25</v>
      </c>
      <c r="I733" s="1066" t="s">
        <v>173</v>
      </c>
      <c r="J733" s="414" t="str">
        <f t="shared" si="11"/>
        <v>BTraspaso de Otro BancoIndividualResidencialUsadaApartamentoFERIA000000500000.01</v>
      </c>
      <c r="K733" s="1047">
        <v>500000.01</v>
      </c>
      <c r="L733" s="1047">
        <v>99999999</v>
      </c>
      <c r="M733" s="1050">
        <v>80</v>
      </c>
      <c r="N733" s="1046">
        <v>30</v>
      </c>
      <c r="O733" s="1050">
        <v>6.25</v>
      </c>
      <c r="P733" s="1050">
        <v>8.56</v>
      </c>
    </row>
    <row r="734" spans="2:16" x14ac:dyDescent="0.25">
      <c r="B734" s="415">
        <v>733</v>
      </c>
      <c r="C734" s="1374" t="s">
        <v>928</v>
      </c>
      <c r="D734" s="413" t="s">
        <v>26</v>
      </c>
      <c r="E734" s="413" t="s">
        <v>17</v>
      </c>
      <c r="F734" s="413" t="s">
        <v>11</v>
      </c>
      <c r="G734" s="413" t="s">
        <v>24</v>
      </c>
      <c r="H734" s="413" t="s">
        <v>22</v>
      </c>
      <c r="I734" s="1066" t="s">
        <v>567</v>
      </c>
      <c r="J734" s="414" t="str">
        <f t="shared" si="11"/>
        <v>BTraspaso de Otro BancoIndividualResidencialUsadaCasaBG000000030000.00</v>
      </c>
      <c r="K734" s="1047">
        <v>30000</v>
      </c>
      <c r="L734" s="1047">
        <v>250000</v>
      </c>
      <c r="M734" s="1050">
        <v>80</v>
      </c>
      <c r="N734" s="1046">
        <v>30</v>
      </c>
      <c r="O734" s="1053">
        <v>5.75</v>
      </c>
      <c r="P734" s="1050">
        <v>8.56</v>
      </c>
    </row>
    <row r="735" spans="2:16" x14ac:dyDescent="0.25">
      <c r="B735" s="415">
        <v>734</v>
      </c>
      <c r="C735" s="1374" t="s">
        <v>928</v>
      </c>
      <c r="D735" s="413" t="s">
        <v>26</v>
      </c>
      <c r="E735" s="413" t="s">
        <v>17</v>
      </c>
      <c r="F735" s="413" t="s">
        <v>11</v>
      </c>
      <c r="G735" s="413" t="s">
        <v>24</v>
      </c>
      <c r="H735" s="413" t="s">
        <v>22</v>
      </c>
      <c r="I735" s="1066" t="s">
        <v>567</v>
      </c>
      <c r="J735" s="414" t="str">
        <f t="shared" si="11"/>
        <v>BTraspaso de Otro BancoIndividualResidencialUsadaCasaBG000000250000.01</v>
      </c>
      <c r="K735" s="1047">
        <v>250000.01</v>
      </c>
      <c r="L735" s="1047">
        <v>500000</v>
      </c>
      <c r="M735" s="1050">
        <v>80</v>
      </c>
      <c r="N735" s="1046">
        <v>30</v>
      </c>
      <c r="O735" s="1053">
        <v>5.75</v>
      </c>
      <c r="P735" s="1050">
        <v>8.56</v>
      </c>
    </row>
    <row r="736" spans="2:16" x14ac:dyDescent="0.25">
      <c r="B736" s="415">
        <v>735</v>
      </c>
      <c r="C736" s="1374" t="s">
        <v>928</v>
      </c>
      <c r="D736" s="413" t="s">
        <v>26</v>
      </c>
      <c r="E736" s="413" t="s">
        <v>17</v>
      </c>
      <c r="F736" s="413" t="s">
        <v>11</v>
      </c>
      <c r="G736" s="413" t="s">
        <v>24</v>
      </c>
      <c r="H736" s="413" t="s">
        <v>22</v>
      </c>
      <c r="I736" s="1066" t="s">
        <v>567</v>
      </c>
      <c r="J736" s="414" t="str">
        <f t="shared" si="11"/>
        <v>BTraspaso de Otro BancoIndividualResidencialUsadaCasaBG000000500000.01</v>
      </c>
      <c r="K736" s="1047">
        <v>500000.01</v>
      </c>
      <c r="L736" s="1047">
        <v>99999999</v>
      </c>
      <c r="M736" s="1050">
        <v>70</v>
      </c>
      <c r="N736" s="1046">
        <v>30</v>
      </c>
      <c r="O736" s="1053">
        <v>5.75</v>
      </c>
      <c r="P736" s="1050">
        <v>8.56</v>
      </c>
    </row>
    <row r="737" spans="2:16" x14ac:dyDescent="0.25">
      <c r="B737" s="412">
        <v>736</v>
      </c>
      <c r="C737" s="595" t="s">
        <v>928</v>
      </c>
      <c r="D737" s="413" t="s">
        <v>26</v>
      </c>
      <c r="E737" s="413" t="s">
        <v>17</v>
      </c>
      <c r="F737" s="413" t="s">
        <v>11</v>
      </c>
      <c r="G737" s="413" t="s">
        <v>24</v>
      </c>
      <c r="H737" s="413" t="s">
        <v>22</v>
      </c>
      <c r="I737" s="1066" t="s">
        <v>913</v>
      </c>
      <c r="J737" s="414" t="str">
        <f t="shared" si="11"/>
        <v>BTraspaso de Otro BancoIndividualResidencialUsadaCasaCOPA000000030000.00</v>
      </c>
      <c r="K737" s="1047">
        <v>30000</v>
      </c>
      <c r="L737" s="1047">
        <v>250000</v>
      </c>
      <c r="M737" s="1050">
        <v>80</v>
      </c>
      <c r="N737" s="1046">
        <v>30</v>
      </c>
      <c r="O737" s="1050">
        <v>6.25</v>
      </c>
      <c r="P737" s="1050">
        <v>8.56</v>
      </c>
    </row>
    <row r="738" spans="2:16" x14ac:dyDescent="0.25">
      <c r="B738" s="415">
        <v>737</v>
      </c>
      <c r="C738" s="595" t="s">
        <v>928</v>
      </c>
      <c r="D738" s="413" t="s">
        <v>26</v>
      </c>
      <c r="E738" s="413" t="s">
        <v>17</v>
      </c>
      <c r="F738" s="413" t="s">
        <v>11</v>
      </c>
      <c r="G738" s="413" t="s">
        <v>24</v>
      </c>
      <c r="H738" s="413" t="s">
        <v>22</v>
      </c>
      <c r="I738" s="1066" t="s">
        <v>913</v>
      </c>
      <c r="J738" s="414" t="str">
        <f t="shared" si="11"/>
        <v>BTraspaso de Otro BancoIndividualResidencialUsadaCasaCOPA000000250000.01</v>
      </c>
      <c r="K738" s="1047">
        <v>250000.01</v>
      </c>
      <c r="L738" s="1047">
        <v>500000</v>
      </c>
      <c r="M738" s="1050">
        <v>80</v>
      </c>
      <c r="N738" s="1046">
        <v>30</v>
      </c>
      <c r="O738" s="1050">
        <v>6.25</v>
      </c>
      <c r="P738" s="1050">
        <v>8.56</v>
      </c>
    </row>
    <row r="739" spans="2:16" x14ac:dyDescent="0.25">
      <c r="B739" s="415">
        <v>738</v>
      </c>
      <c r="C739" s="595" t="s">
        <v>928</v>
      </c>
      <c r="D739" s="413" t="s">
        <v>26</v>
      </c>
      <c r="E739" s="413" t="s">
        <v>17</v>
      </c>
      <c r="F739" s="413" t="s">
        <v>11</v>
      </c>
      <c r="G739" s="413" t="s">
        <v>24</v>
      </c>
      <c r="H739" s="413" t="s">
        <v>22</v>
      </c>
      <c r="I739" s="1066" t="s">
        <v>913</v>
      </c>
      <c r="J739" s="414" t="str">
        <f t="shared" si="11"/>
        <v>BTraspaso de Otro BancoIndividualResidencialUsadaCasaCOPA000000500000.01</v>
      </c>
      <c r="K739" s="1047">
        <v>500000.01</v>
      </c>
      <c r="L739" s="1047">
        <v>99999999</v>
      </c>
      <c r="M739" s="1050">
        <v>80</v>
      </c>
      <c r="N739" s="1046">
        <v>30</v>
      </c>
      <c r="O739" s="1050">
        <v>6.25</v>
      </c>
      <c r="P739" s="1050">
        <v>8.56</v>
      </c>
    </row>
    <row r="740" spans="2:16" x14ac:dyDescent="0.25">
      <c r="B740" s="415">
        <v>739</v>
      </c>
      <c r="C740" s="595" t="s">
        <v>928</v>
      </c>
      <c r="D740" s="413" t="s">
        <v>26</v>
      </c>
      <c r="E740" s="413" t="s">
        <v>17</v>
      </c>
      <c r="F740" s="413" t="s">
        <v>11</v>
      </c>
      <c r="G740" s="413" t="s">
        <v>24</v>
      </c>
      <c r="H740" s="413" t="s">
        <v>22</v>
      </c>
      <c r="I740" s="1066" t="s">
        <v>173</v>
      </c>
      <c r="J740" s="414" t="str">
        <f t="shared" si="11"/>
        <v>BTraspaso de Otro BancoIndividualResidencialUsadaCasaFERIA000000030000.00</v>
      </c>
      <c r="K740" s="1047">
        <v>30000</v>
      </c>
      <c r="L740" s="1047">
        <v>250000</v>
      </c>
      <c r="M740" s="1050">
        <v>80</v>
      </c>
      <c r="N740" s="1046">
        <v>30</v>
      </c>
      <c r="O740" s="1050">
        <v>6.25</v>
      </c>
      <c r="P740" s="1050">
        <v>8.56</v>
      </c>
    </row>
    <row r="741" spans="2:16" x14ac:dyDescent="0.25">
      <c r="B741" s="415">
        <v>740</v>
      </c>
      <c r="C741" s="595" t="s">
        <v>928</v>
      </c>
      <c r="D741" s="413" t="s">
        <v>26</v>
      </c>
      <c r="E741" s="413" t="s">
        <v>17</v>
      </c>
      <c r="F741" s="413" t="s">
        <v>11</v>
      </c>
      <c r="G741" s="413" t="s">
        <v>24</v>
      </c>
      <c r="H741" s="413" t="s">
        <v>22</v>
      </c>
      <c r="I741" s="1066" t="s">
        <v>173</v>
      </c>
      <c r="J741" s="414" t="str">
        <f t="shared" si="11"/>
        <v>BTraspaso de Otro BancoIndividualResidencialUsadaCasaFERIA000000250000.01</v>
      </c>
      <c r="K741" s="1047">
        <v>250000.01</v>
      </c>
      <c r="L741" s="1047">
        <v>500000</v>
      </c>
      <c r="M741" s="1050">
        <v>80</v>
      </c>
      <c r="N741" s="1046">
        <v>30</v>
      </c>
      <c r="O741" s="1050">
        <v>6.25</v>
      </c>
      <c r="P741" s="1050">
        <v>8.56</v>
      </c>
    </row>
    <row r="742" spans="2:16" x14ac:dyDescent="0.25">
      <c r="B742" s="412">
        <v>741</v>
      </c>
      <c r="C742" s="595" t="s">
        <v>928</v>
      </c>
      <c r="D742" s="413" t="s">
        <v>26</v>
      </c>
      <c r="E742" s="413" t="s">
        <v>17</v>
      </c>
      <c r="F742" s="413" t="s">
        <v>11</v>
      </c>
      <c r="G742" s="413" t="s">
        <v>24</v>
      </c>
      <c r="H742" s="413" t="s">
        <v>22</v>
      </c>
      <c r="I742" s="1066" t="s">
        <v>173</v>
      </c>
      <c r="J742" s="414" t="str">
        <f t="shared" si="11"/>
        <v>BTraspaso de Otro BancoIndividualResidencialUsadaCasaFERIA000000500000.01</v>
      </c>
      <c r="K742" s="1047">
        <v>500000.01</v>
      </c>
      <c r="L742" s="1047">
        <v>99999999</v>
      </c>
      <c r="M742" s="1050">
        <v>80</v>
      </c>
      <c r="N742" s="1046">
        <v>30</v>
      </c>
      <c r="O742" s="1050">
        <v>6.25</v>
      </c>
      <c r="P742" s="1050">
        <v>8.56</v>
      </c>
    </row>
    <row r="743" spans="2:16" x14ac:dyDescent="0.25">
      <c r="B743" s="415">
        <v>742</v>
      </c>
      <c r="C743" s="595" t="s">
        <v>929</v>
      </c>
      <c r="D743" s="413" t="s">
        <v>8</v>
      </c>
      <c r="E743" s="413" t="s">
        <v>762</v>
      </c>
      <c r="F743" s="413" t="s">
        <v>11</v>
      </c>
      <c r="G743" s="413" t="s">
        <v>21</v>
      </c>
      <c r="H743" s="413" t="s">
        <v>25</v>
      </c>
      <c r="I743" s="1066" t="s">
        <v>567</v>
      </c>
      <c r="J743" s="414" t="str">
        <f t="shared" si="11"/>
        <v>CCompra de ViviendaCasco AntiguoResidencialNuevaApartamentoBG000000030000.00</v>
      </c>
      <c r="K743" s="1047">
        <v>30000</v>
      </c>
      <c r="L743" s="1047">
        <v>99999999</v>
      </c>
      <c r="M743" s="1050">
        <v>70</v>
      </c>
      <c r="N743" s="1046">
        <v>25</v>
      </c>
      <c r="O743" s="1050">
        <v>3.5</v>
      </c>
      <c r="P743" s="1050">
        <v>8.56</v>
      </c>
    </row>
    <row r="744" spans="2:16" x14ac:dyDescent="0.25">
      <c r="B744" s="415">
        <v>743</v>
      </c>
      <c r="C744" s="595" t="s">
        <v>929</v>
      </c>
      <c r="D744" s="413" t="s">
        <v>8</v>
      </c>
      <c r="E744" s="413" t="s">
        <v>762</v>
      </c>
      <c r="F744" s="413" t="s">
        <v>11</v>
      </c>
      <c r="G744" s="413" t="s">
        <v>21</v>
      </c>
      <c r="H744" s="413" t="s">
        <v>25</v>
      </c>
      <c r="I744" s="1066" t="s">
        <v>913</v>
      </c>
      <c r="J744" s="414" t="str">
        <f t="shared" si="11"/>
        <v>CCompra de ViviendaCasco AntiguoResidencialNuevaApartamentoCOPA000000030000.00</v>
      </c>
      <c r="K744" s="1047">
        <v>30000</v>
      </c>
      <c r="L744" s="1047">
        <v>99999999</v>
      </c>
      <c r="M744" s="1050">
        <v>70</v>
      </c>
      <c r="N744" s="1046">
        <v>25</v>
      </c>
      <c r="O744" s="1050">
        <v>3.25</v>
      </c>
      <c r="P744" s="1050">
        <v>8.56</v>
      </c>
    </row>
    <row r="745" spans="2:16" x14ac:dyDescent="0.25">
      <c r="B745" s="415">
        <v>744</v>
      </c>
      <c r="C745" s="595" t="s">
        <v>929</v>
      </c>
      <c r="D745" s="413" t="s">
        <v>8</v>
      </c>
      <c r="E745" s="413" t="s">
        <v>762</v>
      </c>
      <c r="F745" s="413" t="s">
        <v>11</v>
      </c>
      <c r="G745" s="413" t="s">
        <v>21</v>
      </c>
      <c r="H745" s="413" t="s">
        <v>25</v>
      </c>
      <c r="I745" s="1066" t="s">
        <v>173</v>
      </c>
      <c r="J745" s="414" t="str">
        <f t="shared" si="11"/>
        <v>CCompra de ViviendaCasco AntiguoResidencialNuevaApartamentoFERIA000000030000.00</v>
      </c>
      <c r="K745" s="1047">
        <v>30000</v>
      </c>
      <c r="L745" s="1047">
        <v>99999999</v>
      </c>
      <c r="M745" s="1050">
        <v>70</v>
      </c>
      <c r="N745" s="1046">
        <v>25</v>
      </c>
      <c r="O745" s="1050">
        <v>3.5</v>
      </c>
      <c r="P745" s="1050">
        <v>4.28</v>
      </c>
    </row>
    <row r="746" spans="2:16" x14ac:dyDescent="0.25">
      <c r="B746" s="415">
        <v>745</v>
      </c>
      <c r="C746" s="595" t="s">
        <v>929</v>
      </c>
      <c r="D746" s="413" t="s">
        <v>8</v>
      </c>
      <c r="E746" s="413" t="s">
        <v>762</v>
      </c>
      <c r="F746" s="413" t="s">
        <v>11</v>
      </c>
      <c r="G746" s="413" t="s">
        <v>21</v>
      </c>
      <c r="H746" s="413" t="s">
        <v>22</v>
      </c>
      <c r="I746" s="1066" t="s">
        <v>567</v>
      </c>
      <c r="J746" s="414" t="str">
        <f t="shared" si="11"/>
        <v>CCompra de ViviendaCasco AntiguoResidencialNuevaCasaBG000000030000.00</v>
      </c>
      <c r="K746" s="1047">
        <v>30000</v>
      </c>
      <c r="L746" s="1047">
        <v>99999999</v>
      </c>
      <c r="M746" s="1050">
        <v>70</v>
      </c>
      <c r="N746" s="1046">
        <v>25</v>
      </c>
      <c r="O746" s="1050">
        <v>3.5</v>
      </c>
      <c r="P746" s="1050">
        <v>8.56</v>
      </c>
    </row>
    <row r="747" spans="2:16" x14ac:dyDescent="0.25">
      <c r="B747" s="412">
        <v>746</v>
      </c>
      <c r="C747" s="595" t="s">
        <v>929</v>
      </c>
      <c r="D747" s="413" t="s">
        <v>8</v>
      </c>
      <c r="E747" s="413" t="s">
        <v>762</v>
      </c>
      <c r="F747" s="413" t="s">
        <v>11</v>
      </c>
      <c r="G747" s="413" t="s">
        <v>21</v>
      </c>
      <c r="H747" s="413" t="s">
        <v>22</v>
      </c>
      <c r="I747" s="1066" t="s">
        <v>913</v>
      </c>
      <c r="J747" s="414" t="str">
        <f t="shared" si="11"/>
        <v>CCompra de ViviendaCasco AntiguoResidencialNuevaCasaCOPA000000030000.00</v>
      </c>
      <c r="K747" s="1047">
        <v>30000</v>
      </c>
      <c r="L747" s="1047">
        <v>99999999</v>
      </c>
      <c r="M747" s="1050">
        <v>70</v>
      </c>
      <c r="N747" s="1046">
        <v>25</v>
      </c>
      <c r="O747" s="1050">
        <v>3.25</v>
      </c>
      <c r="P747" s="1050">
        <v>8.56</v>
      </c>
    </row>
    <row r="748" spans="2:16" x14ac:dyDescent="0.25">
      <c r="B748" s="415">
        <v>747</v>
      </c>
      <c r="C748" s="595" t="s">
        <v>929</v>
      </c>
      <c r="D748" s="413" t="s">
        <v>8</v>
      </c>
      <c r="E748" s="413" t="s">
        <v>762</v>
      </c>
      <c r="F748" s="413" t="s">
        <v>11</v>
      </c>
      <c r="G748" s="413" t="s">
        <v>21</v>
      </c>
      <c r="H748" s="413" t="s">
        <v>22</v>
      </c>
      <c r="I748" s="1066" t="s">
        <v>173</v>
      </c>
      <c r="J748" s="414" t="str">
        <f t="shared" si="11"/>
        <v>CCompra de ViviendaCasco AntiguoResidencialNuevaCasaFERIA000000030000.00</v>
      </c>
      <c r="K748" s="1047">
        <v>30000</v>
      </c>
      <c r="L748" s="1047">
        <v>99999999</v>
      </c>
      <c r="M748" s="1050">
        <v>70</v>
      </c>
      <c r="N748" s="1046">
        <v>25</v>
      </c>
      <c r="O748" s="1050">
        <v>3.5</v>
      </c>
      <c r="P748" s="1050">
        <v>4.28</v>
      </c>
    </row>
    <row r="749" spans="2:16" x14ac:dyDescent="0.25">
      <c r="B749" s="415">
        <v>748</v>
      </c>
      <c r="C749" s="595" t="s">
        <v>929</v>
      </c>
      <c r="D749" s="413" t="s">
        <v>8</v>
      </c>
      <c r="E749" s="413" t="s">
        <v>762</v>
      </c>
      <c r="F749" s="413" t="s">
        <v>11</v>
      </c>
      <c r="G749" s="413" t="s">
        <v>24</v>
      </c>
      <c r="H749" s="413" t="s">
        <v>25</v>
      </c>
      <c r="I749" s="1066" t="s">
        <v>567</v>
      </c>
      <c r="J749" s="414" t="str">
        <f t="shared" si="11"/>
        <v>CCompra de ViviendaCasco AntiguoResidencialUsadaApartamentoBG000000030000.00</v>
      </c>
      <c r="K749" s="1047">
        <v>30000</v>
      </c>
      <c r="L749" s="1047">
        <v>99999999</v>
      </c>
      <c r="M749" s="1050">
        <v>70</v>
      </c>
      <c r="N749" s="1046">
        <v>25</v>
      </c>
      <c r="O749" s="1050">
        <v>3.5</v>
      </c>
      <c r="P749" s="1050">
        <v>8.56</v>
      </c>
    </row>
    <row r="750" spans="2:16" x14ac:dyDescent="0.25">
      <c r="B750" s="415">
        <v>749</v>
      </c>
      <c r="C750" s="595" t="s">
        <v>929</v>
      </c>
      <c r="D750" s="413" t="s">
        <v>8</v>
      </c>
      <c r="E750" s="413" t="s">
        <v>762</v>
      </c>
      <c r="F750" s="413" t="s">
        <v>11</v>
      </c>
      <c r="G750" s="413" t="s">
        <v>24</v>
      </c>
      <c r="H750" s="413" t="s">
        <v>25</v>
      </c>
      <c r="I750" s="1066" t="s">
        <v>913</v>
      </c>
      <c r="J750" s="414" t="str">
        <f t="shared" si="11"/>
        <v>CCompra de ViviendaCasco AntiguoResidencialUsadaApartamentoCOPA000000030000.00</v>
      </c>
      <c r="K750" s="1047">
        <v>30000</v>
      </c>
      <c r="L750" s="1047">
        <v>99999999</v>
      </c>
      <c r="M750" s="1050">
        <v>70</v>
      </c>
      <c r="N750" s="1046">
        <v>25</v>
      </c>
      <c r="O750" s="1050">
        <v>3.25</v>
      </c>
      <c r="P750" s="1050">
        <v>8.56</v>
      </c>
    </row>
    <row r="751" spans="2:16" x14ac:dyDescent="0.25">
      <c r="B751" s="415">
        <v>750</v>
      </c>
      <c r="C751" s="595" t="s">
        <v>929</v>
      </c>
      <c r="D751" s="413" t="s">
        <v>8</v>
      </c>
      <c r="E751" s="413" t="s">
        <v>762</v>
      </c>
      <c r="F751" s="413" t="s">
        <v>11</v>
      </c>
      <c r="G751" s="413" t="s">
        <v>24</v>
      </c>
      <c r="H751" s="413" t="s">
        <v>25</v>
      </c>
      <c r="I751" s="1066" t="s">
        <v>173</v>
      </c>
      <c r="J751" s="414" t="str">
        <f t="shared" si="11"/>
        <v>CCompra de ViviendaCasco AntiguoResidencialUsadaApartamentoFERIA000000030000.00</v>
      </c>
      <c r="K751" s="1047">
        <v>30000</v>
      </c>
      <c r="L751" s="1047">
        <v>99999999</v>
      </c>
      <c r="M751" s="1050">
        <v>70</v>
      </c>
      <c r="N751" s="1046">
        <v>25</v>
      </c>
      <c r="O751" s="1050">
        <v>3.5</v>
      </c>
      <c r="P751" s="1050">
        <v>4.28</v>
      </c>
    </row>
    <row r="752" spans="2:16" x14ac:dyDescent="0.25">
      <c r="B752" s="412">
        <v>751</v>
      </c>
      <c r="C752" s="595" t="s">
        <v>929</v>
      </c>
      <c r="D752" s="413" t="s">
        <v>8</v>
      </c>
      <c r="E752" s="413" t="s">
        <v>762</v>
      </c>
      <c r="F752" s="413" t="s">
        <v>11</v>
      </c>
      <c r="G752" s="413" t="s">
        <v>24</v>
      </c>
      <c r="H752" s="413" t="s">
        <v>22</v>
      </c>
      <c r="I752" s="1066" t="s">
        <v>567</v>
      </c>
      <c r="J752" s="414" t="str">
        <f t="shared" si="11"/>
        <v>CCompra de ViviendaCasco AntiguoResidencialUsadaCasaBG000000030000.00</v>
      </c>
      <c r="K752" s="1047">
        <v>30000</v>
      </c>
      <c r="L752" s="1047">
        <v>99999999</v>
      </c>
      <c r="M752" s="1050">
        <v>70</v>
      </c>
      <c r="N752" s="1046">
        <v>25</v>
      </c>
      <c r="O752" s="1050">
        <v>3.5</v>
      </c>
      <c r="P752" s="1050">
        <v>8.56</v>
      </c>
    </row>
    <row r="753" spans="2:16" x14ac:dyDescent="0.25">
      <c r="B753" s="415">
        <v>752</v>
      </c>
      <c r="C753" s="595" t="s">
        <v>929</v>
      </c>
      <c r="D753" s="413" t="s">
        <v>8</v>
      </c>
      <c r="E753" s="413" t="s">
        <v>762</v>
      </c>
      <c r="F753" s="413" t="s">
        <v>11</v>
      </c>
      <c r="G753" s="413" t="s">
        <v>24</v>
      </c>
      <c r="H753" s="413" t="s">
        <v>22</v>
      </c>
      <c r="I753" s="1066" t="s">
        <v>913</v>
      </c>
      <c r="J753" s="414" t="str">
        <f t="shared" si="11"/>
        <v>CCompra de ViviendaCasco AntiguoResidencialUsadaCasaCOPA000000030000.00</v>
      </c>
      <c r="K753" s="1047">
        <v>30000</v>
      </c>
      <c r="L753" s="1047">
        <v>99999999</v>
      </c>
      <c r="M753" s="1050">
        <v>70</v>
      </c>
      <c r="N753" s="1046">
        <v>25</v>
      </c>
      <c r="O753" s="1050">
        <v>3.25</v>
      </c>
      <c r="P753" s="1050">
        <v>8.56</v>
      </c>
    </row>
    <row r="754" spans="2:16" x14ac:dyDescent="0.25">
      <c r="B754" s="415">
        <v>753</v>
      </c>
      <c r="C754" s="595" t="s">
        <v>929</v>
      </c>
      <c r="D754" s="413" t="s">
        <v>8</v>
      </c>
      <c r="E754" s="413" t="s">
        <v>762</v>
      </c>
      <c r="F754" s="413" t="s">
        <v>11</v>
      </c>
      <c r="G754" s="413" t="s">
        <v>24</v>
      </c>
      <c r="H754" s="413" t="s">
        <v>22</v>
      </c>
      <c r="I754" s="1066" t="s">
        <v>173</v>
      </c>
      <c r="J754" s="414" t="str">
        <f t="shared" si="11"/>
        <v>CCompra de ViviendaCasco AntiguoResidencialUsadaCasaFERIA000000030000.00</v>
      </c>
      <c r="K754" s="1047">
        <v>30000</v>
      </c>
      <c r="L754" s="1047">
        <v>99999999</v>
      </c>
      <c r="M754" s="1050">
        <v>70</v>
      </c>
      <c r="N754" s="1046">
        <v>25</v>
      </c>
      <c r="O754" s="1050">
        <v>3.5</v>
      </c>
      <c r="P754" s="1050">
        <v>4.28</v>
      </c>
    </row>
    <row r="755" spans="2:16" x14ac:dyDescent="0.25">
      <c r="B755" s="415">
        <v>754</v>
      </c>
      <c r="C755" s="1374" t="s">
        <v>929</v>
      </c>
      <c r="D755" s="413" t="s">
        <v>8</v>
      </c>
      <c r="E755" s="413" t="s">
        <v>17</v>
      </c>
      <c r="F755" s="413" t="s">
        <v>18</v>
      </c>
      <c r="G755" s="413" t="s">
        <v>24</v>
      </c>
      <c r="H755" s="413" t="s">
        <v>25</v>
      </c>
      <c r="I755" s="1066" t="s">
        <v>567</v>
      </c>
      <c r="J755" s="414" t="str">
        <f t="shared" si="11"/>
        <v>CCompra de ViviendaIndividualReposeídoUsadaApartamentoBG000000030000.00</v>
      </c>
      <c r="K755" s="1047">
        <v>30000</v>
      </c>
      <c r="L755" s="1047">
        <v>250000</v>
      </c>
      <c r="M755" s="1050">
        <v>70</v>
      </c>
      <c r="N755" s="1046">
        <v>30</v>
      </c>
      <c r="O755" s="1050">
        <v>7</v>
      </c>
      <c r="P755" s="1050">
        <v>8.56</v>
      </c>
    </row>
    <row r="756" spans="2:16" x14ac:dyDescent="0.25">
      <c r="B756" s="415">
        <v>755</v>
      </c>
      <c r="C756" s="1374" t="s">
        <v>929</v>
      </c>
      <c r="D756" s="413" t="s">
        <v>8</v>
      </c>
      <c r="E756" s="413" t="s">
        <v>17</v>
      </c>
      <c r="F756" s="413" t="s">
        <v>18</v>
      </c>
      <c r="G756" s="413" t="s">
        <v>24</v>
      </c>
      <c r="H756" s="413" t="s">
        <v>25</v>
      </c>
      <c r="I756" s="1066" t="s">
        <v>567</v>
      </c>
      <c r="J756" s="414" t="str">
        <f t="shared" si="11"/>
        <v>CCompra de ViviendaIndividualReposeídoUsadaApartamentoBG000000250000.01</v>
      </c>
      <c r="K756" s="1047">
        <v>250000.01</v>
      </c>
      <c r="L756" s="1047">
        <v>500000</v>
      </c>
      <c r="M756" s="1050">
        <v>60</v>
      </c>
      <c r="N756" s="1046">
        <v>30</v>
      </c>
      <c r="O756" s="1050">
        <v>7</v>
      </c>
      <c r="P756" s="1050">
        <v>8.56</v>
      </c>
    </row>
    <row r="757" spans="2:16" x14ac:dyDescent="0.25">
      <c r="B757" s="412">
        <v>756</v>
      </c>
      <c r="C757" s="1374" t="s">
        <v>929</v>
      </c>
      <c r="D757" s="413" t="s">
        <v>8</v>
      </c>
      <c r="E757" s="413" t="s">
        <v>17</v>
      </c>
      <c r="F757" s="413" t="s">
        <v>18</v>
      </c>
      <c r="G757" s="413" t="s">
        <v>24</v>
      </c>
      <c r="H757" s="413" t="s">
        <v>25</v>
      </c>
      <c r="I757" s="1066" t="s">
        <v>567</v>
      </c>
      <c r="J757" s="414" t="str">
        <f t="shared" si="11"/>
        <v>CCompra de ViviendaIndividualReposeídoUsadaApartamentoBG000000500000.01</v>
      </c>
      <c r="K757" s="1047">
        <v>500000.01</v>
      </c>
      <c r="L757" s="1047">
        <v>99999999</v>
      </c>
      <c r="M757" s="1050">
        <v>50</v>
      </c>
      <c r="N757" s="1046">
        <v>30</v>
      </c>
      <c r="O757" s="1050">
        <v>7</v>
      </c>
      <c r="P757" s="1050">
        <v>8.56</v>
      </c>
    </row>
    <row r="758" spans="2:16" x14ac:dyDescent="0.25">
      <c r="B758" s="415">
        <v>757</v>
      </c>
      <c r="C758" s="595" t="s">
        <v>929</v>
      </c>
      <c r="D758" s="413" t="s">
        <v>8</v>
      </c>
      <c r="E758" s="413" t="s">
        <v>17</v>
      </c>
      <c r="F758" s="413" t="s">
        <v>18</v>
      </c>
      <c r="G758" s="413" t="s">
        <v>24</v>
      </c>
      <c r="H758" s="413" t="s">
        <v>25</v>
      </c>
      <c r="I758" s="1066" t="s">
        <v>913</v>
      </c>
      <c r="J758" s="414" t="str">
        <f t="shared" si="11"/>
        <v>CCompra de ViviendaIndividualReposeídoUsadaApartamentoCOPA000000030000.00</v>
      </c>
      <c r="K758" s="1047">
        <v>30000</v>
      </c>
      <c r="L758" s="1047">
        <v>250000</v>
      </c>
      <c r="M758" s="1050">
        <v>70</v>
      </c>
      <c r="N758" s="1046">
        <v>25</v>
      </c>
      <c r="O758" s="1050">
        <v>6.75</v>
      </c>
      <c r="P758" s="1050">
        <v>8.56</v>
      </c>
    </row>
    <row r="759" spans="2:16" x14ac:dyDescent="0.25">
      <c r="B759" s="415">
        <v>758</v>
      </c>
      <c r="C759" s="595" t="s">
        <v>929</v>
      </c>
      <c r="D759" s="413" t="s">
        <v>8</v>
      </c>
      <c r="E759" s="413" t="s">
        <v>17</v>
      </c>
      <c r="F759" s="413" t="s">
        <v>18</v>
      </c>
      <c r="G759" s="413" t="s">
        <v>24</v>
      </c>
      <c r="H759" s="413" t="s">
        <v>25</v>
      </c>
      <c r="I759" s="1066" t="s">
        <v>913</v>
      </c>
      <c r="J759" s="414" t="str">
        <f t="shared" si="11"/>
        <v>CCompra de ViviendaIndividualReposeídoUsadaApartamentoCOPA000000250000.01</v>
      </c>
      <c r="K759" s="1047">
        <v>250000.01</v>
      </c>
      <c r="L759" s="1047">
        <v>500000</v>
      </c>
      <c r="M759" s="1050">
        <v>70</v>
      </c>
      <c r="N759" s="1046">
        <v>25</v>
      </c>
      <c r="O759" s="1050">
        <v>6.75</v>
      </c>
      <c r="P759" s="1050">
        <v>8.56</v>
      </c>
    </row>
    <row r="760" spans="2:16" x14ac:dyDescent="0.25">
      <c r="B760" s="415">
        <v>759</v>
      </c>
      <c r="C760" s="595" t="s">
        <v>929</v>
      </c>
      <c r="D760" s="413" t="s">
        <v>8</v>
      </c>
      <c r="E760" s="413" t="s">
        <v>17</v>
      </c>
      <c r="F760" s="413" t="s">
        <v>18</v>
      </c>
      <c r="G760" s="413" t="s">
        <v>24</v>
      </c>
      <c r="H760" s="413" t="s">
        <v>25</v>
      </c>
      <c r="I760" s="1066" t="s">
        <v>913</v>
      </c>
      <c r="J760" s="414" t="str">
        <f t="shared" si="11"/>
        <v>CCompra de ViviendaIndividualReposeídoUsadaApartamentoCOPA000000500000.01</v>
      </c>
      <c r="K760" s="1047">
        <v>500000.01</v>
      </c>
      <c r="L760" s="1047">
        <v>99999999</v>
      </c>
      <c r="M760" s="1050">
        <v>70</v>
      </c>
      <c r="N760" s="1046">
        <v>25</v>
      </c>
      <c r="O760" s="1050">
        <v>6.75</v>
      </c>
      <c r="P760" s="1050">
        <v>8.56</v>
      </c>
    </row>
    <row r="761" spans="2:16" x14ac:dyDescent="0.25">
      <c r="B761" s="415">
        <v>760</v>
      </c>
      <c r="C761" s="595" t="s">
        <v>929</v>
      </c>
      <c r="D761" s="413" t="s">
        <v>8</v>
      </c>
      <c r="E761" s="413" t="s">
        <v>17</v>
      </c>
      <c r="F761" s="413" t="s">
        <v>18</v>
      </c>
      <c r="G761" s="413" t="s">
        <v>24</v>
      </c>
      <c r="H761" s="413" t="s">
        <v>25</v>
      </c>
      <c r="I761" s="1066" t="s">
        <v>173</v>
      </c>
      <c r="J761" s="414" t="str">
        <f t="shared" si="11"/>
        <v>CCompra de ViviendaIndividualReposeídoUsadaApartamentoFERIA000000030000.00</v>
      </c>
      <c r="K761" s="1047">
        <v>30000</v>
      </c>
      <c r="L761" s="1047">
        <v>250000</v>
      </c>
      <c r="M761" s="1050">
        <v>70</v>
      </c>
      <c r="N761" s="1046">
        <v>25</v>
      </c>
      <c r="O761" s="1050">
        <v>6.75</v>
      </c>
      <c r="P761" s="1050">
        <v>8.56</v>
      </c>
    </row>
    <row r="762" spans="2:16" x14ac:dyDescent="0.25">
      <c r="B762" s="412">
        <v>761</v>
      </c>
      <c r="C762" s="595" t="s">
        <v>929</v>
      </c>
      <c r="D762" s="413" t="s">
        <v>8</v>
      </c>
      <c r="E762" s="413" t="s">
        <v>17</v>
      </c>
      <c r="F762" s="413" t="s">
        <v>18</v>
      </c>
      <c r="G762" s="413" t="s">
        <v>24</v>
      </c>
      <c r="H762" s="413" t="s">
        <v>25</v>
      </c>
      <c r="I762" s="1066" t="s">
        <v>173</v>
      </c>
      <c r="J762" s="414" t="str">
        <f t="shared" si="11"/>
        <v>CCompra de ViviendaIndividualReposeídoUsadaApartamentoFERIA000000250000.01</v>
      </c>
      <c r="K762" s="1047">
        <v>250000.01</v>
      </c>
      <c r="L762" s="1047">
        <v>500000</v>
      </c>
      <c r="M762" s="1050">
        <v>70</v>
      </c>
      <c r="N762" s="1046">
        <v>25</v>
      </c>
      <c r="O762" s="1050">
        <v>6.75</v>
      </c>
      <c r="P762" s="1050">
        <v>8.56</v>
      </c>
    </row>
    <row r="763" spans="2:16" x14ac:dyDescent="0.25">
      <c r="B763" s="415">
        <v>762</v>
      </c>
      <c r="C763" s="595" t="s">
        <v>929</v>
      </c>
      <c r="D763" s="413" t="s">
        <v>8</v>
      </c>
      <c r="E763" s="413" t="s">
        <v>17</v>
      </c>
      <c r="F763" s="413" t="s">
        <v>18</v>
      </c>
      <c r="G763" s="413" t="s">
        <v>24</v>
      </c>
      <c r="H763" s="413" t="s">
        <v>25</v>
      </c>
      <c r="I763" s="1066" t="s">
        <v>173</v>
      </c>
      <c r="J763" s="414" t="str">
        <f t="shared" si="11"/>
        <v>CCompra de ViviendaIndividualReposeídoUsadaApartamentoFERIA000000500000.01</v>
      </c>
      <c r="K763" s="1047">
        <v>500000.01</v>
      </c>
      <c r="L763" s="1047">
        <v>99999999</v>
      </c>
      <c r="M763" s="1050">
        <v>70</v>
      </c>
      <c r="N763" s="1046">
        <v>25</v>
      </c>
      <c r="O763" s="1050">
        <v>6.75</v>
      </c>
      <c r="P763" s="1050">
        <v>8.56</v>
      </c>
    </row>
    <row r="764" spans="2:16" x14ac:dyDescent="0.25">
      <c r="B764" s="415">
        <v>763</v>
      </c>
      <c r="C764" s="1374" t="s">
        <v>929</v>
      </c>
      <c r="D764" s="413" t="s">
        <v>8</v>
      </c>
      <c r="E764" s="413" t="s">
        <v>17</v>
      </c>
      <c r="F764" s="413" t="s">
        <v>18</v>
      </c>
      <c r="G764" s="413" t="s">
        <v>24</v>
      </c>
      <c r="H764" s="413" t="s">
        <v>22</v>
      </c>
      <c r="I764" s="1066" t="s">
        <v>567</v>
      </c>
      <c r="J764" s="414" t="str">
        <f t="shared" si="11"/>
        <v>CCompra de ViviendaIndividualReposeídoUsadaCasaBG000000030000.00</v>
      </c>
      <c r="K764" s="1047">
        <v>30000</v>
      </c>
      <c r="L764" s="1047">
        <v>250000</v>
      </c>
      <c r="M764" s="1050">
        <v>70</v>
      </c>
      <c r="N764" s="1046">
        <v>30</v>
      </c>
      <c r="O764" s="1050">
        <v>7</v>
      </c>
      <c r="P764" s="1050">
        <v>8.56</v>
      </c>
    </row>
    <row r="765" spans="2:16" x14ac:dyDescent="0.25">
      <c r="B765" s="415">
        <v>764</v>
      </c>
      <c r="C765" s="1374" t="s">
        <v>929</v>
      </c>
      <c r="D765" s="413" t="s">
        <v>8</v>
      </c>
      <c r="E765" s="413" t="s">
        <v>17</v>
      </c>
      <c r="F765" s="413" t="s">
        <v>18</v>
      </c>
      <c r="G765" s="413" t="s">
        <v>24</v>
      </c>
      <c r="H765" s="413" t="s">
        <v>22</v>
      </c>
      <c r="I765" s="1066" t="s">
        <v>567</v>
      </c>
      <c r="J765" s="414" t="str">
        <f t="shared" si="11"/>
        <v>CCompra de ViviendaIndividualReposeídoUsadaCasaBG000000250000.01</v>
      </c>
      <c r="K765" s="1047">
        <v>250000.01</v>
      </c>
      <c r="L765" s="1047">
        <v>500000</v>
      </c>
      <c r="M765" s="1050">
        <v>60</v>
      </c>
      <c r="N765" s="1046">
        <v>30</v>
      </c>
      <c r="O765" s="1050">
        <v>7</v>
      </c>
      <c r="P765" s="1050">
        <v>8.56</v>
      </c>
    </row>
    <row r="766" spans="2:16" x14ac:dyDescent="0.25">
      <c r="B766" s="415">
        <v>765</v>
      </c>
      <c r="C766" s="1374" t="s">
        <v>929</v>
      </c>
      <c r="D766" s="413" t="s">
        <v>8</v>
      </c>
      <c r="E766" s="413" t="s">
        <v>17</v>
      </c>
      <c r="F766" s="413" t="s">
        <v>18</v>
      </c>
      <c r="G766" s="413" t="s">
        <v>24</v>
      </c>
      <c r="H766" s="413" t="s">
        <v>22</v>
      </c>
      <c r="I766" s="1066" t="s">
        <v>567</v>
      </c>
      <c r="J766" s="414" t="str">
        <f t="shared" si="11"/>
        <v>CCompra de ViviendaIndividualReposeídoUsadaCasaBG000000500000.01</v>
      </c>
      <c r="K766" s="1047">
        <v>500000.01</v>
      </c>
      <c r="L766" s="1047">
        <v>99999999</v>
      </c>
      <c r="M766" s="1050">
        <v>50</v>
      </c>
      <c r="N766" s="1046">
        <v>30</v>
      </c>
      <c r="O766" s="1050">
        <v>7</v>
      </c>
      <c r="P766" s="1050">
        <v>8.56</v>
      </c>
    </row>
    <row r="767" spans="2:16" x14ac:dyDescent="0.25">
      <c r="B767" s="412">
        <v>766</v>
      </c>
      <c r="C767" s="595" t="s">
        <v>929</v>
      </c>
      <c r="D767" s="413" t="s">
        <v>8</v>
      </c>
      <c r="E767" s="413" t="s">
        <v>17</v>
      </c>
      <c r="F767" s="413" t="s">
        <v>18</v>
      </c>
      <c r="G767" s="413" t="s">
        <v>24</v>
      </c>
      <c r="H767" s="413" t="s">
        <v>22</v>
      </c>
      <c r="I767" s="1066" t="s">
        <v>913</v>
      </c>
      <c r="J767" s="414" t="str">
        <f t="shared" si="11"/>
        <v>CCompra de ViviendaIndividualReposeídoUsadaCasaCOPA000000030000.00</v>
      </c>
      <c r="K767" s="1047">
        <v>30000</v>
      </c>
      <c r="L767" s="1047">
        <v>250000</v>
      </c>
      <c r="M767" s="1050">
        <v>70</v>
      </c>
      <c r="N767" s="1046">
        <v>25</v>
      </c>
      <c r="O767" s="1050">
        <v>6.75</v>
      </c>
      <c r="P767" s="1050">
        <v>8.56</v>
      </c>
    </row>
    <row r="768" spans="2:16" x14ac:dyDescent="0.25">
      <c r="B768" s="415">
        <v>767</v>
      </c>
      <c r="C768" s="595" t="s">
        <v>929</v>
      </c>
      <c r="D768" s="413" t="s">
        <v>8</v>
      </c>
      <c r="E768" s="413" t="s">
        <v>17</v>
      </c>
      <c r="F768" s="413" t="s">
        <v>18</v>
      </c>
      <c r="G768" s="413" t="s">
        <v>24</v>
      </c>
      <c r="H768" s="413" t="s">
        <v>22</v>
      </c>
      <c r="I768" s="1066" t="s">
        <v>913</v>
      </c>
      <c r="J768" s="414" t="str">
        <f t="shared" si="11"/>
        <v>CCompra de ViviendaIndividualReposeídoUsadaCasaCOPA000000250000.01</v>
      </c>
      <c r="K768" s="1047">
        <v>250000.01</v>
      </c>
      <c r="L768" s="1047">
        <v>500000</v>
      </c>
      <c r="M768" s="1050">
        <v>70</v>
      </c>
      <c r="N768" s="1046">
        <v>25</v>
      </c>
      <c r="O768" s="1050">
        <v>6.75</v>
      </c>
      <c r="P768" s="1050">
        <v>8.56</v>
      </c>
    </row>
    <row r="769" spans="2:16" x14ac:dyDescent="0.25">
      <c r="B769" s="415">
        <v>768</v>
      </c>
      <c r="C769" s="595" t="s">
        <v>929</v>
      </c>
      <c r="D769" s="413" t="s">
        <v>8</v>
      </c>
      <c r="E769" s="413" t="s">
        <v>17</v>
      </c>
      <c r="F769" s="413" t="s">
        <v>18</v>
      </c>
      <c r="G769" s="413" t="s">
        <v>24</v>
      </c>
      <c r="H769" s="413" t="s">
        <v>22</v>
      </c>
      <c r="I769" s="1066" t="s">
        <v>913</v>
      </c>
      <c r="J769" s="414" t="str">
        <f t="shared" si="11"/>
        <v>CCompra de ViviendaIndividualReposeídoUsadaCasaCOPA000000500000.01</v>
      </c>
      <c r="K769" s="1047">
        <v>500000.01</v>
      </c>
      <c r="L769" s="1047">
        <v>99999999</v>
      </c>
      <c r="M769" s="1050">
        <v>70</v>
      </c>
      <c r="N769" s="1046">
        <v>25</v>
      </c>
      <c r="O769" s="1050">
        <v>6.75</v>
      </c>
      <c r="P769" s="1050">
        <v>8.56</v>
      </c>
    </row>
    <row r="770" spans="2:16" x14ac:dyDescent="0.25">
      <c r="B770" s="415">
        <v>769</v>
      </c>
      <c r="C770" s="595" t="s">
        <v>929</v>
      </c>
      <c r="D770" s="413" t="s">
        <v>8</v>
      </c>
      <c r="E770" s="413" t="s">
        <v>17</v>
      </c>
      <c r="F770" s="413" t="s">
        <v>18</v>
      </c>
      <c r="G770" s="413" t="s">
        <v>24</v>
      </c>
      <c r="H770" s="413" t="s">
        <v>22</v>
      </c>
      <c r="I770" s="1066" t="s">
        <v>173</v>
      </c>
      <c r="J770" s="414" t="str">
        <f t="shared" ref="J770:J833" si="12">C770&amp;D770&amp;E770&amp;F770&amp;G770&amp;H770&amp;I770 &amp; REPT("0",15-LEN(K770 &amp; IF(IFERROR(FIND(".",K770&amp;""),0)=0,".00","")))&amp;K770 &amp; IF(IFERROR(FIND(".",K770&amp;""),0)=0,".00","")</f>
        <v>CCompra de ViviendaIndividualReposeídoUsadaCasaFERIA000000030000.00</v>
      </c>
      <c r="K770" s="1047">
        <v>30000</v>
      </c>
      <c r="L770" s="1047">
        <v>250000</v>
      </c>
      <c r="M770" s="1050">
        <v>70</v>
      </c>
      <c r="N770" s="1046">
        <v>25</v>
      </c>
      <c r="O770" s="1050">
        <v>6.75</v>
      </c>
      <c r="P770" s="1050">
        <v>8.56</v>
      </c>
    </row>
    <row r="771" spans="2:16" x14ac:dyDescent="0.25">
      <c r="B771" s="415">
        <v>770</v>
      </c>
      <c r="C771" s="595" t="s">
        <v>929</v>
      </c>
      <c r="D771" s="413" t="s">
        <v>8</v>
      </c>
      <c r="E771" s="413" t="s">
        <v>17</v>
      </c>
      <c r="F771" s="413" t="s">
        <v>18</v>
      </c>
      <c r="G771" s="413" t="s">
        <v>24</v>
      </c>
      <c r="H771" s="413" t="s">
        <v>22</v>
      </c>
      <c r="I771" s="1066" t="s">
        <v>173</v>
      </c>
      <c r="J771" s="414" t="str">
        <f t="shared" si="12"/>
        <v>CCompra de ViviendaIndividualReposeídoUsadaCasaFERIA000000250000.01</v>
      </c>
      <c r="K771" s="1047">
        <v>250000.01</v>
      </c>
      <c r="L771" s="1047">
        <v>500000</v>
      </c>
      <c r="M771" s="1050">
        <v>70</v>
      </c>
      <c r="N771" s="1046">
        <v>25</v>
      </c>
      <c r="O771" s="1050">
        <v>6.75</v>
      </c>
      <c r="P771" s="1050">
        <v>8.56</v>
      </c>
    </row>
    <row r="772" spans="2:16" x14ac:dyDescent="0.25">
      <c r="B772" s="412">
        <v>771</v>
      </c>
      <c r="C772" s="595" t="s">
        <v>929</v>
      </c>
      <c r="D772" s="413" t="s">
        <v>8</v>
      </c>
      <c r="E772" s="413" t="s">
        <v>17</v>
      </c>
      <c r="F772" s="413" t="s">
        <v>18</v>
      </c>
      <c r="G772" s="413" t="s">
        <v>24</v>
      </c>
      <c r="H772" s="413" t="s">
        <v>22</v>
      </c>
      <c r="I772" s="1066" t="s">
        <v>173</v>
      </c>
      <c r="J772" s="414" t="str">
        <f t="shared" si="12"/>
        <v>CCompra de ViviendaIndividualReposeídoUsadaCasaFERIA000000500000.01</v>
      </c>
      <c r="K772" s="1047">
        <v>500000.01</v>
      </c>
      <c r="L772" s="1047">
        <v>99999999</v>
      </c>
      <c r="M772" s="1050">
        <v>70</v>
      </c>
      <c r="N772" s="1046">
        <v>25</v>
      </c>
      <c r="O772" s="1050">
        <v>6.75</v>
      </c>
      <c r="P772" s="1050">
        <v>8.56</v>
      </c>
    </row>
    <row r="773" spans="2:16" x14ac:dyDescent="0.25">
      <c r="B773" s="415">
        <v>772</v>
      </c>
      <c r="C773" s="595" t="s">
        <v>929</v>
      </c>
      <c r="D773" s="413" t="s">
        <v>8</v>
      </c>
      <c r="E773" s="413" t="s">
        <v>17</v>
      </c>
      <c r="F773" s="413" t="s">
        <v>11</v>
      </c>
      <c r="G773" s="413" t="s">
        <v>21</v>
      </c>
      <c r="H773" s="413" t="s">
        <v>25</v>
      </c>
      <c r="I773" s="1066" t="s">
        <v>567</v>
      </c>
      <c r="J773" s="414" t="str">
        <f t="shared" si="12"/>
        <v>CCompra de ViviendaIndividualResidencialNuevaApartamentoBG000000030000.00</v>
      </c>
      <c r="K773" s="1047">
        <v>30000</v>
      </c>
      <c r="L773" s="1047">
        <v>100000</v>
      </c>
      <c r="M773" s="1050">
        <v>70</v>
      </c>
      <c r="N773" s="1046">
        <v>25</v>
      </c>
      <c r="O773" s="1050">
        <v>6.75</v>
      </c>
      <c r="P773" s="1050">
        <v>8.56</v>
      </c>
    </row>
    <row r="774" spans="2:16" x14ac:dyDescent="0.25">
      <c r="B774" s="415">
        <v>773</v>
      </c>
      <c r="C774" s="595" t="s">
        <v>929</v>
      </c>
      <c r="D774" s="413" t="s">
        <v>8</v>
      </c>
      <c r="E774" s="413" t="s">
        <v>17</v>
      </c>
      <c r="F774" s="413" t="s">
        <v>11</v>
      </c>
      <c r="G774" s="413" t="s">
        <v>21</v>
      </c>
      <c r="H774" s="413" t="s">
        <v>25</v>
      </c>
      <c r="I774" s="1066" t="s">
        <v>567</v>
      </c>
      <c r="J774" s="414" t="str">
        <f t="shared" si="12"/>
        <v>CCompra de ViviendaIndividualResidencialNuevaApartamentoBG000000100000.01</v>
      </c>
      <c r="K774" s="1047">
        <v>100000.01</v>
      </c>
      <c r="L774" s="1047">
        <v>250000</v>
      </c>
      <c r="M774" s="1050">
        <v>70</v>
      </c>
      <c r="N774" s="1046">
        <v>25</v>
      </c>
      <c r="O774" s="1050">
        <v>6.75</v>
      </c>
      <c r="P774" s="1050">
        <v>8.56</v>
      </c>
    </row>
    <row r="775" spans="2:16" x14ac:dyDescent="0.25">
      <c r="B775" s="415">
        <v>774</v>
      </c>
      <c r="C775" s="595" t="s">
        <v>929</v>
      </c>
      <c r="D775" s="413" t="s">
        <v>8</v>
      </c>
      <c r="E775" s="413" t="s">
        <v>17</v>
      </c>
      <c r="F775" s="413" t="s">
        <v>11</v>
      </c>
      <c r="G775" s="413" t="s">
        <v>21</v>
      </c>
      <c r="H775" s="413" t="s">
        <v>25</v>
      </c>
      <c r="I775" s="1066" t="s">
        <v>567</v>
      </c>
      <c r="J775" s="414" t="str">
        <f t="shared" si="12"/>
        <v>CCompra de ViviendaIndividualResidencialNuevaApartamentoBG000000250000.01</v>
      </c>
      <c r="K775" s="1047">
        <v>250000.01</v>
      </c>
      <c r="L775" s="1047">
        <v>500000</v>
      </c>
      <c r="M775" s="1050">
        <v>70</v>
      </c>
      <c r="N775" s="1046">
        <v>25</v>
      </c>
      <c r="O775" s="1050">
        <v>6.75</v>
      </c>
      <c r="P775" s="1050">
        <v>8.56</v>
      </c>
    </row>
    <row r="776" spans="2:16" x14ac:dyDescent="0.25">
      <c r="B776" s="415">
        <v>775</v>
      </c>
      <c r="C776" s="595" t="s">
        <v>929</v>
      </c>
      <c r="D776" s="413" t="s">
        <v>8</v>
      </c>
      <c r="E776" s="413" t="s">
        <v>17</v>
      </c>
      <c r="F776" s="413" t="s">
        <v>11</v>
      </c>
      <c r="G776" s="413" t="s">
        <v>21</v>
      </c>
      <c r="H776" s="413" t="s">
        <v>25</v>
      </c>
      <c r="I776" s="1066" t="s">
        <v>567</v>
      </c>
      <c r="J776" s="414" t="str">
        <f t="shared" si="12"/>
        <v>CCompra de ViviendaIndividualResidencialNuevaApartamentoBG000000500000.01</v>
      </c>
      <c r="K776" s="1047">
        <v>500000.01</v>
      </c>
      <c r="L776" s="1047">
        <v>99999999</v>
      </c>
      <c r="M776" s="1050">
        <v>70</v>
      </c>
      <c r="N776" s="1046">
        <v>25</v>
      </c>
      <c r="O776" s="1050">
        <v>6.75</v>
      </c>
      <c r="P776" s="1050">
        <v>8.56</v>
      </c>
    </row>
    <row r="777" spans="2:16" x14ac:dyDescent="0.25">
      <c r="B777" s="412">
        <v>776</v>
      </c>
      <c r="C777" s="595" t="s">
        <v>929</v>
      </c>
      <c r="D777" s="413" t="s">
        <v>8</v>
      </c>
      <c r="E777" s="413" t="s">
        <v>17</v>
      </c>
      <c r="F777" s="413" t="s">
        <v>11</v>
      </c>
      <c r="G777" s="413" t="s">
        <v>21</v>
      </c>
      <c r="H777" s="413" t="s">
        <v>25</v>
      </c>
      <c r="I777" s="1066" t="s">
        <v>913</v>
      </c>
      <c r="J777" s="414" t="str">
        <f t="shared" si="12"/>
        <v>CCompra de ViviendaIndividualResidencialNuevaApartamentoCOPA000000030000.00</v>
      </c>
      <c r="K777" s="1047">
        <v>30000</v>
      </c>
      <c r="L777" s="1047">
        <v>100000</v>
      </c>
      <c r="M777" s="1050">
        <v>70</v>
      </c>
      <c r="N777" s="1046">
        <v>25</v>
      </c>
      <c r="O777" s="1050">
        <v>6.75</v>
      </c>
      <c r="P777" s="1050">
        <v>8.56</v>
      </c>
    </row>
    <row r="778" spans="2:16" x14ac:dyDescent="0.25">
      <c r="B778" s="415">
        <v>777</v>
      </c>
      <c r="C778" s="595" t="s">
        <v>929</v>
      </c>
      <c r="D778" s="413" t="s">
        <v>8</v>
      </c>
      <c r="E778" s="413" t="s">
        <v>17</v>
      </c>
      <c r="F778" s="413" t="s">
        <v>11</v>
      </c>
      <c r="G778" s="413" t="s">
        <v>21</v>
      </c>
      <c r="H778" s="413" t="s">
        <v>25</v>
      </c>
      <c r="I778" s="1066" t="s">
        <v>913</v>
      </c>
      <c r="J778" s="414" t="str">
        <f t="shared" si="12"/>
        <v>CCompra de ViviendaIndividualResidencialNuevaApartamentoCOPA000000100000.01</v>
      </c>
      <c r="K778" s="1047">
        <v>100000.01</v>
      </c>
      <c r="L778" s="1047">
        <v>250000</v>
      </c>
      <c r="M778" s="1050">
        <v>70</v>
      </c>
      <c r="N778" s="1046">
        <v>25</v>
      </c>
      <c r="O778" s="1050">
        <v>6.75</v>
      </c>
      <c r="P778" s="1050">
        <v>8.56</v>
      </c>
    </row>
    <row r="779" spans="2:16" x14ac:dyDescent="0.25">
      <c r="B779" s="415">
        <v>778</v>
      </c>
      <c r="C779" s="595" t="s">
        <v>929</v>
      </c>
      <c r="D779" s="413" t="s">
        <v>8</v>
      </c>
      <c r="E779" s="413" t="s">
        <v>17</v>
      </c>
      <c r="F779" s="413" t="s">
        <v>11</v>
      </c>
      <c r="G779" s="413" t="s">
        <v>21</v>
      </c>
      <c r="H779" s="413" t="s">
        <v>25</v>
      </c>
      <c r="I779" s="1066" t="s">
        <v>913</v>
      </c>
      <c r="J779" s="414" t="str">
        <f t="shared" si="12"/>
        <v>CCompra de ViviendaIndividualResidencialNuevaApartamentoCOPA000000250000.01</v>
      </c>
      <c r="K779" s="1047">
        <v>250000.01</v>
      </c>
      <c r="L779" s="1047">
        <v>500000</v>
      </c>
      <c r="M779" s="1050">
        <v>70</v>
      </c>
      <c r="N779" s="1046">
        <v>25</v>
      </c>
      <c r="O779" s="1050">
        <v>6.75</v>
      </c>
      <c r="P779" s="1050">
        <v>8.56</v>
      </c>
    </row>
    <row r="780" spans="2:16" x14ac:dyDescent="0.25">
      <c r="B780" s="415">
        <v>779</v>
      </c>
      <c r="C780" s="595" t="s">
        <v>929</v>
      </c>
      <c r="D780" s="413" t="s">
        <v>8</v>
      </c>
      <c r="E780" s="413" t="s">
        <v>17</v>
      </c>
      <c r="F780" s="413" t="s">
        <v>11</v>
      </c>
      <c r="G780" s="413" t="s">
        <v>21</v>
      </c>
      <c r="H780" s="413" t="s">
        <v>25</v>
      </c>
      <c r="I780" s="1066" t="s">
        <v>913</v>
      </c>
      <c r="J780" s="414" t="str">
        <f t="shared" si="12"/>
        <v>CCompra de ViviendaIndividualResidencialNuevaApartamentoCOPA000000500000.01</v>
      </c>
      <c r="K780" s="1047">
        <v>500000.01</v>
      </c>
      <c r="L780" s="1047">
        <v>99999999</v>
      </c>
      <c r="M780" s="1050">
        <v>70</v>
      </c>
      <c r="N780" s="1046">
        <v>25</v>
      </c>
      <c r="O780" s="1050">
        <v>6.75</v>
      </c>
      <c r="P780" s="1050">
        <v>8.56</v>
      </c>
    </row>
    <row r="781" spans="2:16" x14ac:dyDescent="0.25">
      <c r="B781" s="415">
        <v>780</v>
      </c>
      <c r="C781" s="595" t="s">
        <v>929</v>
      </c>
      <c r="D781" s="413" t="s">
        <v>8</v>
      </c>
      <c r="E781" s="413" t="s">
        <v>17</v>
      </c>
      <c r="F781" s="413" t="s">
        <v>11</v>
      </c>
      <c r="G781" s="413" t="s">
        <v>21</v>
      </c>
      <c r="H781" s="413" t="s">
        <v>25</v>
      </c>
      <c r="I781" s="1066" t="s">
        <v>173</v>
      </c>
      <c r="J781" s="414" t="str">
        <f t="shared" si="12"/>
        <v>CCompra de ViviendaIndividualResidencialNuevaApartamentoFERIA000000030000.00</v>
      </c>
      <c r="K781" s="1047">
        <v>30000</v>
      </c>
      <c r="L781" s="1047">
        <v>100000</v>
      </c>
      <c r="M781" s="1050">
        <v>70</v>
      </c>
      <c r="N781" s="1046">
        <v>25</v>
      </c>
      <c r="O781" s="1050">
        <v>6.75</v>
      </c>
      <c r="P781" s="1050">
        <v>8.56</v>
      </c>
    </row>
    <row r="782" spans="2:16" x14ac:dyDescent="0.25">
      <c r="B782" s="412">
        <v>781</v>
      </c>
      <c r="C782" s="595" t="s">
        <v>929</v>
      </c>
      <c r="D782" s="413" t="s">
        <v>8</v>
      </c>
      <c r="E782" s="413" t="s">
        <v>17</v>
      </c>
      <c r="F782" s="413" t="s">
        <v>11</v>
      </c>
      <c r="G782" s="413" t="s">
        <v>21</v>
      </c>
      <c r="H782" s="413" t="s">
        <v>25</v>
      </c>
      <c r="I782" s="1066" t="s">
        <v>173</v>
      </c>
      <c r="J782" s="414" t="str">
        <f t="shared" si="12"/>
        <v>CCompra de ViviendaIndividualResidencialNuevaApartamentoFERIA000000100000.01</v>
      </c>
      <c r="K782" s="1047">
        <v>100000.01</v>
      </c>
      <c r="L782" s="1047">
        <v>250000</v>
      </c>
      <c r="M782" s="1050">
        <v>70</v>
      </c>
      <c r="N782" s="1046">
        <v>25</v>
      </c>
      <c r="O782" s="1050">
        <v>6.75</v>
      </c>
      <c r="P782" s="1050">
        <v>8.56</v>
      </c>
    </row>
    <row r="783" spans="2:16" x14ac:dyDescent="0.25">
      <c r="B783" s="415">
        <v>782</v>
      </c>
      <c r="C783" s="595" t="s">
        <v>929</v>
      </c>
      <c r="D783" s="413" t="s">
        <v>8</v>
      </c>
      <c r="E783" s="413" t="s">
        <v>17</v>
      </c>
      <c r="F783" s="413" t="s">
        <v>11</v>
      </c>
      <c r="G783" s="413" t="s">
        <v>21</v>
      </c>
      <c r="H783" s="413" t="s">
        <v>25</v>
      </c>
      <c r="I783" s="1066" t="s">
        <v>173</v>
      </c>
      <c r="J783" s="414" t="str">
        <f t="shared" si="12"/>
        <v>CCompra de ViviendaIndividualResidencialNuevaApartamentoFERIA000000250000.01</v>
      </c>
      <c r="K783" s="1047">
        <v>250000.01</v>
      </c>
      <c r="L783" s="1047">
        <v>500000</v>
      </c>
      <c r="M783" s="1050">
        <v>70</v>
      </c>
      <c r="N783" s="1046">
        <v>25</v>
      </c>
      <c r="O783" s="1050">
        <v>6.75</v>
      </c>
      <c r="P783" s="1050">
        <v>8.56</v>
      </c>
    </row>
    <row r="784" spans="2:16" x14ac:dyDescent="0.25">
      <c r="B784" s="415">
        <v>783</v>
      </c>
      <c r="C784" s="595" t="s">
        <v>929</v>
      </c>
      <c r="D784" s="413" t="s">
        <v>8</v>
      </c>
      <c r="E784" s="413" t="s">
        <v>17</v>
      </c>
      <c r="F784" s="413" t="s">
        <v>11</v>
      </c>
      <c r="G784" s="413" t="s">
        <v>21</v>
      </c>
      <c r="H784" s="413" t="s">
        <v>25</v>
      </c>
      <c r="I784" s="1066" t="s">
        <v>173</v>
      </c>
      <c r="J784" s="414" t="str">
        <f t="shared" si="12"/>
        <v>CCompra de ViviendaIndividualResidencialNuevaApartamentoFERIA000000500000.01</v>
      </c>
      <c r="K784" s="1047">
        <v>500000.01</v>
      </c>
      <c r="L784" s="1047">
        <v>99999999</v>
      </c>
      <c r="M784" s="1050">
        <v>70</v>
      </c>
      <c r="N784" s="1046">
        <v>25</v>
      </c>
      <c r="O784" s="1050">
        <v>6.75</v>
      </c>
      <c r="P784" s="1050">
        <v>8.56</v>
      </c>
    </row>
    <row r="785" spans="2:16" x14ac:dyDescent="0.25">
      <c r="B785" s="415">
        <v>784</v>
      </c>
      <c r="C785" s="595" t="s">
        <v>929</v>
      </c>
      <c r="D785" s="413" t="s">
        <v>8</v>
      </c>
      <c r="E785" s="413" t="s">
        <v>17</v>
      </c>
      <c r="F785" s="413" t="s">
        <v>11</v>
      </c>
      <c r="G785" s="413" t="s">
        <v>21</v>
      </c>
      <c r="H785" s="413" t="s">
        <v>22</v>
      </c>
      <c r="I785" s="1066" t="s">
        <v>567</v>
      </c>
      <c r="J785" s="414" t="str">
        <f t="shared" si="12"/>
        <v>CCompra de ViviendaIndividualResidencialNuevaCasaBG000000018000.00</v>
      </c>
      <c r="K785" s="1047">
        <v>18000</v>
      </c>
      <c r="L785" s="1047">
        <v>100000</v>
      </c>
      <c r="M785" s="1050">
        <v>70</v>
      </c>
      <c r="N785" s="1046">
        <v>25</v>
      </c>
      <c r="O785" s="1050">
        <v>6.75</v>
      </c>
      <c r="P785" s="1050">
        <v>8.56</v>
      </c>
    </row>
    <row r="786" spans="2:16" x14ac:dyDescent="0.25">
      <c r="B786" s="415">
        <v>785</v>
      </c>
      <c r="C786" s="595" t="s">
        <v>929</v>
      </c>
      <c r="D786" s="413" t="s">
        <v>8</v>
      </c>
      <c r="E786" s="413" t="s">
        <v>17</v>
      </c>
      <c r="F786" s="413" t="s">
        <v>11</v>
      </c>
      <c r="G786" s="413" t="s">
        <v>21</v>
      </c>
      <c r="H786" s="413" t="s">
        <v>22</v>
      </c>
      <c r="I786" s="1066" t="s">
        <v>567</v>
      </c>
      <c r="J786" s="414" t="str">
        <f t="shared" si="12"/>
        <v>CCompra de ViviendaIndividualResidencialNuevaCasaBG000000100000.01</v>
      </c>
      <c r="K786" s="1047">
        <v>100000.01</v>
      </c>
      <c r="L786" s="1047">
        <v>250000</v>
      </c>
      <c r="M786" s="1050">
        <v>70</v>
      </c>
      <c r="N786" s="1046">
        <v>25</v>
      </c>
      <c r="O786" s="1050">
        <v>6.75</v>
      </c>
      <c r="P786" s="1050">
        <v>8.56</v>
      </c>
    </row>
    <row r="787" spans="2:16" x14ac:dyDescent="0.25">
      <c r="B787" s="412">
        <v>786</v>
      </c>
      <c r="C787" s="595" t="s">
        <v>929</v>
      </c>
      <c r="D787" s="413" t="s">
        <v>8</v>
      </c>
      <c r="E787" s="413" t="s">
        <v>17</v>
      </c>
      <c r="F787" s="413" t="s">
        <v>11</v>
      </c>
      <c r="G787" s="413" t="s">
        <v>21</v>
      </c>
      <c r="H787" s="413" t="s">
        <v>22</v>
      </c>
      <c r="I787" s="1066" t="s">
        <v>567</v>
      </c>
      <c r="J787" s="414" t="str">
        <f t="shared" si="12"/>
        <v>CCompra de ViviendaIndividualResidencialNuevaCasaBG000000250000.01</v>
      </c>
      <c r="K787" s="1047">
        <v>250000.01</v>
      </c>
      <c r="L787" s="1047">
        <v>600000</v>
      </c>
      <c r="M787" s="1050">
        <v>70</v>
      </c>
      <c r="N787" s="1046">
        <v>25</v>
      </c>
      <c r="O787" s="1050">
        <v>6.75</v>
      </c>
      <c r="P787" s="1050">
        <v>8.56</v>
      </c>
    </row>
    <row r="788" spans="2:16" x14ac:dyDescent="0.25">
      <c r="B788" s="415">
        <v>787</v>
      </c>
      <c r="C788" s="595" t="s">
        <v>929</v>
      </c>
      <c r="D788" s="413" t="s">
        <v>8</v>
      </c>
      <c r="E788" s="413" t="s">
        <v>17</v>
      </c>
      <c r="F788" s="413" t="s">
        <v>11</v>
      </c>
      <c r="G788" s="413" t="s">
        <v>21</v>
      </c>
      <c r="H788" s="413" t="s">
        <v>22</v>
      </c>
      <c r="I788" s="1066" t="s">
        <v>567</v>
      </c>
      <c r="J788" s="414" t="str">
        <f t="shared" si="12"/>
        <v>CCompra de ViviendaIndividualResidencialNuevaCasaBG000000600000.01</v>
      </c>
      <c r="K788" s="1047">
        <v>600000.01</v>
      </c>
      <c r="L788" s="1047">
        <v>99999999</v>
      </c>
      <c r="M788" s="1050">
        <v>70</v>
      </c>
      <c r="N788" s="1046">
        <v>25</v>
      </c>
      <c r="O788" s="1050">
        <v>6.75</v>
      </c>
      <c r="P788" s="1050">
        <v>8.56</v>
      </c>
    </row>
    <row r="789" spans="2:16" x14ac:dyDescent="0.25">
      <c r="B789" s="415">
        <v>788</v>
      </c>
      <c r="C789" s="595" t="s">
        <v>929</v>
      </c>
      <c r="D789" s="413" t="s">
        <v>8</v>
      </c>
      <c r="E789" s="413" t="s">
        <v>17</v>
      </c>
      <c r="F789" s="413" t="s">
        <v>11</v>
      </c>
      <c r="G789" s="413" t="s">
        <v>21</v>
      </c>
      <c r="H789" s="413" t="s">
        <v>22</v>
      </c>
      <c r="I789" s="1066" t="s">
        <v>913</v>
      </c>
      <c r="J789" s="414" t="str">
        <f t="shared" si="12"/>
        <v>CCompra de ViviendaIndividualResidencialNuevaCasaCOPA000000018000.00</v>
      </c>
      <c r="K789" s="1047">
        <v>18000</v>
      </c>
      <c r="L789" s="1047">
        <v>100000</v>
      </c>
      <c r="M789" s="1050">
        <v>70</v>
      </c>
      <c r="N789" s="1046">
        <v>25</v>
      </c>
      <c r="O789" s="1050">
        <v>6.75</v>
      </c>
      <c r="P789" s="1050">
        <v>8.56</v>
      </c>
    </row>
    <row r="790" spans="2:16" x14ac:dyDescent="0.25">
      <c r="B790" s="415">
        <v>789</v>
      </c>
      <c r="C790" s="595" t="s">
        <v>929</v>
      </c>
      <c r="D790" s="413" t="s">
        <v>8</v>
      </c>
      <c r="E790" s="413" t="s">
        <v>17</v>
      </c>
      <c r="F790" s="413" t="s">
        <v>11</v>
      </c>
      <c r="G790" s="413" t="s">
        <v>21</v>
      </c>
      <c r="H790" s="413" t="s">
        <v>22</v>
      </c>
      <c r="I790" s="1066" t="s">
        <v>913</v>
      </c>
      <c r="J790" s="414" t="str">
        <f t="shared" si="12"/>
        <v>CCompra de ViviendaIndividualResidencialNuevaCasaCOPA000000100000.01</v>
      </c>
      <c r="K790" s="1047">
        <v>100000.01</v>
      </c>
      <c r="L790" s="1047">
        <v>250000</v>
      </c>
      <c r="M790" s="1050">
        <v>70</v>
      </c>
      <c r="N790" s="1046">
        <v>25</v>
      </c>
      <c r="O790" s="1050">
        <v>6.75</v>
      </c>
      <c r="P790" s="1050">
        <v>8.56</v>
      </c>
    </row>
    <row r="791" spans="2:16" x14ac:dyDescent="0.25">
      <c r="B791" s="415">
        <v>790</v>
      </c>
      <c r="C791" s="595" t="s">
        <v>929</v>
      </c>
      <c r="D791" s="413" t="s">
        <v>8</v>
      </c>
      <c r="E791" s="413" t="s">
        <v>17</v>
      </c>
      <c r="F791" s="413" t="s">
        <v>11</v>
      </c>
      <c r="G791" s="413" t="s">
        <v>21</v>
      </c>
      <c r="H791" s="413" t="s">
        <v>22</v>
      </c>
      <c r="I791" s="1066" t="s">
        <v>913</v>
      </c>
      <c r="J791" s="414" t="str">
        <f t="shared" si="12"/>
        <v>CCompra de ViviendaIndividualResidencialNuevaCasaCOPA000000250000.01</v>
      </c>
      <c r="K791" s="1047">
        <v>250000.01</v>
      </c>
      <c r="L791" s="1047">
        <v>600000</v>
      </c>
      <c r="M791" s="1050">
        <v>70</v>
      </c>
      <c r="N791" s="1046">
        <v>25</v>
      </c>
      <c r="O791" s="1050">
        <v>6.75</v>
      </c>
      <c r="P791" s="1050">
        <v>8.56</v>
      </c>
    </row>
    <row r="792" spans="2:16" x14ac:dyDescent="0.25">
      <c r="B792" s="412">
        <v>791</v>
      </c>
      <c r="C792" s="595" t="s">
        <v>929</v>
      </c>
      <c r="D792" s="413" t="s">
        <v>8</v>
      </c>
      <c r="E792" s="413" t="s">
        <v>17</v>
      </c>
      <c r="F792" s="413" t="s">
        <v>11</v>
      </c>
      <c r="G792" s="413" t="s">
        <v>21</v>
      </c>
      <c r="H792" s="413" t="s">
        <v>22</v>
      </c>
      <c r="I792" s="1066" t="s">
        <v>913</v>
      </c>
      <c r="J792" s="414" t="str">
        <f t="shared" si="12"/>
        <v>CCompra de ViviendaIndividualResidencialNuevaCasaCOPA000000600000.01</v>
      </c>
      <c r="K792" s="1047">
        <v>600000.01</v>
      </c>
      <c r="L792" s="1047">
        <v>99999999</v>
      </c>
      <c r="M792" s="1050">
        <v>70</v>
      </c>
      <c r="N792" s="1046">
        <v>25</v>
      </c>
      <c r="O792" s="1050">
        <v>6.75</v>
      </c>
      <c r="P792" s="1050">
        <v>8.56</v>
      </c>
    </row>
    <row r="793" spans="2:16" x14ac:dyDescent="0.25">
      <c r="B793" s="415">
        <v>792</v>
      </c>
      <c r="C793" s="595" t="s">
        <v>929</v>
      </c>
      <c r="D793" s="413" t="s">
        <v>8</v>
      </c>
      <c r="E793" s="413" t="s">
        <v>17</v>
      </c>
      <c r="F793" s="413" t="s">
        <v>11</v>
      </c>
      <c r="G793" s="413" t="s">
        <v>21</v>
      </c>
      <c r="H793" s="413" t="s">
        <v>22</v>
      </c>
      <c r="I793" s="1066" t="s">
        <v>173</v>
      </c>
      <c r="J793" s="414" t="str">
        <f t="shared" si="12"/>
        <v>CCompra de ViviendaIndividualResidencialNuevaCasaFERIA000000018000.00</v>
      </c>
      <c r="K793" s="1047">
        <v>18000</v>
      </c>
      <c r="L793" s="1047">
        <v>100000</v>
      </c>
      <c r="M793" s="1050">
        <v>70</v>
      </c>
      <c r="N793" s="1046">
        <v>25</v>
      </c>
      <c r="O793" s="1050">
        <v>6.75</v>
      </c>
      <c r="P793" s="1050">
        <v>8.56</v>
      </c>
    </row>
    <row r="794" spans="2:16" x14ac:dyDescent="0.25">
      <c r="B794" s="415">
        <v>793</v>
      </c>
      <c r="C794" s="595" t="s">
        <v>929</v>
      </c>
      <c r="D794" s="413" t="s">
        <v>8</v>
      </c>
      <c r="E794" s="413" t="s">
        <v>17</v>
      </c>
      <c r="F794" s="413" t="s">
        <v>11</v>
      </c>
      <c r="G794" s="413" t="s">
        <v>21</v>
      </c>
      <c r="H794" s="413" t="s">
        <v>22</v>
      </c>
      <c r="I794" s="1066" t="s">
        <v>173</v>
      </c>
      <c r="J794" s="414" t="str">
        <f t="shared" si="12"/>
        <v>CCompra de ViviendaIndividualResidencialNuevaCasaFERIA000000100000.01</v>
      </c>
      <c r="K794" s="1047">
        <v>100000.01</v>
      </c>
      <c r="L794" s="1047">
        <v>250000</v>
      </c>
      <c r="M794" s="1050">
        <v>70</v>
      </c>
      <c r="N794" s="1046">
        <v>25</v>
      </c>
      <c r="O794" s="1050">
        <v>6.75</v>
      </c>
      <c r="P794" s="1050">
        <v>8.56</v>
      </c>
    </row>
    <row r="795" spans="2:16" x14ac:dyDescent="0.25">
      <c r="B795" s="415">
        <v>794</v>
      </c>
      <c r="C795" s="595" t="s">
        <v>929</v>
      </c>
      <c r="D795" s="413" t="s">
        <v>8</v>
      </c>
      <c r="E795" s="413" t="s">
        <v>17</v>
      </c>
      <c r="F795" s="413" t="s">
        <v>11</v>
      </c>
      <c r="G795" s="413" t="s">
        <v>21</v>
      </c>
      <c r="H795" s="413" t="s">
        <v>22</v>
      </c>
      <c r="I795" s="1066" t="s">
        <v>173</v>
      </c>
      <c r="J795" s="414" t="str">
        <f t="shared" si="12"/>
        <v>CCompra de ViviendaIndividualResidencialNuevaCasaFERIA000000250000.01</v>
      </c>
      <c r="K795" s="1047">
        <v>250000.01</v>
      </c>
      <c r="L795" s="1047">
        <v>600000</v>
      </c>
      <c r="M795" s="1050">
        <v>70</v>
      </c>
      <c r="N795" s="1046">
        <v>25</v>
      </c>
      <c r="O795" s="1050">
        <v>6.75</v>
      </c>
      <c r="P795" s="1050">
        <v>8.56</v>
      </c>
    </row>
    <row r="796" spans="2:16" x14ac:dyDescent="0.25">
      <c r="B796" s="415">
        <v>795</v>
      </c>
      <c r="C796" s="595" t="s">
        <v>929</v>
      </c>
      <c r="D796" s="413" t="s">
        <v>8</v>
      </c>
      <c r="E796" s="413" t="s">
        <v>17</v>
      </c>
      <c r="F796" s="413" t="s">
        <v>11</v>
      </c>
      <c r="G796" s="413" t="s">
        <v>21</v>
      </c>
      <c r="H796" s="413" t="s">
        <v>22</v>
      </c>
      <c r="I796" s="1066" t="s">
        <v>173</v>
      </c>
      <c r="J796" s="414" t="str">
        <f t="shared" si="12"/>
        <v>CCompra de ViviendaIndividualResidencialNuevaCasaFERIA000000600000.01</v>
      </c>
      <c r="K796" s="1047">
        <v>600000.01</v>
      </c>
      <c r="L796" s="1047">
        <v>99999999</v>
      </c>
      <c r="M796" s="1050">
        <v>70</v>
      </c>
      <c r="N796" s="1046">
        <v>25</v>
      </c>
      <c r="O796" s="1050">
        <v>6.75</v>
      </c>
      <c r="P796" s="1050">
        <v>8.56</v>
      </c>
    </row>
    <row r="797" spans="2:16" x14ac:dyDescent="0.25">
      <c r="B797" s="412">
        <v>796</v>
      </c>
      <c r="C797" s="1374" t="s">
        <v>929</v>
      </c>
      <c r="D797" s="413" t="s">
        <v>8</v>
      </c>
      <c r="E797" s="413" t="s">
        <v>17</v>
      </c>
      <c r="F797" s="413" t="s">
        <v>11</v>
      </c>
      <c r="G797" s="413" t="s">
        <v>24</v>
      </c>
      <c r="H797" s="413" t="s">
        <v>25</v>
      </c>
      <c r="I797" s="1066" t="s">
        <v>567</v>
      </c>
      <c r="J797" s="414" t="str">
        <f t="shared" si="12"/>
        <v>CCompra de ViviendaIndividualResidencialUsadaApartamentoBG000000030000.00</v>
      </c>
      <c r="K797" s="1047">
        <v>30000</v>
      </c>
      <c r="L797" s="1047">
        <v>250000</v>
      </c>
      <c r="M797" s="1050">
        <v>70</v>
      </c>
      <c r="N797" s="1046">
        <v>30</v>
      </c>
      <c r="O797" s="1050">
        <v>7</v>
      </c>
      <c r="P797" s="1050">
        <v>8.56</v>
      </c>
    </row>
    <row r="798" spans="2:16" x14ac:dyDescent="0.25">
      <c r="B798" s="415">
        <v>797</v>
      </c>
      <c r="C798" s="1374" t="s">
        <v>929</v>
      </c>
      <c r="D798" s="413" t="s">
        <v>8</v>
      </c>
      <c r="E798" s="413" t="s">
        <v>17</v>
      </c>
      <c r="F798" s="413" t="s">
        <v>11</v>
      </c>
      <c r="G798" s="413" t="s">
        <v>24</v>
      </c>
      <c r="H798" s="413" t="s">
        <v>25</v>
      </c>
      <c r="I798" s="1066" t="s">
        <v>567</v>
      </c>
      <c r="J798" s="414" t="str">
        <f t="shared" si="12"/>
        <v>CCompra de ViviendaIndividualResidencialUsadaApartamentoBG000000250000.01</v>
      </c>
      <c r="K798" s="1047">
        <v>250000.01</v>
      </c>
      <c r="L798" s="1047">
        <v>500000</v>
      </c>
      <c r="M798" s="1050">
        <v>60</v>
      </c>
      <c r="N798" s="1046">
        <v>30</v>
      </c>
      <c r="O798" s="1050">
        <v>7</v>
      </c>
      <c r="P798" s="1050">
        <v>8.56</v>
      </c>
    </row>
    <row r="799" spans="2:16" x14ac:dyDescent="0.25">
      <c r="B799" s="415">
        <v>798</v>
      </c>
      <c r="C799" s="1374" t="s">
        <v>929</v>
      </c>
      <c r="D799" s="413" t="s">
        <v>8</v>
      </c>
      <c r="E799" s="413" t="s">
        <v>17</v>
      </c>
      <c r="F799" s="413" t="s">
        <v>11</v>
      </c>
      <c r="G799" s="413" t="s">
        <v>24</v>
      </c>
      <c r="H799" s="413" t="s">
        <v>25</v>
      </c>
      <c r="I799" s="1066" t="s">
        <v>567</v>
      </c>
      <c r="J799" s="414" t="str">
        <f t="shared" si="12"/>
        <v>CCompra de ViviendaIndividualResidencialUsadaApartamentoBG000000500000.01</v>
      </c>
      <c r="K799" s="1047">
        <v>500000.01</v>
      </c>
      <c r="L799" s="1047">
        <v>99999999</v>
      </c>
      <c r="M799" s="1050">
        <v>50</v>
      </c>
      <c r="N799" s="1046">
        <v>30</v>
      </c>
      <c r="O799" s="1050">
        <v>7</v>
      </c>
      <c r="P799" s="1050">
        <v>8.56</v>
      </c>
    </row>
    <row r="800" spans="2:16" x14ac:dyDescent="0.25">
      <c r="B800" s="415">
        <v>799</v>
      </c>
      <c r="C800" s="595" t="s">
        <v>929</v>
      </c>
      <c r="D800" s="413" t="s">
        <v>8</v>
      </c>
      <c r="E800" s="413" t="s">
        <v>17</v>
      </c>
      <c r="F800" s="413" t="s">
        <v>11</v>
      </c>
      <c r="G800" s="413" t="s">
        <v>24</v>
      </c>
      <c r="H800" s="413" t="s">
        <v>25</v>
      </c>
      <c r="I800" s="1066" t="s">
        <v>913</v>
      </c>
      <c r="J800" s="414" t="str">
        <f t="shared" si="12"/>
        <v>CCompra de ViviendaIndividualResidencialUsadaApartamentoCOPA000000030000.00</v>
      </c>
      <c r="K800" s="1047">
        <v>30000</v>
      </c>
      <c r="L800" s="1047">
        <v>250000</v>
      </c>
      <c r="M800" s="1050">
        <v>70</v>
      </c>
      <c r="N800" s="1046">
        <v>25</v>
      </c>
      <c r="O800" s="1050">
        <v>6.75</v>
      </c>
      <c r="P800" s="1050">
        <v>8.56</v>
      </c>
    </row>
    <row r="801" spans="2:16" x14ac:dyDescent="0.25">
      <c r="B801" s="415">
        <v>800</v>
      </c>
      <c r="C801" s="595" t="s">
        <v>929</v>
      </c>
      <c r="D801" s="413" t="s">
        <v>8</v>
      </c>
      <c r="E801" s="413" t="s">
        <v>17</v>
      </c>
      <c r="F801" s="413" t="s">
        <v>11</v>
      </c>
      <c r="G801" s="413" t="s">
        <v>24</v>
      </c>
      <c r="H801" s="413" t="s">
        <v>25</v>
      </c>
      <c r="I801" s="1066" t="s">
        <v>913</v>
      </c>
      <c r="J801" s="414" t="str">
        <f t="shared" si="12"/>
        <v>CCompra de ViviendaIndividualResidencialUsadaApartamentoCOPA000000250000.01</v>
      </c>
      <c r="K801" s="1047">
        <v>250000.01</v>
      </c>
      <c r="L801" s="1047">
        <v>500000</v>
      </c>
      <c r="M801" s="1050">
        <v>70</v>
      </c>
      <c r="N801" s="1046">
        <v>25</v>
      </c>
      <c r="O801" s="1050">
        <v>6.75</v>
      </c>
      <c r="P801" s="1050">
        <v>8.56</v>
      </c>
    </row>
    <row r="802" spans="2:16" x14ac:dyDescent="0.25">
      <c r="B802" s="412">
        <v>801</v>
      </c>
      <c r="C802" s="595" t="s">
        <v>929</v>
      </c>
      <c r="D802" s="413" t="s">
        <v>8</v>
      </c>
      <c r="E802" s="413" t="s">
        <v>17</v>
      </c>
      <c r="F802" s="413" t="s">
        <v>11</v>
      </c>
      <c r="G802" s="413" t="s">
        <v>24</v>
      </c>
      <c r="H802" s="413" t="s">
        <v>25</v>
      </c>
      <c r="I802" s="1066" t="s">
        <v>913</v>
      </c>
      <c r="J802" s="414" t="str">
        <f t="shared" si="12"/>
        <v>CCompra de ViviendaIndividualResidencialUsadaApartamentoCOPA000000500000.01</v>
      </c>
      <c r="K802" s="1047">
        <v>500000.01</v>
      </c>
      <c r="L802" s="1047">
        <v>99999999</v>
      </c>
      <c r="M802" s="1050">
        <v>70</v>
      </c>
      <c r="N802" s="1046">
        <v>25</v>
      </c>
      <c r="O802" s="1050">
        <v>6.75</v>
      </c>
      <c r="P802" s="1050">
        <v>8.56</v>
      </c>
    </row>
    <row r="803" spans="2:16" x14ac:dyDescent="0.25">
      <c r="B803" s="415">
        <v>802</v>
      </c>
      <c r="C803" s="595" t="s">
        <v>929</v>
      </c>
      <c r="D803" s="413" t="s">
        <v>8</v>
      </c>
      <c r="E803" s="413" t="s">
        <v>17</v>
      </c>
      <c r="F803" s="413" t="s">
        <v>11</v>
      </c>
      <c r="G803" s="413" t="s">
        <v>24</v>
      </c>
      <c r="H803" s="413" t="s">
        <v>25</v>
      </c>
      <c r="I803" s="1066" t="s">
        <v>173</v>
      </c>
      <c r="J803" s="414" t="str">
        <f t="shared" si="12"/>
        <v>CCompra de ViviendaIndividualResidencialUsadaApartamentoFERIA000000030000.00</v>
      </c>
      <c r="K803" s="1047">
        <v>30000</v>
      </c>
      <c r="L803" s="1047">
        <v>250000</v>
      </c>
      <c r="M803" s="1050">
        <v>70</v>
      </c>
      <c r="N803" s="1046">
        <v>25</v>
      </c>
      <c r="O803" s="1050">
        <v>6.75</v>
      </c>
      <c r="P803" s="1050">
        <v>8.56</v>
      </c>
    </row>
    <row r="804" spans="2:16" x14ac:dyDescent="0.25">
      <c r="B804" s="415">
        <v>803</v>
      </c>
      <c r="C804" s="595" t="s">
        <v>929</v>
      </c>
      <c r="D804" s="413" t="s">
        <v>8</v>
      </c>
      <c r="E804" s="413" t="s">
        <v>17</v>
      </c>
      <c r="F804" s="413" t="s">
        <v>11</v>
      </c>
      <c r="G804" s="413" t="s">
        <v>24</v>
      </c>
      <c r="H804" s="413" t="s">
        <v>25</v>
      </c>
      <c r="I804" s="1066" t="s">
        <v>173</v>
      </c>
      <c r="J804" s="414" t="str">
        <f t="shared" si="12"/>
        <v>CCompra de ViviendaIndividualResidencialUsadaApartamentoFERIA000000250000.01</v>
      </c>
      <c r="K804" s="1047">
        <v>250000.01</v>
      </c>
      <c r="L804" s="1047">
        <v>500000</v>
      </c>
      <c r="M804" s="1050">
        <v>70</v>
      </c>
      <c r="N804" s="1046">
        <v>25</v>
      </c>
      <c r="O804" s="1050">
        <v>6.75</v>
      </c>
      <c r="P804" s="1050">
        <v>8.56</v>
      </c>
    </row>
    <row r="805" spans="2:16" x14ac:dyDescent="0.25">
      <c r="B805" s="415">
        <v>804</v>
      </c>
      <c r="C805" s="595" t="s">
        <v>929</v>
      </c>
      <c r="D805" s="413" t="s">
        <v>8</v>
      </c>
      <c r="E805" s="413" t="s">
        <v>17</v>
      </c>
      <c r="F805" s="413" t="s">
        <v>11</v>
      </c>
      <c r="G805" s="413" t="s">
        <v>24</v>
      </c>
      <c r="H805" s="413" t="s">
        <v>25</v>
      </c>
      <c r="I805" s="1066" t="s">
        <v>173</v>
      </c>
      <c r="J805" s="414" t="str">
        <f t="shared" si="12"/>
        <v>CCompra de ViviendaIndividualResidencialUsadaApartamentoFERIA000000500000.01</v>
      </c>
      <c r="K805" s="1047">
        <v>500000.01</v>
      </c>
      <c r="L805" s="1047">
        <v>99999999</v>
      </c>
      <c r="M805" s="1050">
        <v>70</v>
      </c>
      <c r="N805" s="1046">
        <v>25</v>
      </c>
      <c r="O805" s="1050">
        <v>6.75</v>
      </c>
      <c r="P805" s="1050">
        <v>8.56</v>
      </c>
    </row>
    <row r="806" spans="2:16" x14ac:dyDescent="0.25">
      <c r="B806" s="415">
        <v>805</v>
      </c>
      <c r="C806" s="1374" t="s">
        <v>929</v>
      </c>
      <c r="D806" s="413" t="s">
        <v>8</v>
      </c>
      <c r="E806" s="413" t="s">
        <v>17</v>
      </c>
      <c r="F806" s="413" t="s">
        <v>11</v>
      </c>
      <c r="G806" s="413" t="s">
        <v>24</v>
      </c>
      <c r="H806" s="413" t="s">
        <v>22</v>
      </c>
      <c r="I806" s="1066" t="s">
        <v>567</v>
      </c>
      <c r="J806" s="414" t="str">
        <f t="shared" si="12"/>
        <v>CCompra de ViviendaIndividualResidencialUsadaCasaBG000000030000.00</v>
      </c>
      <c r="K806" s="1047">
        <v>30000</v>
      </c>
      <c r="L806" s="1047">
        <v>250000</v>
      </c>
      <c r="M806" s="1050">
        <v>70</v>
      </c>
      <c r="N806" s="1046">
        <v>30</v>
      </c>
      <c r="O806" s="1050">
        <v>7</v>
      </c>
      <c r="P806" s="1050">
        <v>8.56</v>
      </c>
    </row>
    <row r="807" spans="2:16" x14ac:dyDescent="0.25">
      <c r="B807" s="412">
        <v>806</v>
      </c>
      <c r="C807" s="1374" t="s">
        <v>929</v>
      </c>
      <c r="D807" s="413" t="s">
        <v>8</v>
      </c>
      <c r="E807" s="413" t="s">
        <v>17</v>
      </c>
      <c r="F807" s="413" t="s">
        <v>11</v>
      </c>
      <c r="G807" s="413" t="s">
        <v>24</v>
      </c>
      <c r="H807" s="413" t="s">
        <v>22</v>
      </c>
      <c r="I807" s="1066" t="s">
        <v>567</v>
      </c>
      <c r="J807" s="414" t="str">
        <f t="shared" si="12"/>
        <v>CCompra de ViviendaIndividualResidencialUsadaCasaBG000000500000.01</v>
      </c>
      <c r="K807" s="1047">
        <v>500000.01</v>
      </c>
      <c r="L807" s="1047">
        <v>99999999</v>
      </c>
      <c r="M807" s="1050">
        <v>60</v>
      </c>
      <c r="N807" s="1046">
        <v>30</v>
      </c>
      <c r="O807" s="1050">
        <v>7</v>
      </c>
      <c r="P807" s="1050">
        <v>8.56</v>
      </c>
    </row>
    <row r="808" spans="2:16" x14ac:dyDescent="0.25">
      <c r="B808" s="415">
        <v>807</v>
      </c>
      <c r="C808" s="1374" t="s">
        <v>929</v>
      </c>
      <c r="D808" s="413" t="s">
        <v>8</v>
      </c>
      <c r="E808" s="413" t="s">
        <v>17</v>
      </c>
      <c r="F808" s="413" t="s">
        <v>11</v>
      </c>
      <c r="G808" s="413" t="s">
        <v>24</v>
      </c>
      <c r="H808" s="413" t="s">
        <v>22</v>
      </c>
      <c r="I808" s="1066" t="s">
        <v>567</v>
      </c>
      <c r="J808" s="414" t="str">
        <f t="shared" si="12"/>
        <v>CCompra de ViviendaIndividualResidencialUsadaCasaBG000002500000.01</v>
      </c>
      <c r="K808" s="1047">
        <v>2500000.0099999998</v>
      </c>
      <c r="L808" s="1047">
        <v>500000</v>
      </c>
      <c r="M808" s="1050">
        <v>50</v>
      </c>
      <c r="N808" s="1046">
        <v>30</v>
      </c>
      <c r="O808" s="1050">
        <v>7</v>
      </c>
      <c r="P808" s="1050">
        <v>8.56</v>
      </c>
    </row>
    <row r="809" spans="2:16" x14ac:dyDescent="0.25">
      <c r="B809" s="415">
        <v>808</v>
      </c>
      <c r="C809" s="595" t="s">
        <v>929</v>
      </c>
      <c r="D809" s="413" t="s">
        <v>8</v>
      </c>
      <c r="E809" s="413" t="s">
        <v>17</v>
      </c>
      <c r="F809" s="413" t="s">
        <v>11</v>
      </c>
      <c r="G809" s="413" t="s">
        <v>24</v>
      </c>
      <c r="H809" s="413" t="s">
        <v>22</v>
      </c>
      <c r="I809" s="1066" t="s">
        <v>913</v>
      </c>
      <c r="J809" s="414" t="str">
        <f t="shared" si="12"/>
        <v>CCompra de ViviendaIndividualResidencialUsadaCasaCOPA000000030000.00</v>
      </c>
      <c r="K809" s="1047">
        <v>30000</v>
      </c>
      <c r="L809" s="1047">
        <v>250000</v>
      </c>
      <c r="M809" s="1050">
        <v>70</v>
      </c>
      <c r="N809" s="1046">
        <v>25</v>
      </c>
      <c r="O809" s="1050">
        <v>6.75</v>
      </c>
      <c r="P809" s="1050">
        <v>8.56</v>
      </c>
    </row>
    <row r="810" spans="2:16" x14ac:dyDescent="0.25">
      <c r="B810" s="415">
        <v>809</v>
      </c>
      <c r="C810" s="595" t="s">
        <v>929</v>
      </c>
      <c r="D810" s="413" t="s">
        <v>8</v>
      </c>
      <c r="E810" s="413" t="s">
        <v>17</v>
      </c>
      <c r="F810" s="413" t="s">
        <v>11</v>
      </c>
      <c r="G810" s="413" t="s">
        <v>24</v>
      </c>
      <c r="H810" s="413" t="s">
        <v>22</v>
      </c>
      <c r="I810" s="1066" t="s">
        <v>913</v>
      </c>
      <c r="J810" s="414" t="str">
        <f t="shared" si="12"/>
        <v>CCompra de ViviendaIndividualResidencialUsadaCasaCOPA000000500000.01</v>
      </c>
      <c r="K810" s="1047">
        <v>500000.01</v>
      </c>
      <c r="L810" s="1047">
        <v>99999999</v>
      </c>
      <c r="M810" s="1050">
        <v>70</v>
      </c>
      <c r="N810" s="1046">
        <v>25</v>
      </c>
      <c r="O810" s="1050">
        <v>6.75</v>
      </c>
      <c r="P810" s="1050">
        <v>8.56</v>
      </c>
    </row>
    <row r="811" spans="2:16" x14ac:dyDescent="0.25">
      <c r="B811" s="415">
        <v>810</v>
      </c>
      <c r="C811" s="595" t="s">
        <v>929</v>
      </c>
      <c r="D811" s="413" t="s">
        <v>8</v>
      </c>
      <c r="E811" s="413" t="s">
        <v>17</v>
      </c>
      <c r="F811" s="413" t="s">
        <v>11</v>
      </c>
      <c r="G811" s="413" t="s">
        <v>24</v>
      </c>
      <c r="H811" s="413" t="s">
        <v>22</v>
      </c>
      <c r="I811" s="1066" t="s">
        <v>913</v>
      </c>
      <c r="J811" s="414" t="str">
        <f t="shared" si="12"/>
        <v>CCompra de ViviendaIndividualResidencialUsadaCasaCOPA000002500000.01</v>
      </c>
      <c r="K811" s="1047">
        <v>2500000.0099999998</v>
      </c>
      <c r="L811" s="1047">
        <v>500000</v>
      </c>
      <c r="M811" s="1050">
        <v>70</v>
      </c>
      <c r="N811" s="1046">
        <v>25</v>
      </c>
      <c r="O811" s="1050">
        <v>6.75</v>
      </c>
      <c r="P811" s="1050">
        <v>8.56</v>
      </c>
    </row>
    <row r="812" spans="2:16" x14ac:dyDescent="0.25">
      <c r="B812" s="412">
        <v>811</v>
      </c>
      <c r="C812" s="595" t="s">
        <v>929</v>
      </c>
      <c r="D812" s="413" t="s">
        <v>8</v>
      </c>
      <c r="E812" s="413" t="s">
        <v>17</v>
      </c>
      <c r="F812" s="413" t="s">
        <v>11</v>
      </c>
      <c r="G812" s="413" t="s">
        <v>24</v>
      </c>
      <c r="H812" s="413" t="s">
        <v>22</v>
      </c>
      <c r="I812" s="1066" t="s">
        <v>173</v>
      </c>
      <c r="J812" s="414" t="str">
        <f t="shared" si="12"/>
        <v>CCompra de ViviendaIndividualResidencialUsadaCasaFERIA000000030000.00</v>
      </c>
      <c r="K812" s="1047">
        <v>30000</v>
      </c>
      <c r="L812" s="1047">
        <v>250000</v>
      </c>
      <c r="M812" s="1050">
        <v>70</v>
      </c>
      <c r="N812" s="1046">
        <v>25</v>
      </c>
      <c r="O812" s="1050">
        <v>6.75</v>
      </c>
      <c r="P812" s="1050">
        <v>8.56</v>
      </c>
    </row>
    <row r="813" spans="2:16" x14ac:dyDescent="0.25">
      <c r="B813" s="415">
        <v>812</v>
      </c>
      <c r="C813" s="595" t="s">
        <v>929</v>
      </c>
      <c r="D813" s="413" t="s">
        <v>8</v>
      </c>
      <c r="E813" s="413" t="s">
        <v>17</v>
      </c>
      <c r="F813" s="413" t="s">
        <v>11</v>
      </c>
      <c r="G813" s="413" t="s">
        <v>24</v>
      </c>
      <c r="H813" s="413" t="s">
        <v>22</v>
      </c>
      <c r="I813" s="1066" t="s">
        <v>173</v>
      </c>
      <c r="J813" s="414" t="str">
        <f t="shared" si="12"/>
        <v>CCompra de ViviendaIndividualResidencialUsadaCasaFERIA000000500000.01</v>
      </c>
      <c r="K813" s="1047">
        <v>500000.01</v>
      </c>
      <c r="L813" s="1047">
        <v>99999999</v>
      </c>
      <c r="M813" s="1050">
        <v>70</v>
      </c>
      <c r="N813" s="1046">
        <v>25</v>
      </c>
      <c r="O813" s="1050">
        <v>6.75</v>
      </c>
      <c r="P813" s="1050">
        <v>8.56</v>
      </c>
    </row>
    <row r="814" spans="2:16" x14ac:dyDescent="0.25">
      <c r="B814" s="415">
        <v>813</v>
      </c>
      <c r="C814" s="595" t="s">
        <v>929</v>
      </c>
      <c r="D814" s="413" t="s">
        <v>8</v>
      </c>
      <c r="E814" s="413" t="s">
        <v>17</v>
      </c>
      <c r="F814" s="413" t="s">
        <v>11</v>
      </c>
      <c r="G814" s="413" t="s">
        <v>24</v>
      </c>
      <c r="H814" s="413" t="s">
        <v>22</v>
      </c>
      <c r="I814" s="1066" t="s">
        <v>173</v>
      </c>
      <c r="J814" s="414" t="str">
        <f t="shared" si="12"/>
        <v>CCompra de ViviendaIndividualResidencialUsadaCasaFERIA000002500000.01</v>
      </c>
      <c r="K814" s="1047">
        <v>2500000.0099999998</v>
      </c>
      <c r="L814" s="1047">
        <v>500000</v>
      </c>
      <c r="M814" s="1050">
        <v>70</v>
      </c>
      <c r="N814" s="1046">
        <v>25</v>
      </c>
      <c r="O814" s="1050">
        <v>6.75</v>
      </c>
      <c r="P814" s="1050">
        <v>8.56</v>
      </c>
    </row>
    <row r="815" spans="2:16" x14ac:dyDescent="0.25">
      <c r="B815" s="415">
        <v>814</v>
      </c>
      <c r="C815" s="595" t="s">
        <v>929</v>
      </c>
      <c r="D815" s="413" t="s">
        <v>1365</v>
      </c>
      <c r="E815" s="413" t="s">
        <v>762</v>
      </c>
      <c r="F815" s="413" t="s">
        <v>11</v>
      </c>
      <c r="G815" s="413" t="s">
        <v>21</v>
      </c>
      <c r="H815" s="413" t="s">
        <v>25</v>
      </c>
      <c r="I815" s="1066" t="s">
        <v>567</v>
      </c>
      <c r="J815" s="414" t="str">
        <f t="shared" si="12"/>
        <v>CCompra Venta de AccionesCasco AntiguoResidencialNuevaApartamentoBG000000030000.00</v>
      </c>
      <c r="K815" s="1047">
        <v>30000</v>
      </c>
      <c r="L815" s="1047">
        <v>99999999</v>
      </c>
      <c r="M815" s="1050">
        <v>70</v>
      </c>
      <c r="N815" s="1046">
        <v>25</v>
      </c>
      <c r="O815" s="1050">
        <v>3.5</v>
      </c>
      <c r="P815" s="1050">
        <v>4.28</v>
      </c>
    </row>
    <row r="816" spans="2:16" x14ac:dyDescent="0.25">
      <c r="B816" s="415">
        <v>815</v>
      </c>
      <c r="C816" s="595" t="s">
        <v>929</v>
      </c>
      <c r="D816" s="413" t="s">
        <v>1365</v>
      </c>
      <c r="E816" s="413" t="s">
        <v>762</v>
      </c>
      <c r="F816" s="413" t="s">
        <v>11</v>
      </c>
      <c r="G816" s="413" t="s">
        <v>21</v>
      </c>
      <c r="H816" s="413" t="s">
        <v>22</v>
      </c>
      <c r="I816" s="1066" t="s">
        <v>567</v>
      </c>
      <c r="J816" s="414" t="str">
        <f t="shared" si="12"/>
        <v>CCompra Venta de AccionesCasco AntiguoResidencialNuevaCasaBG000000030000.00</v>
      </c>
      <c r="K816" s="1047">
        <v>30000</v>
      </c>
      <c r="L816" s="1047">
        <v>99999999</v>
      </c>
      <c r="M816" s="1050">
        <v>70</v>
      </c>
      <c r="N816" s="1046">
        <v>25</v>
      </c>
      <c r="O816" s="1050">
        <v>3.5</v>
      </c>
      <c r="P816" s="1050">
        <v>4.28</v>
      </c>
    </row>
    <row r="817" spans="2:16" x14ac:dyDescent="0.25">
      <c r="B817" s="412">
        <v>816</v>
      </c>
      <c r="C817" s="595" t="s">
        <v>929</v>
      </c>
      <c r="D817" s="421" t="s">
        <v>1365</v>
      </c>
      <c r="E817" s="421" t="s">
        <v>762</v>
      </c>
      <c r="F817" s="421" t="s">
        <v>11</v>
      </c>
      <c r="G817" s="421" t="s">
        <v>24</v>
      </c>
      <c r="H817" s="421" t="s">
        <v>25</v>
      </c>
      <c r="I817" s="1066" t="s">
        <v>567</v>
      </c>
      <c r="J817" s="414" t="str">
        <f t="shared" si="12"/>
        <v>CCompra Venta de AccionesCasco AntiguoResidencialUsadaApartamentoBG000000030000.00</v>
      </c>
      <c r="K817" s="1049">
        <v>30000</v>
      </c>
      <c r="L817" s="1049">
        <v>99999999</v>
      </c>
      <c r="M817" s="1053">
        <v>70</v>
      </c>
      <c r="N817" s="1048">
        <v>25</v>
      </c>
      <c r="O817" s="1050">
        <v>3.5</v>
      </c>
      <c r="P817" s="1050">
        <v>4.28</v>
      </c>
    </row>
    <row r="818" spans="2:16" x14ac:dyDescent="0.25">
      <c r="B818" s="415">
        <v>817</v>
      </c>
      <c r="C818" s="595" t="s">
        <v>929</v>
      </c>
      <c r="D818" s="421" t="s">
        <v>1365</v>
      </c>
      <c r="E818" s="421" t="s">
        <v>762</v>
      </c>
      <c r="F818" s="421" t="s">
        <v>11</v>
      </c>
      <c r="G818" s="421" t="s">
        <v>24</v>
      </c>
      <c r="H818" s="421" t="s">
        <v>22</v>
      </c>
      <c r="I818" s="1066" t="s">
        <v>567</v>
      </c>
      <c r="J818" s="414" t="str">
        <f t="shared" si="12"/>
        <v>CCompra Venta de AccionesCasco AntiguoResidencialUsadaCasaBG000000030000.00</v>
      </c>
      <c r="K818" s="1049">
        <v>30000</v>
      </c>
      <c r="L818" s="1049">
        <v>99999999</v>
      </c>
      <c r="M818" s="1053">
        <v>70</v>
      </c>
      <c r="N818" s="1048">
        <v>25</v>
      </c>
      <c r="O818" s="1050">
        <v>3.5</v>
      </c>
      <c r="P818" s="1053">
        <v>4.28</v>
      </c>
    </row>
    <row r="819" spans="2:16" x14ac:dyDescent="0.25">
      <c r="B819" s="415">
        <v>818</v>
      </c>
      <c r="C819" s="595" t="s">
        <v>929</v>
      </c>
      <c r="D819" s="421" t="s">
        <v>1365</v>
      </c>
      <c r="E819" s="421" t="s">
        <v>17</v>
      </c>
      <c r="F819" s="421" t="s">
        <v>11</v>
      </c>
      <c r="G819" s="421" t="s">
        <v>21</v>
      </c>
      <c r="H819" s="421" t="s">
        <v>25</v>
      </c>
      <c r="I819" s="1066" t="s">
        <v>567</v>
      </c>
      <c r="J819" s="414" t="str">
        <f t="shared" si="12"/>
        <v>CCompra Venta de AccionesIndividualResidencialNuevaApartamentoBG000000030000.00</v>
      </c>
      <c r="K819" s="1049">
        <v>30000</v>
      </c>
      <c r="L819" s="1049">
        <v>100000</v>
      </c>
      <c r="M819" s="1053">
        <v>70</v>
      </c>
      <c r="N819" s="1048">
        <v>25</v>
      </c>
      <c r="O819" s="1053">
        <v>6.5</v>
      </c>
      <c r="P819" s="1050">
        <v>8.56</v>
      </c>
    </row>
    <row r="820" spans="2:16" x14ac:dyDescent="0.25">
      <c r="B820" s="415">
        <v>819</v>
      </c>
      <c r="C820" s="595" t="s">
        <v>929</v>
      </c>
      <c r="D820" s="413" t="s">
        <v>1365</v>
      </c>
      <c r="E820" s="413" t="s">
        <v>17</v>
      </c>
      <c r="F820" s="413" t="s">
        <v>11</v>
      </c>
      <c r="G820" s="413" t="s">
        <v>21</v>
      </c>
      <c r="H820" s="413" t="s">
        <v>25</v>
      </c>
      <c r="I820" s="1066" t="s">
        <v>567</v>
      </c>
      <c r="J820" s="414" t="str">
        <f t="shared" si="12"/>
        <v>CCompra Venta de AccionesIndividualResidencialNuevaApartamentoBG000000100000.01</v>
      </c>
      <c r="K820" s="1047">
        <v>100000.01</v>
      </c>
      <c r="L820" s="1047">
        <v>250000</v>
      </c>
      <c r="M820" s="1050">
        <v>70</v>
      </c>
      <c r="N820" s="1046">
        <v>25</v>
      </c>
      <c r="O820" s="1050">
        <v>6.5</v>
      </c>
      <c r="P820" s="1050">
        <v>8.56</v>
      </c>
    </row>
    <row r="821" spans="2:16" x14ac:dyDescent="0.25">
      <c r="B821" s="415">
        <v>820</v>
      </c>
      <c r="C821" s="595" t="s">
        <v>929</v>
      </c>
      <c r="D821" s="413" t="s">
        <v>1365</v>
      </c>
      <c r="E821" s="413" t="s">
        <v>17</v>
      </c>
      <c r="F821" s="413" t="s">
        <v>11</v>
      </c>
      <c r="G821" s="413" t="s">
        <v>21</v>
      </c>
      <c r="H821" s="413" t="s">
        <v>25</v>
      </c>
      <c r="I821" s="1066" t="s">
        <v>567</v>
      </c>
      <c r="J821" s="414" t="str">
        <f t="shared" si="12"/>
        <v>CCompra Venta de AccionesIndividualResidencialNuevaApartamentoBG000000250000.01</v>
      </c>
      <c r="K821" s="1047">
        <v>250000.01</v>
      </c>
      <c r="L821" s="1047">
        <v>400000</v>
      </c>
      <c r="M821" s="1050">
        <v>70</v>
      </c>
      <c r="N821" s="1046">
        <v>25</v>
      </c>
      <c r="O821" s="1050">
        <v>6.5</v>
      </c>
      <c r="P821" s="1050">
        <v>8.56</v>
      </c>
    </row>
    <row r="822" spans="2:16" x14ac:dyDescent="0.25">
      <c r="B822" s="412">
        <v>821</v>
      </c>
      <c r="C822" s="595" t="s">
        <v>929</v>
      </c>
      <c r="D822" s="413" t="s">
        <v>1365</v>
      </c>
      <c r="E822" s="413" t="s">
        <v>17</v>
      </c>
      <c r="F822" s="413" t="s">
        <v>11</v>
      </c>
      <c r="G822" s="413" t="s">
        <v>21</v>
      </c>
      <c r="H822" s="413" t="s">
        <v>25</v>
      </c>
      <c r="I822" s="1066" t="s">
        <v>567</v>
      </c>
      <c r="J822" s="414" t="str">
        <f t="shared" si="12"/>
        <v>CCompra Venta de AccionesIndividualResidencialNuevaApartamentoBG000000400000.01</v>
      </c>
      <c r="K822" s="1047">
        <v>400000.01</v>
      </c>
      <c r="L822" s="1047">
        <v>99999999</v>
      </c>
      <c r="M822" s="1050">
        <v>70</v>
      </c>
      <c r="N822" s="1046">
        <v>25</v>
      </c>
      <c r="O822" s="1050">
        <v>6.5</v>
      </c>
      <c r="P822" s="1050">
        <v>8.56</v>
      </c>
    </row>
    <row r="823" spans="2:16" x14ac:dyDescent="0.25">
      <c r="B823" s="415">
        <v>822</v>
      </c>
      <c r="C823" s="595" t="s">
        <v>929</v>
      </c>
      <c r="D823" s="413" t="s">
        <v>1365</v>
      </c>
      <c r="E823" s="413" t="s">
        <v>17</v>
      </c>
      <c r="F823" s="413" t="s">
        <v>11</v>
      </c>
      <c r="G823" s="413" t="s">
        <v>21</v>
      </c>
      <c r="H823" s="413" t="s">
        <v>22</v>
      </c>
      <c r="I823" s="1066" t="s">
        <v>567</v>
      </c>
      <c r="J823" s="414" t="str">
        <f t="shared" si="12"/>
        <v>CCompra Venta de AccionesIndividualResidencialNuevaCasaBG000000018000.00</v>
      </c>
      <c r="K823" s="1047">
        <v>18000</v>
      </c>
      <c r="L823" s="1047">
        <v>100000</v>
      </c>
      <c r="M823" s="1050">
        <v>70</v>
      </c>
      <c r="N823" s="1046">
        <v>25</v>
      </c>
      <c r="O823" s="1050">
        <v>6.5</v>
      </c>
      <c r="P823" s="1050">
        <v>8.56</v>
      </c>
    </row>
    <row r="824" spans="2:16" x14ac:dyDescent="0.25">
      <c r="B824" s="415">
        <v>823</v>
      </c>
      <c r="C824" s="595" t="s">
        <v>929</v>
      </c>
      <c r="D824" s="413" t="s">
        <v>1365</v>
      </c>
      <c r="E824" s="413" t="s">
        <v>17</v>
      </c>
      <c r="F824" s="413" t="s">
        <v>11</v>
      </c>
      <c r="G824" s="413" t="s">
        <v>21</v>
      </c>
      <c r="H824" s="413" t="s">
        <v>22</v>
      </c>
      <c r="I824" s="1066" t="s">
        <v>567</v>
      </c>
      <c r="J824" s="414" t="str">
        <f t="shared" si="12"/>
        <v>CCompra Venta de AccionesIndividualResidencialNuevaCasaBG000000100000.01</v>
      </c>
      <c r="K824" s="1047">
        <v>100000.01</v>
      </c>
      <c r="L824" s="1047">
        <v>250000</v>
      </c>
      <c r="M824" s="1050">
        <v>70</v>
      </c>
      <c r="N824" s="1046">
        <v>25</v>
      </c>
      <c r="O824" s="1050">
        <v>6.5</v>
      </c>
      <c r="P824" s="1050">
        <v>8.56</v>
      </c>
    </row>
    <row r="825" spans="2:16" x14ac:dyDescent="0.25">
      <c r="B825" s="415">
        <v>824</v>
      </c>
      <c r="C825" s="595" t="s">
        <v>929</v>
      </c>
      <c r="D825" s="413" t="s">
        <v>1365</v>
      </c>
      <c r="E825" s="413" t="s">
        <v>17</v>
      </c>
      <c r="F825" s="413" t="s">
        <v>11</v>
      </c>
      <c r="G825" s="413" t="s">
        <v>21</v>
      </c>
      <c r="H825" s="413" t="s">
        <v>22</v>
      </c>
      <c r="I825" s="1066" t="s">
        <v>567</v>
      </c>
      <c r="J825" s="414" t="str">
        <f t="shared" si="12"/>
        <v>CCompra Venta de AccionesIndividualResidencialNuevaCasaBG000000250000.01</v>
      </c>
      <c r="K825" s="1047">
        <v>250000.01</v>
      </c>
      <c r="L825" s="1047">
        <v>600000</v>
      </c>
      <c r="M825" s="1050">
        <v>70</v>
      </c>
      <c r="N825" s="1046">
        <v>25</v>
      </c>
      <c r="O825" s="1050">
        <v>6.5</v>
      </c>
      <c r="P825" s="1050">
        <v>8.56</v>
      </c>
    </row>
    <row r="826" spans="2:16" x14ac:dyDescent="0.25">
      <c r="B826" s="415">
        <v>825</v>
      </c>
      <c r="C826" s="595" t="s">
        <v>929</v>
      </c>
      <c r="D826" s="413" t="s">
        <v>1365</v>
      </c>
      <c r="E826" s="413" t="s">
        <v>17</v>
      </c>
      <c r="F826" s="413" t="s">
        <v>11</v>
      </c>
      <c r="G826" s="413" t="s">
        <v>21</v>
      </c>
      <c r="H826" s="413" t="s">
        <v>22</v>
      </c>
      <c r="I826" s="1066" t="s">
        <v>567</v>
      </c>
      <c r="J826" s="414" t="str">
        <f t="shared" si="12"/>
        <v>CCompra Venta de AccionesIndividualResidencialNuevaCasaBG000000600000.01</v>
      </c>
      <c r="K826" s="1047">
        <v>600000.01</v>
      </c>
      <c r="L826" s="1047">
        <v>99999999</v>
      </c>
      <c r="M826" s="1050">
        <v>70</v>
      </c>
      <c r="N826" s="1046">
        <v>25</v>
      </c>
      <c r="O826" s="1050">
        <v>6.5</v>
      </c>
      <c r="P826" s="1050">
        <v>8.56</v>
      </c>
    </row>
    <row r="827" spans="2:16" x14ac:dyDescent="0.25">
      <c r="B827" s="412">
        <v>826</v>
      </c>
      <c r="C827" s="595" t="s">
        <v>929</v>
      </c>
      <c r="D827" s="413" t="s">
        <v>1365</v>
      </c>
      <c r="E827" s="413" t="s">
        <v>17</v>
      </c>
      <c r="F827" s="413" t="s">
        <v>11</v>
      </c>
      <c r="G827" s="413" t="s">
        <v>24</v>
      </c>
      <c r="H827" s="413" t="s">
        <v>25</v>
      </c>
      <c r="I827" s="1066" t="s">
        <v>567</v>
      </c>
      <c r="J827" s="414" t="str">
        <f t="shared" si="12"/>
        <v>CCompra Venta de AccionesIndividualResidencialUsadaApartamentoBG000000030000.00</v>
      </c>
      <c r="K827" s="1047">
        <v>30000</v>
      </c>
      <c r="L827" s="1047">
        <v>250000</v>
      </c>
      <c r="M827" s="1050">
        <v>70</v>
      </c>
      <c r="N827" s="1046">
        <v>25</v>
      </c>
      <c r="O827" s="1050">
        <v>6.75</v>
      </c>
      <c r="P827" s="1050">
        <v>8.56</v>
      </c>
    </row>
    <row r="828" spans="2:16" x14ac:dyDescent="0.25">
      <c r="B828" s="415">
        <v>827</v>
      </c>
      <c r="C828" s="595" t="s">
        <v>929</v>
      </c>
      <c r="D828" s="413" t="s">
        <v>1365</v>
      </c>
      <c r="E828" s="413" t="s">
        <v>17</v>
      </c>
      <c r="F828" s="413" t="s">
        <v>11</v>
      </c>
      <c r="G828" s="413" t="s">
        <v>24</v>
      </c>
      <c r="H828" s="413" t="s">
        <v>25</v>
      </c>
      <c r="I828" s="1066" t="s">
        <v>567</v>
      </c>
      <c r="J828" s="414" t="str">
        <f t="shared" si="12"/>
        <v>CCompra Venta de AccionesIndividualResidencialUsadaApartamentoBG000000250000.01</v>
      </c>
      <c r="K828" s="1047">
        <v>250000.01</v>
      </c>
      <c r="L828" s="1047">
        <v>500000</v>
      </c>
      <c r="M828" s="1050">
        <v>70</v>
      </c>
      <c r="N828" s="1046">
        <v>25</v>
      </c>
      <c r="O828" s="1050">
        <v>6.75</v>
      </c>
      <c r="P828" s="1050">
        <v>8.56</v>
      </c>
    </row>
    <row r="829" spans="2:16" x14ac:dyDescent="0.25">
      <c r="B829" s="415">
        <v>828</v>
      </c>
      <c r="C829" s="595" t="s">
        <v>929</v>
      </c>
      <c r="D829" s="413" t="s">
        <v>1365</v>
      </c>
      <c r="E829" s="413" t="s">
        <v>17</v>
      </c>
      <c r="F829" s="413" t="s">
        <v>11</v>
      </c>
      <c r="G829" s="413" t="s">
        <v>24</v>
      </c>
      <c r="H829" s="413" t="s">
        <v>25</v>
      </c>
      <c r="I829" s="1066" t="s">
        <v>567</v>
      </c>
      <c r="J829" s="414" t="str">
        <f t="shared" si="12"/>
        <v>CCompra Venta de AccionesIndividualResidencialUsadaApartamentoBG000000500000.01</v>
      </c>
      <c r="K829" s="1047">
        <v>500000.01</v>
      </c>
      <c r="L829" s="1047">
        <v>99999999</v>
      </c>
      <c r="M829" s="1050">
        <v>70</v>
      </c>
      <c r="N829" s="1046">
        <v>25</v>
      </c>
      <c r="O829" s="1050">
        <v>6.75</v>
      </c>
      <c r="P829" s="1050">
        <v>8.56</v>
      </c>
    </row>
    <row r="830" spans="2:16" x14ac:dyDescent="0.25">
      <c r="B830" s="415">
        <v>829</v>
      </c>
      <c r="C830" s="595" t="s">
        <v>929</v>
      </c>
      <c r="D830" s="413" t="s">
        <v>1365</v>
      </c>
      <c r="E830" s="413" t="s">
        <v>17</v>
      </c>
      <c r="F830" s="413" t="s">
        <v>11</v>
      </c>
      <c r="G830" s="413" t="s">
        <v>24</v>
      </c>
      <c r="H830" s="413" t="s">
        <v>22</v>
      </c>
      <c r="I830" s="1066" t="s">
        <v>567</v>
      </c>
      <c r="J830" s="414" t="str">
        <f t="shared" si="12"/>
        <v>CCompra Venta de AccionesIndividualResidencialUsadaCasaBG000000030000.00</v>
      </c>
      <c r="K830" s="1047">
        <v>30000</v>
      </c>
      <c r="L830" s="1047">
        <v>250000</v>
      </c>
      <c r="M830" s="1050">
        <v>70</v>
      </c>
      <c r="N830" s="1046">
        <v>25</v>
      </c>
      <c r="O830" s="1050">
        <v>6.75</v>
      </c>
      <c r="P830" s="1050">
        <v>8.56</v>
      </c>
    </row>
    <row r="831" spans="2:16" x14ac:dyDescent="0.25">
      <c r="B831" s="415">
        <v>830</v>
      </c>
      <c r="C831" s="595" t="s">
        <v>929</v>
      </c>
      <c r="D831" s="413" t="s">
        <v>1365</v>
      </c>
      <c r="E831" s="413" t="s">
        <v>17</v>
      </c>
      <c r="F831" s="413" t="s">
        <v>11</v>
      </c>
      <c r="G831" s="413" t="s">
        <v>24</v>
      </c>
      <c r="H831" s="413" t="s">
        <v>22</v>
      </c>
      <c r="I831" s="1066" t="s">
        <v>567</v>
      </c>
      <c r="J831" s="414" t="str">
        <f t="shared" si="12"/>
        <v>CCompra Venta de AccionesIndividualResidencialUsadaCasaBG000000250000.01</v>
      </c>
      <c r="K831" s="1047">
        <v>250000.01</v>
      </c>
      <c r="L831" s="1047">
        <v>500000</v>
      </c>
      <c r="M831" s="1050">
        <v>70</v>
      </c>
      <c r="N831" s="1046">
        <v>25</v>
      </c>
      <c r="O831" s="1050">
        <v>6.75</v>
      </c>
      <c r="P831" s="1050">
        <v>8.56</v>
      </c>
    </row>
    <row r="832" spans="2:16" x14ac:dyDescent="0.25">
      <c r="B832" s="412">
        <v>831</v>
      </c>
      <c r="C832" s="595" t="s">
        <v>929</v>
      </c>
      <c r="D832" s="413" t="s">
        <v>1365</v>
      </c>
      <c r="E832" s="413" t="s">
        <v>17</v>
      </c>
      <c r="F832" s="413" t="s">
        <v>11</v>
      </c>
      <c r="G832" s="413" t="s">
        <v>24</v>
      </c>
      <c r="H832" s="413" t="s">
        <v>22</v>
      </c>
      <c r="I832" s="1066" t="s">
        <v>567</v>
      </c>
      <c r="J832" s="414" t="str">
        <f t="shared" si="12"/>
        <v>CCompra Venta de AccionesIndividualResidencialUsadaCasaBG000000500000.01</v>
      </c>
      <c r="K832" s="1047">
        <v>500000.01</v>
      </c>
      <c r="L832" s="1047">
        <v>99999999</v>
      </c>
      <c r="M832" s="1050">
        <v>70</v>
      </c>
      <c r="N832" s="1046">
        <v>25</v>
      </c>
      <c r="O832" s="1050">
        <v>6.75</v>
      </c>
      <c r="P832" s="1050">
        <v>8.56</v>
      </c>
    </row>
    <row r="833" spans="2:16" x14ac:dyDescent="0.25">
      <c r="B833" s="415">
        <v>832</v>
      </c>
      <c r="C833" s="1374" t="s">
        <v>929</v>
      </c>
      <c r="D833" s="413" t="s">
        <v>23</v>
      </c>
      <c r="E833" s="413" t="s">
        <v>17</v>
      </c>
      <c r="F833" s="413" t="s">
        <v>13</v>
      </c>
      <c r="G833" s="413" t="s">
        <v>21</v>
      </c>
      <c r="H833" s="413" t="s">
        <v>25</v>
      </c>
      <c r="I833" s="1066" t="s">
        <v>567</v>
      </c>
      <c r="J833" s="414" t="str">
        <f t="shared" si="12"/>
        <v>CCompra Vivienda VacacionalIndividualVacacionalNuevaApartamentoBG000000050000.00</v>
      </c>
      <c r="K833" s="1047">
        <v>50000</v>
      </c>
      <c r="L833" s="1047">
        <v>99999999</v>
      </c>
      <c r="M833" s="1050">
        <v>60</v>
      </c>
      <c r="N833" s="1046">
        <v>20</v>
      </c>
      <c r="O833" s="1050">
        <v>7.5</v>
      </c>
      <c r="P833" s="1050">
        <v>8.56</v>
      </c>
    </row>
    <row r="834" spans="2:16" x14ac:dyDescent="0.25">
      <c r="B834" s="415">
        <v>833</v>
      </c>
      <c r="C834" s="595" t="s">
        <v>929</v>
      </c>
      <c r="D834" s="413" t="s">
        <v>23</v>
      </c>
      <c r="E834" s="413" t="s">
        <v>17</v>
      </c>
      <c r="F834" s="413" t="s">
        <v>13</v>
      </c>
      <c r="G834" s="413" t="s">
        <v>21</v>
      </c>
      <c r="H834" s="413" t="s">
        <v>25</v>
      </c>
      <c r="I834" s="1066" t="s">
        <v>913</v>
      </c>
      <c r="J834" s="414" t="str">
        <f t="shared" ref="J834:J897" si="13">C834&amp;D834&amp;E834&amp;F834&amp;G834&amp;H834&amp;I834 &amp; REPT("0",15-LEN(K834 &amp; IF(IFERROR(FIND(".",K834&amp;""),0)=0,".00","")))&amp;K834 &amp; IF(IFERROR(FIND(".",K834&amp;""),0)=0,".00","")</f>
        <v>CCompra Vivienda VacacionalIndividualVacacionalNuevaApartamentoCOPA000000050000.00</v>
      </c>
      <c r="K834" s="1047">
        <v>50000</v>
      </c>
      <c r="L834" s="1047">
        <v>99999999</v>
      </c>
      <c r="M834" s="1050">
        <v>60</v>
      </c>
      <c r="N834" s="1046">
        <v>20</v>
      </c>
      <c r="O834" s="1050">
        <v>7.5</v>
      </c>
      <c r="P834" s="1050">
        <v>8.56</v>
      </c>
    </row>
    <row r="835" spans="2:16" x14ac:dyDescent="0.25">
      <c r="B835" s="415">
        <v>834</v>
      </c>
      <c r="C835" s="595" t="s">
        <v>929</v>
      </c>
      <c r="D835" s="413" t="s">
        <v>23</v>
      </c>
      <c r="E835" s="413" t="s">
        <v>17</v>
      </c>
      <c r="F835" s="413" t="s">
        <v>13</v>
      </c>
      <c r="G835" s="413" t="s">
        <v>21</v>
      </c>
      <c r="H835" s="413" t="s">
        <v>25</v>
      </c>
      <c r="I835" s="1066" t="s">
        <v>173</v>
      </c>
      <c r="J835" s="414" t="str">
        <f t="shared" si="13"/>
        <v>CCompra Vivienda VacacionalIndividualVacacionalNuevaApartamentoFERIA000000050000.00</v>
      </c>
      <c r="K835" s="1047">
        <v>50000</v>
      </c>
      <c r="L835" s="1047">
        <v>99999999</v>
      </c>
      <c r="M835" s="1050">
        <v>60</v>
      </c>
      <c r="N835" s="1046">
        <v>20</v>
      </c>
      <c r="O835" s="1050">
        <v>7.5</v>
      </c>
      <c r="P835" s="1050">
        <v>8.56</v>
      </c>
    </row>
    <row r="836" spans="2:16" x14ac:dyDescent="0.25">
      <c r="B836" s="415">
        <v>835</v>
      </c>
      <c r="C836" s="1374" t="s">
        <v>929</v>
      </c>
      <c r="D836" s="413" t="s">
        <v>23</v>
      </c>
      <c r="E836" s="413" t="s">
        <v>17</v>
      </c>
      <c r="F836" s="413" t="s">
        <v>13</v>
      </c>
      <c r="G836" s="413" t="s">
        <v>21</v>
      </c>
      <c r="H836" s="413" t="s">
        <v>22</v>
      </c>
      <c r="I836" s="1066" t="s">
        <v>567</v>
      </c>
      <c r="J836" s="414" t="str">
        <f t="shared" si="13"/>
        <v>CCompra Vivienda VacacionalIndividualVacacionalNuevaCasaBG000000050000.00</v>
      </c>
      <c r="K836" s="1047">
        <v>50000</v>
      </c>
      <c r="L836" s="1047">
        <v>99999999</v>
      </c>
      <c r="M836" s="1050">
        <v>60</v>
      </c>
      <c r="N836" s="1046">
        <v>20</v>
      </c>
      <c r="O836" s="1050">
        <v>7.5</v>
      </c>
      <c r="P836" s="1050">
        <v>8.56</v>
      </c>
    </row>
    <row r="837" spans="2:16" x14ac:dyDescent="0.25">
      <c r="B837" s="412">
        <v>836</v>
      </c>
      <c r="C837" s="595" t="s">
        <v>929</v>
      </c>
      <c r="D837" s="413" t="s">
        <v>23</v>
      </c>
      <c r="E837" s="413" t="s">
        <v>17</v>
      </c>
      <c r="F837" s="413" t="s">
        <v>13</v>
      </c>
      <c r="G837" s="413" t="s">
        <v>21</v>
      </c>
      <c r="H837" s="413" t="s">
        <v>22</v>
      </c>
      <c r="I837" s="1066" t="s">
        <v>913</v>
      </c>
      <c r="J837" s="414" t="str">
        <f t="shared" si="13"/>
        <v>CCompra Vivienda VacacionalIndividualVacacionalNuevaCasaCOPA000000050000.00</v>
      </c>
      <c r="K837" s="1047">
        <v>50000</v>
      </c>
      <c r="L837" s="1047">
        <v>99999999</v>
      </c>
      <c r="M837" s="1050">
        <v>60</v>
      </c>
      <c r="N837" s="1046">
        <v>20</v>
      </c>
      <c r="O837" s="1050">
        <v>7.5</v>
      </c>
      <c r="P837" s="1050">
        <v>8.56</v>
      </c>
    </row>
    <row r="838" spans="2:16" x14ac:dyDescent="0.25">
      <c r="B838" s="415">
        <v>837</v>
      </c>
      <c r="C838" s="595" t="s">
        <v>929</v>
      </c>
      <c r="D838" s="413" t="s">
        <v>23</v>
      </c>
      <c r="E838" s="413" t="s">
        <v>17</v>
      </c>
      <c r="F838" s="413" t="s">
        <v>13</v>
      </c>
      <c r="G838" s="413" t="s">
        <v>21</v>
      </c>
      <c r="H838" s="413" t="s">
        <v>22</v>
      </c>
      <c r="I838" s="1066" t="s">
        <v>173</v>
      </c>
      <c r="J838" s="414" t="str">
        <f t="shared" si="13"/>
        <v>CCompra Vivienda VacacionalIndividualVacacionalNuevaCasaFERIA000000050000.00</v>
      </c>
      <c r="K838" s="1047">
        <v>50000</v>
      </c>
      <c r="L838" s="1047">
        <v>99999999</v>
      </c>
      <c r="M838" s="1050">
        <v>60</v>
      </c>
      <c r="N838" s="1046">
        <v>20</v>
      </c>
      <c r="O838" s="1050">
        <v>7.5</v>
      </c>
      <c r="P838" s="1050">
        <v>8.56</v>
      </c>
    </row>
    <row r="839" spans="2:16" x14ac:dyDescent="0.25">
      <c r="B839" s="415">
        <v>838</v>
      </c>
      <c r="C839" s="1374" t="s">
        <v>929</v>
      </c>
      <c r="D839" s="413" t="s">
        <v>23</v>
      </c>
      <c r="E839" s="413" t="s">
        <v>17</v>
      </c>
      <c r="F839" s="413" t="s">
        <v>13</v>
      </c>
      <c r="G839" s="413" t="s">
        <v>24</v>
      </c>
      <c r="H839" s="413" t="s">
        <v>25</v>
      </c>
      <c r="I839" s="1066" t="s">
        <v>567</v>
      </c>
      <c r="J839" s="414" t="str">
        <f t="shared" si="13"/>
        <v>CCompra Vivienda VacacionalIndividualVacacionalUsadaApartamentoBG000000050000.00</v>
      </c>
      <c r="K839" s="1047">
        <v>50000</v>
      </c>
      <c r="L839" s="1047">
        <v>99999999</v>
      </c>
      <c r="M839" s="1050">
        <v>60</v>
      </c>
      <c r="N839" s="1046">
        <v>20</v>
      </c>
      <c r="O839" s="1050">
        <v>7.5</v>
      </c>
      <c r="P839" s="1050">
        <v>8.56</v>
      </c>
    </row>
    <row r="840" spans="2:16" x14ac:dyDescent="0.25">
      <c r="B840" s="415">
        <v>839</v>
      </c>
      <c r="C840" s="595" t="s">
        <v>929</v>
      </c>
      <c r="D840" s="413" t="s">
        <v>23</v>
      </c>
      <c r="E840" s="413" t="s">
        <v>17</v>
      </c>
      <c r="F840" s="413" t="s">
        <v>13</v>
      </c>
      <c r="G840" s="413" t="s">
        <v>24</v>
      </c>
      <c r="H840" s="413" t="s">
        <v>25</v>
      </c>
      <c r="I840" s="1066" t="s">
        <v>913</v>
      </c>
      <c r="J840" s="414" t="str">
        <f t="shared" si="13"/>
        <v>CCompra Vivienda VacacionalIndividualVacacionalUsadaApartamentoCOPA000000050000.00</v>
      </c>
      <c r="K840" s="1047">
        <v>50000</v>
      </c>
      <c r="L840" s="1047">
        <v>99999999</v>
      </c>
      <c r="M840" s="1050">
        <v>60</v>
      </c>
      <c r="N840" s="1046">
        <v>20</v>
      </c>
      <c r="O840" s="1050">
        <v>7.5</v>
      </c>
      <c r="P840" s="1050">
        <v>8.56</v>
      </c>
    </row>
    <row r="841" spans="2:16" x14ac:dyDescent="0.25">
      <c r="B841" s="415">
        <v>840</v>
      </c>
      <c r="C841" s="595" t="s">
        <v>929</v>
      </c>
      <c r="D841" s="413" t="s">
        <v>23</v>
      </c>
      <c r="E841" s="413" t="s">
        <v>17</v>
      </c>
      <c r="F841" s="413" t="s">
        <v>13</v>
      </c>
      <c r="G841" s="413" t="s">
        <v>24</v>
      </c>
      <c r="H841" s="413" t="s">
        <v>25</v>
      </c>
      <c r="I841" s="1066" t="s">
        <v>173</v>
      </c>
      <c r="J841" s="414" t="str">
        <f t="shared" si="13"/>
        <v>CCompra Vivienda VacacionalIndividualVacacionalUsadaApartamentoFERIA000000050000.00</v>
      </c>
      <c r="K841" s="1047">
        <v>50000</v>
      </c>
      <c r="L841" s="1047">
        <v>99999999</v>
      </c>
      <c r="M841" s="1050">
        <v>60</v>
      </c>
      <c r="N841" s="1046">
        <v>20</v>
      </c>
      <c r="O841" s="1050">
        <v>7.5</v>
      </c>
      <c r="P841" s="1050">
        <v>8.56</v>
      </c>
    </row>
    <row r="842" spans="2:16" x14ac:dyDescent="0.25">
      <c r="B842" s="412">
        <v>841</v>
      </c>
      <c r="C842" s="1374" t="s">
        <v>929</v>
      </c>
      <c r="D842" s="413" t="s">
        <v>23</v>
      </c>
      <c r="E842" s="413" t="s">
        <v>17</v>
      </c>
      <c r="F842" s="413" t="s">
        <v>13</v>
      </c>
      <c r="G842" s="413" t="s">
        <v>24</v>
      </c>
      <c r="H842" s="413" t="s">
        <v>22</v>
      </c>
      <c r="I842" s="1066" t="s">
        <v>567</v>
      </c>
      <c r="J842" s="414" t="str">
        <f t="shared" si="13"/>
        <v>CCompra Vivienda VacacionalIndividualVacacionalUsadaCasaBG000000050000.00</v>
      </c>
      <c r="K842" s="1047">
        <v>50000</v>
      </c>
      <c r="L842" s="1047">
        <v>99999999</v>
      </c>
      <c r="M842" s="1050">
        <v>60</v>
      </c>
      <c r="N842" s="1046">
        <v>20</v>
      </c>
      <c r="O842" s="1050">
        <v>7.5</v>
      </c>
      <c r="P842" s="1050">
        <v>8.56</v>
      </c>
    </row>
    <row r="843" spans="2:16" x14ac:dyDescent="0.25">
      <c r="B843" s="415">
        <v>842</v>
      </c>
      <c r="C843" s="595" t="s">
        <v>929</v>
      </c>
      <c r="D843" s="413" t="s">
        <v>23</v>
      </c>
      <c r="E843" s="413" t="s">
        <v>17</v>
      </c>
      <c r="F843" s="413" t="s">
        <v>13</v>
      </c>
      <c r="G843" s="413" t="s">
        <v>24</v>
      </c>
      <c r="H843" s="413" t="s">
        <v>22</v>
      </c>
      <c r="I843" s="1066" t="s">
        <v>913</v>
      </c>
      <c r="J843" s="414" t="str">
        <f t="shared" si="13"/>
        <v>CCompra Vivienda VacacionalIndividualVacacionalUsadaCasaCOPA000000050000.00</v>
      </c>
      <c r="K843" s="1047">
        <v>50000</v>
      </c>
      <c r="L843" s="1047">
        <v>99999999</v>
      </c>
      <c r="M843" s="1050">
        <v>60</v>
      </c>
      <c r="N843" s="1046">
        <v>20</v>
      </c>
      <c r="O843" s="1050">
        <v>7.5</v>
      </c>
      <c r="P843" s="1050">
        <v>8.56</v>
      </c>
    </row>
    <row r="844" spans="2:16" x14ac:dyDescent="0.25">
      <c r="B844" s="415">
        <v>843</v>
      </c>
      <c r="C844" s="595" t="s">
        <v>929</v>
      </c>
      <c r="D844" s="413" t="s">
        <v>23</v>
      </c>
      <c r="E844" s="413" t="s">
        <v>17</v>
      </c>
      <c r="F844" s="413" t="s">
        <v>13</v>
      </c>
      <c r="G844" s="413" t="s">
        <v>24</v>
      </c>
      <c r="H844" s="413" t="s">
        <v>22</v>
      </c>
      <c r="I844" s="1066" t="s">
        <v>173</v>
      </c>
      <c r="J844" s="414" t="str">
        <f t="shared" si="13"/>
        <v>CCompra Vivienda VacacionalIndividualVacacionalUsadaCasaFERIA000000050000.00</v>
      </c>
      <c r="K844" s="1047">
        <v>50000</v>
      </c>
      <c r="L844" s="1047">
        <v>99999999</v>
      </c>
      <c r="M844" s="1050">
        <v>60</v>
      </c>
      <c r="N844" s="1046">
        <v>20</v>
      </c>
      <c r="O844" s="1050">
        <v>7.5</v>
      </c>
      <c r="P844" s="1050">
        <v>8.56</v>
      </c>
    </row>
    <row r="845" spans="2:16" x14ac:dyDescent="0.25">
      <c r="B845" s="415">
        <v>844</v>
      </c>
      <c r="C845" s="1374" t="s">
        <v>929</v>
      </c>
      <c r="D845" s="413" t="s">
        <v>26</v>
      </c>
      <c r="E845" s="413" t="s">
        <v>17</v>
      </c>
      <c r="F845" s="413" t="s">
        <v>11</v>
      </c>
      <c r="G845" s="413" t="s">
        <v>24</v>
      </c>
      <c r="H845" s="413" t="s">
        <v>25</v>
      </c>
      <c r="I845" s="1066" t="s">
        <v>567</v>
      </c>
      <c r="J845" s="414" t="str">
        <f t="shared" si="13"/>
        <v>CTraspaso de Otro BancoIndividualResidencialUsadaApartamentoBG000000030000.00</v>
      </c>
      <c r="K845" s="1047">
        <v>30000</v>
      </c>
      <c r="L845" s="1047">
        <v>250000</v>
      </c>
      <c r="M845" s="1050">
        <v>70</v>
      </c>
      <c r="N845" s="1046">
        <v>20</v>
      </c>
      <c r="O845" s="1050">
        <v>6.5</v>
      </c>
      <c r="P845" s="1050">
        <v>8.56</v>
      </c>
    </row>
    <row r="846" spans="2:16" x14ac:dyDescent="0.25">
      <c r="B846" s="415">
        <v>845</v>
      </c>
      <c r="C846" s="1374" t="s">
        <v>929</v>
      </c>
      <c r="D846" s="413" t="s">
        <v>26</v>
      </c>
      <c r="E846" s="413" t="s">
        <v>17</v>
      </c>
      <c r="F846" s="413" t="s">
        <v>11</v>
      </c>
      <c r="G846" s="413" t="s">
        <v>24</v>
      </c>
      <c r="H846" s="413" t="s">
        <v>25</v>
      </c>
      <c r="I846" s="1066" t="s">
        <v>567</v>
      </c>
      <c r="J846" s="414" t="str">
        <f t="shared" si="13"/>
        <v>CTraspaso de Otro BancoIndividualResidencialUsadaApartamentoBG000000250000.01</v>
      </c>
      <c r="K846" s="1047">
        <v>250000.01</v>
      </c>
      <c r="L846" s="1047">
        <v>500000</v>
      </c>
      <c r="M846" s="1050">
        <v>60</v>
      </c>
      <c r="N846" s="1046">
        <v>20</v>
      </c>
      <c r="O846" s="1050">
        <v>6.5</v>
      </c>
      <c r="P846" s="1050">
        <v>8.56</v>
      </c>
    </row>
    <row r="847" spans="2:16" x14ac:dyDescent="0.25">
      <c r="B847" s="412">
        <v>846</v>
      </c>
      <c r="C847" s="1374" t="s">
        <v>929</v>
      </c>
      <c r="D847" s="413" t="s">
        <v>26</v>
      </c>
      <c r="E847" s="413" t="s">
        <v>17</v>
      </c>
      <c r="F847" s="413" t="s">
        <v>11</v>
      </c>
      <c r="G847" s="413" t="s">
        <v>24</v>
      </c>
      <c r="H847" s="413" t="s">
        <v>25</v>
      </c>
      <c r="I847" s="1066" t="s">
        <v>567</v>
      </c>
      <c r="J847" s="414" t="str">
        <f t="shared" si="13"/>
        <v>CTraspaso de Otro BancoIndividualResidencialUsadaApartamentoBG000000500000.01</v>
      </c>
      <c r="K847" s="1047">
        <v>500000.01</v>
      </c>
      <c r="L847" s="1047">
        <v>99999999</v>
      </c>
      <c r="M847" s="1050">
        <v>50</v>
      </c>
      <c r="N847" s="1046">
        <v>20</v>
      </c>
      <c r="O847" s="1050">
        <v>6.5</v>
      </c>
      <c r="P847" s="1050">
        <v>8.56</v>
      </c>
    </row>
    <row r="848" spans="2:16" x14ac:dyDescent="0.25">
      <c r="B848" s="415">
        <v>847</v>
      </c>
      <c r="C848" s="595" t="s">
        <v>929</v>
      </c>
      <c r="D848" s="413" t="s">
        <v>26</v>
      </c>
      <c r="E848" s="413" t="s">
        <v>17</v>
      </c>
      <c r="F848" s="413" t="s">
        <v>11</v>
      </c>
      <c r="G848" s="413" t="s">
        <v>24</v>
      </c>
      <c r="H848" s="413" t="s">
        <v>25</v>
      </c>
      <c r="I848" s="1066" t="s">
        <v>913</v>
      </c>
      <c r="J848" s="414" t="str">
        <f t="shared" si="13"/>
        <v>CTraspaso de Otro BancoIndividualResidencialUsadaApartamentoCOPA000000030000.00</v>
      </c>
      <c r="K848" s="1047">
        <v>30000</v>
      </c>
      <c r="L848" s="1047">
        <v>250000</v>
      </c>
      <c r="M848" s="1050">
        <v>70</v>
      </c>
      <c r="N848" s="1046">
        <v>25</v>
      </c>
      <c r="O848" s="1050">
        <v>6.5</v>
      </c>
      <c r="P848" s="1050">
        <v>8.56</v>
      </c>
    </row>
    <row r="849" spans="2:16" x14ac:dyDescent="0.25">
      <c r="B849" s="415">
        <v>848</v>
      </c>
      <c r="C849" s="595" t="s">
        <v>929</v>
      </c>
      <c r="D849" s="413" t="s">
        <v>26</v>
      </c>
      <c r="E849" s="413" t="s">
        <v>17</v>
      </c>
      <c r="F849" s="413" t="s">
        <v>11</v>
      </c>
      <c r="G849" s="413" t="s">
        <v>24</v>
      </c>
      <c r="H849" s="413" t="s">
        <v>25</v>
      </c>
      <c r="I849" s="1066" t="s">
        <v>913</v>
      </c>
      <c r="J849" s="414" t="str">
        <f t="shared" si="13"/>
        <v>CTraspaso de Otro BancoIndividualResidencialUsadaApartamentoCOPA000000250000.01</v>
      </c>
      <c r="K849" s="1047">
        <v>250000.01</v>
      </c>
      <c r="L849" s="1047">
        <v>500000</v>
      </c>
      <c r="M849" s="1050">
        <v>70</v>
      </c>
      <c r="N849" s="1046">
        <v>25</v>
      </c>
      <c r="O849" s="1050">
        <v>6.5</v>
      </c>
      <c r="P849" s="1050">
        <v>8.56</v>
      </c>
    </row>
    <row r="850" spans="2:16" x14ac:dyDescent="0.25">
      <c r="B850" s="415">
        <v>849</v>
      </c>
      <c r="C850" s="595" t="s">
        <v>929</v>
      </c>
      <c r="D850" s="421" t="s">
        <v>26</v>
      </c>
      <c r="E850" s="421" t="s">
        <v>17</v>
      </c>
      <c r="F850" s="421" t="s">
        <v>11</v>
      </c>
      <c r="G850" s="421" t="s">
        <v>24</v>
      </c>
      <c r="H850" s="421" t="s">
        <v>25</v>
      </c>
      <c r="I850" s="1066" t="s">
        <v>913</v>
      </c>
      <c r="J850" s="414" t="str">
        <f t="shared" si="13"/>
        <v>CTraspaso de Otro BancoIndividualResidencialUsadaApartamentoCOPA000000500000.01</v>
      </c>
      <c r="K850" s="1049">
        <v>500000.01</v>
      </c>
      <c r="L850" s="1049">
        <v>99999999</v>
      </c>
      <c r="M850" s="1053">
        <v>70</v>
      </c>
      <c r="N850" s="1048">
        <v>25</v>
      </c>
      <c r="O850" s="1050">
        <v>6.5</v>
      </c>
      <c r="P850" s="1050">
        <v>8.56</v>
      </c>
    </row>
    <row r="851" spans="2:16" x14ac:dyDescent="0.25">
      <c r="B851" s="415">
        <v>850</v>
      </c>
      <c r="C851" s="595" t="s">
        <v>929</v>
      </c>
      <c r="D851" s="421" t="s">
        <v>26</v>
      </c>
      <c r="E851" s="421" t="s">
        <v>17</v>
      </c>
      <c r="F851" s="421" t="s">
        <v>11</v>
      </c>
      <c r="G851" s="421" t="s">
        <v>24</v>
      </c>
      <c r="H851" s="421" t="s">
        <v>25</v>
      </c>
      <c r="I851" s="1066" t="s">
        <v>173</v>
      </c>
      <c r="J851" s="414" t="str">
        <f t="shared" si="13"/>
        <v>CTraspaso de Otro BancoIndividualResidencialUsadaApartamentoFERIA000000030000.00</v>
      </c>
      <c r="K851" s="1049">
        <v>30000</v>
      </c>
      <c r="L851" s="1049">
        <v>250000</v>
      </c>
      <c r="M851" s="1053">
        <v>70</v>
      </c>
      <c r="N851" s="1048">
        <v>25</v>
      </c>
      <c r="O851" s="1050">
        <v>6.5</v>
      </c>
      <c r="P851" s="1050">
        <v>8.56</v>
      </c>
    </row>
    <row r="852" spans="2:16" x14ac:dyDescent="0.25">
      <c r="B852" s="412">
        <v>851</v>
      </c>
      <c r="C852" s="595" t="s">
        <v>929</v>
      </c>
      <c r="D852" s="421" t="s">
        <v>26</v>
      </c>
      <c r="E852" s="421" t="s">
        <v>17</v>
      </c>
      <c r="F852" s="421" t="s">
        <v>11</v>
      </c>
      <c r="G852" s="421" t="s">
        <v>24</v>
      </c>
      <c r="H852" s="421" t="s">
        <v>25</v>
      </c>
      <c r="I852" s="1066" t="s">
        <v>173</v>
      </c>
      <c r="J852" s="414" t="str">
        <f t="shared" si="13"/>
        <v>CTraspaso de Otro BancoIndividualResidencialUsadaApartamentoFERIA000000250000.01</v>
      </c>
      <c r="K852" s="1049">
        <v>250000.01</v>
      </c>
      <c r="L852" s="1049">
        <v>500000</v>
      </c>
      <c r="M852" s="1053">
        <v>70</v>
      </c>
      <c r="N852" s="1048">
        <v>25</v>
      </c>
      <c r="O852" s="1050">
        <v>6.5</v>
      </c>
      <c r="P852" s="1050">
        <v>8.56</v>
      </c>
    </row>
    <row r="853" spans="2:16" x14ac:dyDescent="0.25">
      <c r="B853" s="415">
        <v>852</v>
      </c>
      <c r="C853" s="595" t="s">
        <v>929</v>
      </c>
      <c r="D853" s="413" t="s">
        <v>26</v>
      </c>
      <c r="E853" s="413" t="s">
        <v>17</v>
      </c>
      <c r="F853" s="413" t="s">
        <v>11</v>
      </c>
      <c r="G853" s="413" t="s">
        <v>24</v>
      </c>
      <c r="H853" s="413" t="s">
        <v>25</v>
      </c>
      <c r="I853" s="1066" t="s">
        <v>173</v>
      </c>
      <c r="J853" s="414" t="str">
        <f t="shared" si="13"/>
        <v>CTraspaso de Otro BancoIndividualResidencialUsadaApartamentoFERIA000000500000.01</v>
      </c>
      <c r="K853" s="1060">
        <v>500000.01</v>
      </c>
      <c r="L853" s="1060">
        <v>99999999</v>
      </c>
      <c r="M853" s="1061">
        <v>70</v>
      </c>
      <c r="N853" s="1062">
        <v>25</v>
      </c>
      <c r="O853" s="1050">
        <v>6.5</v>
      </c>
      <c r="P853" s="1050">
        <v>8.56</v>
      </c>
    </row>
    <row r="854" spans="2:16" x14ac:dyDescent="0.25">
      <c r="B854" s="415">
        <v>853</v>
      </c>
      <c r="C854" s="1374" t="s">
        <v>929</v>
      </c>
      <c r="D854" s="413" t="s">
        <v>26</v>
      </c>
      <c r="E854" s="413" t="s">
        <v>17</v>
      </c>
      <c r="F854" s="413" t="s">
        <v>11</v>
      </c>
      <c r="G854" s="413" t="s">
        <v>24</v>
      </c>
      <c r="H854" s="413" t="s">
        <v>22</v>
      </c>
      <c r="I854" s="1066" t="s">
        <v>567</v>
      </c>
      <c r="J854" s="414" t="str">
        <f t="shared" si="13"/>
        <v>CTraspaso de Otro BancoIndividualResidencialUsadaCasaBG000000030000.00</v>
      </c>
      <c r="K854" s="1047">
        <v>30000</v>
      </c>
      <c r="L854" s="1047">
        <v>250000</v>
      </c>
      <c r="M854" s="1050">
        <v>70</v>
      </c>
      <c r="N854" s="1046">
        <v>20</v>
      </c>
      <c r="O854" s="1050">
        <v>6.5</v>
      </c>
      <c r="P854" s="1050">
        <v>8.56</v>
      </c>
    </row>
    <row r="855" spans="2:16" x14ac:dyDescent="0.25">
      <c r="B855" s="415">
        <v>854</v>
      </c>
      <c r="C855" s="1374" t="s">
        <v>929</v>
      </c>
      <c r="D855" s="413" t="s">
        <v>26</v>
      </c>
      <c r="E855" s="413" t="s">
        <v>17</v>
      </c>
      <c r="F855" s="413" t="s">
        <v>11</v>
      </c>
      <c r="G855" s="413" t="s">
        <v>24</v>
      </c>
      <c r="H855" s="413" t="s">
        <v>22</v>
      </c>
      <c r="I855" s="1066" t="s">
        <v>567</v>
      </c>
      <c r="J855" s="414" t="str">
        <f t="shared" si="13"/>
        <v>CTraspaso de Otro BancoIndividualResidencialUsadaCasaBG000000250000.01</v>
      </c>
      <c r="K855" s="1047">
        <v>250000.01</v>
      </c>
      <c r="L855" s="1047">
        <v>500000</v>
      </c>
      <c r="M855" s="1050">
        <v>60</v>
      </c>
      <c r="N855" s="1046">
        <v>20</v>
      </c>
      <c r="O855" s="1050">
        <v>6.5</v>
      </c>
      <c r="P855" s="1050">
        <v>8.56</v>
      </c>
    </row>
    <row r="856" spans="2:16" x14ac:dyDescent="0.25">
      <c r="B856" s="415">
        <v>855</v>
      </c>
      <c r="C856" s="1374" t="s">
        <v>929</v>
      </c>
      <c r="D856" s="413" t="s">
        <v>26</v>
      </c>
      <c r="E856" s="413" t="s">
        <v>17</v>
      </c>
      <c r="F856" s="413" t="s">
        <v>11</v>
      </c>
      <c r="G856" s="413" t="s">
        <v>24</v>
      </c>
      <c r="H856" s="413" t="s">
        <v>22</v>
      </c>
      <c r="I856" s="1066" t="s">
        <v>567</v>
      </c>
      <c r="J856" s="414" t="str">
        <f t="shared" si="13"/>
        <v>CTraspaso de Otro BancoIndividualResidencialUsadaCasaBG000000500000.01</v>
      </c>
      <c r="K856" s="1047">
        <v>500000.01</v>
      </c>
      <c r="L856" s="1047">
        <v>99999999</v>
      </c>
      <c r="M856" s="1050">
        <v>50</v>
      </c>
      <c r="N856" s="1046">
        <v>20</v>
      </c>
      <c r="O856" s="1050">
        <v>6.5</v>
      </c>
      <c r="P856" s="1050">
        <v>8.56</v>
      </c>
    </row>
    <row r="857" spans="2:16" x14ac:dyDescent="0.25">
      <c r="B857" s="412">
        <v>856</v>
      </c>
      <c r="C857" s="595" t="s">
        <v>929</v>
      </c>
      <c r="D857" s="421" t="s">
        <v>26</v>
      </c>
      <c r="E857" s="421" t="s">
        <v>17</v>
      </c>
      <c r="F857" s="421" t="s">
        <v>11</v>
      </c>
      <c r="G857" s="421" t="s">
        <v>24</v>
      </c>
      <c r="H857" s="421" t="s">
        <v>22</v>
      </c>
      <c r="I857" s="1066" t="s">
        <v>913</v>
      </c>
      <c r="J857" s="414" t="str">
        <f t="shared" si="13"/>
        <v>CTraspaso de Otro BancoIndividualResidencialUsadaCasaCOPA000000030000.00</v>
      </c>
      <c r="K857" s="1049">
        <v>30000</v>
      </c>
      <c r="L857" s="1049">
        <v>250000</v>
      </c>
      <c r="M857" s="1053">
        <v>70</v>
      </c>
      <c r="N857" s="1048">
        <v>25</v>
      </c>
      <c r="O857" s="1050">
        <v>6.5</v>
      </c>
      <c r="P857" s="1050">
        <v>8.56</v>
      </c>
    </row>
    <row r="858" spans="2:16" x14ac:dyDescent="0.25">
      <c r="B858" s="415">
        <v>857</v>
      </c>
      <c r="C858" s="595" t="s">
        <v>929</v>
      </c>
      <c r="D858" s="421" t="s">
        <v>26</v>
      </c>
      <c r="E858" s="421" t="s">
        <v>17</v>
      </c>
      <c r="F858" s="421" t="s">
        <v>11</v>
      </c>
      <c r="G858" s="421" t="s">
        <v>24</v>
      </c>
      <c r="H858" s="421" t="s">
        <v>22</v>
      </c>
      <c r="I858" s="1066" t="s">
        <v>913</v>
      </c>
      <c r="J858" s="414" t="str">
        <f t="shared" si="13"/>
        <v>CTraspaso de Otro BancoIndividualResidencialUsadaCasaCOPA000000250000.01</v>
      </c>
      <c r="K858" s="1049">
        <v>250000.01</v>
      </c>
      <c r="L858" s="1049">
        <v>500000</v>
      </c>
      <c r="M858" s="1053">
        <v>70</v>
      </c>
      <c r="N858" s="1048">
        <v>25</v>
      </c>
      <c r="O858" s="1050">
        <v>6.5</v>
      </c>
      <c r="P858" s="1050">
        <v>8.56</v>
      </c>
    </row>
    <row r="859" spans="2:16" x14ac:dyDescent="0.25">
      <c r="B859" s="415">
        <v>858</v>
      </c>
      <c r="C859" s="595" t="s">
        <v>929</v>
      </c>
      <c r="D859" s="421" t="s">
        <v>26</v>
      </c>
      <c r="E859" s="421" t="s">
        <v>17</v>
      </c>
      <c r="F859" s="421" t="s">
        <v>11</v>
      </c>
      <c r="G859" s="421" t="s">
        <v>24</v>
      </c>
      <c r="H859" s="421" t="s">
        <v>22</v>
      </c>
      <c r="I859" s="1066" t="s">
        <v>913</v>
      </c>
      <c r="J859" s="414" t="str">
        <f t="shared" si="13"/>
        <v>CTraspaso de Otro BancoIndividualResidencialUsadaCasaCOPA000000500000.01</v>
      </c>
      <c r="K859" s="1049">
        <v>500000.01</v>
      </c>
      <c r="L859" s="1049">
        <v>99999999</v>
      </c>
      <c r="M859" s="1053">
        <v>70</v>
      </c>
      <c r="N859" s="1048">
        <v>25</v>
      </c>
      <c r="O859" s="1050">
        <v>6.5</v>
      </c>
      <c r="P859" s="1050">
        <v>8.56</v>
      </c>
    </row>
    <row r="860" spans="2:16" x14ac:dyDescent="0.25">
      <c r="B860" s="415">
        <v>859</v>
      </c>
      <c r="C860" s="1026" t="s">
        <v>929</v>
      </c>
      <c r="D860" s="1027" t="s">
        <v>26</v>
      </c>
      <c r="E860" s="1027" t="s">
        <v>17</v>
      </c>
      <c r="F860" s="1027" t="s">
        <v>11</v>
      </c>
      <c r="G860" s="1027" t="s">
        <v>24</v>
      </c>
      <c r="H860" s="1027" t="s">
        <v>22</v>
      </c>
      <c r="I860" s="1068" t="s">
        <v>173</v>
      </c>
      <c r="J860" s="414" t="str">
        <f t="shared" si="13"/>
        <v>CTraspaso de Otro BancoIndividualResidencialUsadaCasaFERIA000000030000.00</v>
      </c>
      <c r="K860" s="1063">
        <v>30000</v>
      </c>
      <c r="L860" s="1063">
        <v>250000</v>
      </c>
      <c r="M860" s="1064">
        <v>70</v>
      </c>
      <c r="N860" s="1065">
        <v>25</v>
      </c>
      <c r="O860" s="1050">
        <v>6.5</v>
      </c>
      <c r="P860" s="1050">
        <v>8.56</v>
      </c>
    </row>
    <row r="861" spans="2:16" x14ac:dyDescent="0.25">
      <c r="B861" s="415">
        <v>860</v>
      </c>
      <c r="C861" s="1026" t="s">
        <v>929</v>
      </c>
      <c r="D861" s="1027" t="s">
        <v>26</v>
      </c>
      <c r="E861" s="1027" t="s">
        <v>17</v>
      </c>
      <c r="F861" s="1027" t="s">
        <v>11</v>
      </c>
      <c r="G861" s="1027" t="s">
        <v>24</v>
      </c>
      <c r="H861" s="1027" t="s">
        <v>22</v>
      </c>
      <c r="I861" s="1068" t="s">
        <v>173</v>
      </c>
      <c r="J861" s="414" t="str">
        <f t="shared" si="13"/>
        <v>CTraspaso de Otro BancoIndividualResidencialUsadaCasaFERIA000000250000.01</v>
      </c>
      <c r="K861" s="1063">
        <v>250000.01</v>
      </c>
      <c r="L861" s="1063">
        <v>500000</v>
      </c>
      <c r="M861" s="1064">
        <v>70</v>
      </c>
      <c r="N861" s="1065">
        <v>25</v>
      </c>
      <c r="O861" s="1050">
        <v>6.5</v>
      </c>
      <c r="P861" s="1050">
        <v>8.56</v>
      </c>
    </row>
    <row r="862" spans="2:16" x14ac:dyDescent="0.25">
      <c r="B862" s="412">
        <v>861</v>
      </c>
      <c r="C862" s="1026" t="s">
        <v>929</v>
      </c>
      <c r="D862" s="1027" t="s">
        <v>26</v>
      </c>
      <c r="E862" s="1027" t="s">
        <v>17</v>
      </c>
      <c r="F862" s="1027" t="s">
        <v>11</v>
      </c>
      <c r="G862" s="1027" t="s">
        <v>24</v>
      </c>
      <c r="H862" s="1027" t="s">
        <v>22</v>
      </c>
      <c r="I862" s="1068" t="s">
        <v>173</v>
      </c>
      <c r="J862" s="414" t="str">
        <f t="shared" si="13"/>
        <v>CTraspaso de Otro BancoIndividualResidencialUsadaCasaFERIA000000500000.01</v>
      </c>
      <c r="K862" s="1063">
        <v>500000.01</v>
      </c>
      <c r="L862" s="1063">
        <v>99999999</v>
      </c>
      <c r="M862" s="1064">
        <v>70</v>
      </c>
      <c r="N862" s="1065">
        <v>25</v>
      </c>
      <c r="O862" s="1050">
        <v>6.5</v>
      </c>
      <c r="P862" s="1050">
        <v>8.56</v>
      </c>
    </row>
    <row r="863" spans="2:16" x14ac:dyDescent="0.25">
      <c r="B863" s="415">
        <v>862</v>
      </c>
      <c r="C863" s="1375" t="s">
        <v>930</v>
      </c>
      <c r="D863" s="1027" t="s">
        <v>8</v>
      </c>
      <c r="E863" s="1027" t="s">
        <v>17</v>
      </c>
      <c r="F863" s="1027" t="s">
        <v>752</v>
      </c>
      <c r="G863" s="1027" t="s">
        <v>24</v>
      </c>
      <c r="H863" s="1027" t="s">
        <v>25</v>
      </c>
      <c r="I863" s="1068" t="s">
        <v>567</v>
      </c>
      <c r="J863" s="414" t="str">
        <f t="shared" si="13"/>
        <v>DCompra de ViviendaIndividualReposeído (BG)UsadaApartamentoBG000000030000.00</v>
      </c>
      <c r="K863" s="1063">
        <v>30000</v>
      </c>
      <c r="L863" s="1063">
        <v>250000</v>
      </c>
      <c r="M863" s="1050">
        <v>90</v>
      </c>
      <c r="N863" s="1046">
        <v>25</v>
      </c>
      <c r="O863" s="1050">
        <v>5.75</v>
      </c>
      <c r="P863" s="1050">
        <v>8.56</v>
      </c>
    </row>
    <row r="864" spans="2:16" x14ac:dyDescent="0.25">
      <c r="B864" s="415">
        <v>863</v>
      </c>
      <c r="C864" s="1375" t="s">
        <v>930</v>
      </c>
      <c r="D864" s="1027" t="s">
        <v>8</v>
      </c>
      <c r="E864" s="1027" t="s">
        <v>17</v>
      </c>
      <c r="F864" s="1027" t="s">
        <v>752</v>
      </c>
      <c r="G864" s="1027" t="s">
        <v>24</v>
      </c>
      <c r="H864" s="1027" t="s">
        <v>25</v>
      </c>
      <c r="I864" s="1068" t="s">
        <v>567</v>
      </c>
      <c r="J864" s="414" t="str">
        <f t="shared" si="13"/>
        <v>DCompra de ViviendaIndividualReposeído (BG)UsadaApartamentoBG000000250000.01</v>
      </c>
      <c r="K864" s="1063">
        <v>250000.01</v>
      </c>
      <c r="L864" s="1063">
        <v>500000</v>
      </c>
      <c r="M864" s="1050">
        <v>90</v>
      </c>
      <c r="N864" s="1046">
        <v>25</v>
      </c>
      <c r="O864" s="1050">
        <v>5.75</v>
      </c>
      <c r="P864" s="1050">
        <v>8.56</v>
      </c>
    </row>
    <row r="865" spans="2:16" x14ac:dyDescent="0.25">
      <c r="B865" s="415">
        <v>864</v>
      </c>
      <c r="C865" s="1375" t="s">
        <v>930</v>
      </c>
      <c r="D865" s="1027" t="s">
        <v>8</v>
      </c>
      <c r="E865" s="1027" t="s">
        <v>17</v>
      </c>
      <c r="F865" s="1027" t="s">
        <v>752</v>
      </c>
      <c r="G865" s="1027" t="s">
        <v>24</v>
      </c>
      <c r="H865" s="1027" t="s">
        <v>25</v>
      </c>
      <c r="I865" s="1068" t="s">
        <v>567</v>
      </c>
      <c r="J865" s="414" t="str">
        <f t="shared" si="13"/>
        <v>DCompra de ViviendaIndividualReposeído (BG)UsadaApartamentoBG000000500000.01</v>
      </c>
      <c r="K865" s="1063">
        <v>500000.01</v>
      </c>
      <c r="L865" s="1063">
        <v>99999999</v>
      </c>
      <c r="M865" s="1050">
        <v>90</v>
      </c>
      <c r="N865" s="1046">
        <v>25</v>
      </c>
      <c r="O865" s="1050">
        <v>5.75</v>
      </c>
      <c r="P865" s="1050">
        <v>8.56</v>
      </c>
    </row>
    <row r="866" spans="2:16" x14ac:dyDescent="0.25">
      <c r="B866" s="415">
        <v>865</v>
      </c>
      <c r="C866" s="1026" t="s">
        <v>930</v>
      </c>
      <c r="D866" s="1027" t="s">
        <v>8</v>
      </c>
      <c r="E866" s="1027" t="s">
        <v>17</v>
      </c>
      <c r="F866" s="1027" t="s">
        <v>752</v>
      </c>
      <c r="G866" s="1027" t="s">
        <v>24</v>
      </c>
      <c r="H866" s="1027" t="s">
        <v>25</v>
      </c>
      <c r="I866" s="1068" t="s">
        <v>913</v>
      </c>
      <c r="J866" s="414" t="str">
        <f t="shared" si="13"/>
        <v>DCompra de ViviendaIndividualReposeído (BG)UsadaApartamentoCOPA000000030000.00</v>
      </c>
      <c r="K866" s="1063">
        <v>30000</v>
      </c>
      <c r="L866" s="1063">
        <v>250000</v>
      </c>
      <c r="M866" s="1064">
        <v>85</v>
      </c>
      <c r="N866" s="1065">
        <v>30</v>
      </c>
      <c r="O866" s="1064">
        <v>5.5</v>
      </c>
      <c r="P866" s="1050">
        <v>8.56</v>
      </c>
    </row>
    <row r="867" spans="2:16" x14ac:dyDescent="0.25">
      <c r="B867" s="412">
        <v>866</v>
      </c>
      <c r="C867" s="1026" t="s">
        <v>930</v>
      </c>
      <c r="D867" s="1027" t="s">
        <v>8</v>
      </c>
      <c r="E867" s="1027" t="s">
        <v>17</v>
      </c>
      <c r="F867" s="1027" t="s">
        <v>752</v>
      </c>
      <c r="G867" s="1027" t="s">
        <v>24</v>
      </c>
      <c r="H867" s="1027" t="s">
        <v>25</v>
      </c>
      <c r="I867" s="1068" t="s">
        <v>913</v>
      </c>
      <c r="J867" s="414" t="str">
        <f t="shared" si="13"/>
        <v>DCompra de ViviendaIndividualReposeído (BG)UsadaApartamentoCOPA000000250000.01</v>
      </c>
      <c r="K867" s="1063">
        <v>250000.01</v>
      </c>
      <c r="L867" s="1063">
        <v>500000</v>
      </c>
      <c r="M867" s="1064">
        <v>80</v>
      </c>
      <c r="N867" s="1065">
        <v>30</v>
      </c>
      <c r="O867" s="1064">
        <v>5.25</v>
      </c>
      <c r="P867" s="1050">
        <v>8.56</v>
      </c>
    </row>
    <row r="868" spans="2:16" x14ac:dyDescent="0.25">
      <c r="B868" s="415">
        <v>867</v>
      </c>
      <c r="C868" s="1026" t="s">
        <v>930</v>
      </c>
      <c r="D868" s="1027" t="s">
        <v>8</v>
      </c>
      <c r="E868" s="1027" t="s">
        <v>17</v>
      </c>
      <c r="F868" s="1027" t="s">
        <v>752</v>
      </c>
      <c r="G868" s="1027" t="s">
        <v>24</v>
      </c>
      <c r="H868" s="1027" t="s">
        <v>25</v>
      </c>
      <c r="I868" s="1068" t="s">
        <v>913</v>
      </c>
      <c r="J868" s="414" t="str">
        <f t="shared" si="13"/>
        <v>DCompra de ViviendaIndividualReposeído (BG)UsadaApartamentoCOPA000000500000.01</v>
      </c>
      <c r="K868" s="1063">
        <v>500000.01</v>
      </c>
      <c r="L868" s="1063">
        <v>99999999</v>
      </c>
      <c r="M868" s="1064">
        <v>80</v>
      </c>
      <c r="N868" s="1065">
        <v>30</v>
      </c>
      <c r="O868" s="1064">
        <v>5.25</v>
      </c>
      <c r="P868" s="1050">
        <v>8.56</v>
      </c>
    </row>
    <row r="869" spans="2:16" x14ac:dyDescent="0.25">
      <c r="B869" s="415">
        <v>868</v>
      </c>
      <c r="C869" s="1026" t="s">
        <v>930</v>
      </c>
      <c r="D869" s="1027" t="s">
        <v>8</v>
      </c>
      <c r="E869" s="1027" t="s">
        <v>17</v>
      </c>
      <c r="F869" s="1027" t="s">
        <v>752</v>
      </c>
      <c r="G869" s="1027" t="s">
        <v>24</v>
      </c>
      <c r="H869" s="1027" t="s">
        <v>25</v>
      </c>
      <c r="I869" s="1068" t="s">
        <v>173</v>
      </c>
      <c r="J869" s="414" t="str">
        <f t="shared" si="13"/>
        <v>DCompra de ViviendaIndividualReposeído (BG)UsadaApartamentoFERIA000000030000.00</v>
      </c>
      <c r="K869" s="1063">
        <v>30000</v>
      </c>
      <c r="L869" s="1063">
        <v>250000</v>
      </c>
      <c r="M869" s="1064">
        <v>85</v>
      </c>
      <c r="N869" s="1065">
        <v>30</v>
      </c>
      <c r="O869" s="1064">
        <v>5.5</v>
      </c>
      <c r="P869" s="1050">
        <v>8.56</v>
      </c>
    </row>
    <row r="870" spans="2:16" x14ac:dyDescent="0.25">
      <c r="B870" s="415">
        <v>869</v>
      </c>
      <c r="C870" s="1026" t="s">
        <v>930</v>
      </c>
      <c r="D870" s="1027" t="s">
        <v>8</v>
      </c>
      <c r="E870" s="1027" t="s">
        <v>17</v>
      </c>
      <c r="F870" s="1027" t="s">
        <v>752</v>
      </c>
      <c r="G870" s="1027" t="s">
        <v>24</v>
      </c>
      <c r="H870" s="1027" t="s">
        <v>25</v>
      </c>
      <c r="I870" s="1068" t="s">
        <v>173</v>
      </c>
      <c r="J870" s="414" t="str">
        <f t="shared" si="13"/>
        <v>DCompra de ViviendaIndividualReposeído (BG)UsadaApartamentoFERIA000000250000.01</v>
      </c>
      <c r="K870" s="1063">
        <v>250000.01</v>
      </c>
      <c r="L870" s="1063">
        <v>500000</v>
      </c>
      <c r="M870" s="1064">
        <v>80</v>
      </c>
      <c r="N870" s="1065">
        <v>30</v>
      </c>
      <c r="O870" s="1064">
        <v>5.25</v>
      </c>
      <c r="P870" s="1050">
        <v>8.56</v>
      </c>
    </row>
    <row r="871" spans="2:16" x14ac:dyDescent="0.25">
      <c r="B871" s="415">
        <v>870</v>
      </c>
      <c r="C871" s="1026" t="s">
        <v>930</v>
      </c>
      <c r="D871" s="1027" t="s">
        <v>8</v>
      </c>
      <c r="E871" s="1027" t="s">
        <v>17</v>
      </c>
      <c r="F871" s="1027" t="s">
        <v>752</v>
      </c>
      <c r="G871" s="1027" t="s">
        <v>24</v>
      </c>
      <c r="H871" s="1027" t="s">
        <v>25</v>
      </c>
      <c r="I871" s="1068" t="s">
        <v>173</v>
      </c>
      <c r="J871" s="414" t="str">
        <f t="shared" si="13"/>
        <v>DCompra de ViviendaIndividualReposeído (BG)UsadaApartamentoFERIA000000500000.01</v>
      </c>
      <c r="K871" s="1063">
        <v>500000.01</v>
      </c>
      <c r="L871" s="1063">
        <v>99999999</v>
      </c>
      <c r="M871" s="1064">
        <v>80</v>
      </c>
      <c r="N871" s="1065">
        <v>30</v>
      </c>
      <c r="O871" s="1064">
        <v>5.25</v>
      </c>
      <c r="P871" s="1050">
        <v>8.56</v>
      </c>
    </row>
    <row r="872" spans="2:16" x14ac:dyDescent="0.25">
      <c r="B872" s="412">
        <v>871</v>
      </c>
      <c r="C872" s="1375" t="s">
        <v>930</v>
      </c>
      <c r="D872" s="1027" t="s">
        <v>8</v>
      </c>
      <c r="E872" s="1027" t="s">
        <v>17</v>
      </c>
      <c r="F872" s="1027" t="s">
        <v>752</v>
      </c>
      <c r="G872" s="1027" t="s">
        <v>24</v>
      </c>
      <c r="H872" s="1027" t="s">
        <v>22</v>
      </c>
      <c r="I872" s="1068" t="s">
        <v>567</v>
      </c>
      <c r="J872" s="414" t="str">
        <f t="shared" si="13"/>
        <v>DCompra de ViviendaIndividualReposeído (BG)UsadaCasaBG000000030000.00</v>
      </c>
      <c r="K872" s="1063">
        <v>30000</v>
      </c>
      <c r="L872" s="1063">
        <v>250000</v>
      </c>
      <c r="M872" s="1050">
        <v>90</v>
      </c>
      <c r="N872" s="1046">
        <v>25</v>
      </c>
      <c r="O872" s="1050">
        <v>5.75</v>
      </c>
      <c r="P872" s="1050">
        <v>8.56</v>
      </c>
    </row>
    <row r="873" spans="2:16" x14ac:dyDescent="0.25">
      <c r="B873" s="415">
        <v>872</v>
      </c>
      <c r="C873" s="1375" t="s">
        <v>930</v>
      </c>
      <c r="D873" s="1027" t="s">
        <v>8</v>
      </c>
      <c r="E873" s="1027" t="s">
        <v>17</v>
      </c>
      <c r="F873" s="1027" t="s">
        <v>752</v>
      </c>
      <c r="G873" s="1027" t="s">
        <v>24</v>
      </c>
      <c r="H873" s="1027" t="s">
        <v>22</v>
      </c>
      <c r="I873" s="1068" t="s">
        <v>567</v>
      </c>
      <c r="J873" s="414" t="str">
        <f t="shared" si="13"/>
        <v>DCompra de ViviendaIndividualReposeído (BG)UsadaCasaBG000000250000.01</v>
      </c>
      <c r="K873" s="1063">
        <v>250000.01</v>
      </c>
      <c r="L873" s="1063">
        <v>500000</v>
      </c>
      <c r="M873" s="1050">
        <v>90</v>
      </c>
      <c r="N873" s="1046">
        <v>25</v>
      </c>
      <c r="O873" s="1050">
        <v>5.75</v>
      </c>
      <c r="P873" s="1050">
        <v>8.56</v>
      </c>
    </row>
    <row r="874" spans="2:16" x14ac:dyDescent="0.25">
      <c r="B874" s="415">
        <v>873</v>
      </c>
      <c r="C874" s="1375" t="s">
        <v>930</v>
      </c>
      <c r="D874" s="1027" t="s">
        <v>8</v>
      </c>
      <c r="E874" s="1027" t="s">
        <v>17</v>
      </c>
      <c r="F874" s="1027" t="s">
        <v>752</v>
      </c>
      <c r="G874" s="1027" t="s">
        <v>24</v>
      </c>
      <c r="H874" s="1027" t="s">
        <v>22</v>
      </c>
      <c r="I874" s="1068" t="s">
        <v>567</v>
      </c>
      <c r="J874" s="414" t="str">
        <f t="shared" si="13"/>
        <v>DCompra de ViviendaIndividualReposeído (BG)UsadaCasaBG000000500000.01</v>
      </c>
      <c r="K874" s="1063">
        <v>500000.01</v>
      </c>
      <c r="L874" s="1063">
        <v>99999999</v>
      </c>
      <c r="M874" s="1050">
        <v>90</v>
      </c>
      <c r="N874" s="1046">
        <v>25</v>
      </c>
      <c r="O874" s="1050">
        <v>5.75</v>
      </c>
      <c r="P874" s="1050">
        <v>8.56</v>
      </c>
    </row>
    <row r="875" spans="2:16" x14ac:dyDescent="0.25">
      <c r="B875" s="415">
        <v>874</v>
      </c>
      <c r="C875" s="1026" t="s">
        <v>930</v>
      </c>
      <c r="D875" s="1027" t="s">
        <v>8</v>
      </c>
      <c r="E875" s="1027" t="s">
        <v>17</v>
      </c>
      <c r="F875" s="1027" t="s">
        <v>752</v>
      </c>
      <c r="G875" s="1027" t="s">
        <v>24</v>
      </c>
      <c r="H875" s="1027" t="s">
        <v>22</v>
      </c>
      <c r="I875" s="1068" t="s">
        <v>913</v>
      </c>
      <c r="J875" s="414" t="str">
        <f t="shared" si="13"/>
        <v>DCompra de ViviendaIndividualReposeído (BG)UsadaCasaCOPA000000030000.00</v>
      </c>
      <c r="K875" s="1063">
        <v>30000</v>
      </c>
      <c r="L875" s="1063">
        <v>250000</v>
      </c>
      <c r="M875" s="1064">
        <v>85</v>
      </c>
      <c r="N875" s="1065">
        <v>30</v>
      </c>
      <c r="O875" s="1064">
        <v>5.5</v>
      </c>
      <c r="P875" s="1050">
        <v>8.56</v>
      </c>
    </row>
    <row r="876" spans="2:16" x14ac:dyDescent="0.25">
      <c r="B876" s="415">
        <v>875</v>
      </c>
      <c r="C876" s="1026" t="s">
        <v>930</v>
      </c>
      <c r="D876" s="1027" t="s">
        <v>8</v>
      </c>
      <c r="E876" s="1027" t="s">
        <v>17</v>
      </c>
      <c r="F876" s="1027" t="s">
        <v>752</v>
      </c>
      <c r="G876" s="1027" t="s">
        <v>24</v>
      </c>
      <c r="H876" s="1027" t="s">
        <v>22</v>
      </c>
      <c r="I876" s="1068" t="s">
        <v>913</v>
      </c>
      <c r="J876" s="414" t="str">
        <f t="shared" si="13"/>
        <v>DCompra de ViviendaIndividualReposeído (BG)UsadaCasaCOPA000000250000.01</v>
      </c>
      <c r="K876" s="1063">
        <v>250000.01</v>
      </c>
      <c r="L876" s="1063">
        <v>500000</v>
      </c>
      <c r="M876" s="1064">
        <v>80</v>
      </c>
      <c r="N876" s="1065">
        <v>30</v>
      </c>
      <c r="O876" s="1064">
        <v>5.25</v>
      </c>
      <c r="P876" s="1050">
        <v>8.56</v>
      </c>
    </row>
    <row r="877" spans="2:16" x14ac:dyDescent="0.25">
      <c r="B877" s="412">
        <v>876</v>
      </c>
      <c r="C877" s="1026" t="s">
        <v>930</v>
      </c>
      <c r="D877" s="1027" t="s">
        <v>8</v>
      </c>
      <c r="E877" s="1027" t="s">
        <v>17</v>
      </c>
      <c r="F877" s="1027" t="s">
        <v>752</v>
      </c>
      <c r="G877" s="1027" t="s">
        <v>24</v>
      </c>
      <c r="H877" s="1027" t="s">
        <v>22</v>
      </c>
      <c r="I877" s="1068" t="s">
        <v>913</v>
      </c>
      <c r="J877" s="414" t="str">
        <f t="shared" si="13"/>
        <v>DCompra de ViviendaIndividualReposeído (BG)UsadaCasaCOPA000000500000.01</v>
      </c>
      <c r="K877" s="1063">
        <v>500000.01</v>
      </c>
      <c r="L877" s="1063">
        <v>99999999</v>
      </c>
      <c r="M877" s="1064">
        <v>80</v>
      </c>
      <c r="N877" s="1065">
        <v>30</v>
      </c>
      <c r="O877" s="1064">
        <v>5.25</v>
      </c>
      <c r="P877" s="1050">
        <v>8.56</v>
      </c>
    </row>
    <row r="878" spans="2:16" x14ac:dyDescent="0.25">
      <c r="B878" s="415">
        <v>877</v>
      </c>
      <c r="C878" s="1026" t="s">
        <v>930</v>
      </c>
      <c r="D878" s="1027" t="s">
        <v>8</v>
      </c>
      <c r="E878" s="1027" t="s">
        <v>17</v>
      </c>
      <c r="F878" s="1027" t="s">
        <v>752</v>
      </c>
      <c r="G878" s="1027" t="s">
        <v>24</v>
      </c>
      <c r="H878" s="1027" t="s">
        <v>22</v>
      </c>
      <c r="I878" s="1068" t="s">
        <v>173</v>
      </c>
      <c r="J878" s="414" t="str">
        <f t="shared" si="13"/>
        <v>DCompra de ViviendaIndividualReposeído (BG)UsadaCasaFERIA000000030000.00</v>
      </c>
      <c r="K878" s="1063">
        <v>30000</v>
      </c>
      <c r="L878" s="1063">
        <v>250000</v>
      </c>
      <c r="M878" s="1064">
        <v>85</v>
      </c>
      <c r="N878" s="1065">
        <v>30</v>
      </c>
      <c r="O878" s="1064">
        <v>5.5</v>
      </c>
      <c r="P878" s="1050">
        <v>8.56</v>
      </c>
    </row>
    <row r="879" spans="2:16" x14ac:dyDescent="0.25">
      <c r="B879" s="415">
        <v>878</v>
      </c>
      <c r="C879" s="1026" t="s">
        <v>930</v>
      </c>
      <c r="D879" s="1027" t="s">
        <v>8</v>
      </c>
      <c r="E879" s="1027" t="s">
        <v>17</v>
      </c>
      <c r="F879" s="1027" t="s">
        <v>752</v>
      </c>
      <c r="G879" s="1027" t="s">
        <v>24</v>
      </c>
      <c r="H879" s="1027" t="s">
        <v>22</v>
      </c>
      <c r="I879" s="1068" t="s">
        <v>173</v>
      </c>
      <c r="J879" s="414" t="str">
        <f t="shared" si="13"/>
        <v>DCompra de ViviendaIndividualReposeído (BG)UsadaCasaFERIA000000250000.01</v>
      </c>
      <c r="K879" s="1063">
        <v>250000.01</v>
      </c>
      <c r="L879" s="1063">
        <v>500000</v>
      </c>
      <c r="M879" s="1064">
        <v>80</v>
      </c>
      <c r="N879" s="1065">
        <v>30</v>
      </c>
      <c r="O879" s="1064">
        <v>5.25</v>
      </c>
      <c r="P879" s="1050">
        <v>8.56</v>
      </c>
    </row>
    <row r="880" spans="2:16" x14ac:dyDescent="0.25">
      <c r="B880" s="415">
        <v>879</v>
      </c>
      <c r="C880" s="1026" t="s">
        <v>930</v>
      </c>
      <c r="D880" s="1027" t="s">
        <v>8</v>
      </c>
      <c r="E880" s="1027" t="s">
        <v>17</v>
      </c>
      <c r="F880" s="1027" t="s">
        <v>752</v>
      </c>
      <c r="G880" s="1027" t="s">
        <v>24</v>
      </c>
      <c r="H880" s="1027" t="s">
        <v>22</v>
      </c>
      <c r="I880" s="1068" t="s">
        <v>173</v>
      </c>
      <c r="J880" s="414" t="str">
        <f t="shared" si="13"/>
        <v>DCompra de ViviendaIndividualReposeído (BG)UsadaCasaFERIA000000500000.01</v>
      </c>
      <c r="K880" s="1063">
        <v>500000.01</v>
      </c>
      <c r="L880" s="1063">
        <v>99999999</v>
      </c>
      <c r="M880" s="1064">
        <v>80</v>
      </c>
      <c r="N880" s="1065">
        <v>30</v>
      </c>
      <c r="O880" s="1064">
        <v>5.25</v>
      </c>
      <c r="P880" s="1050">
        <v>8.56</v>
      </c>
    </row>
    <row r="881" spans="2:16" x14ac:dyDescent="0.25">
      <c r="B881" s="415">
        <v>880</v>
      </c>
      <c r="C881" s="1375" t="s">
        <v>930</v>
      </c>
      <c r="D881" s="1027" t="s">
        <v>8</v>
      </c>
      <c r="E881" s="1027" t="s">
        <v>17</v>
      </c>
      <c r="F881" s="1027" t="s">
        <v>11</v>
      </c>
      <c r="G881" s="1027" t="s">
        <v>21</v>
      </c>
      <c r="H881" s="1027" t="s">
        <v>25</v>
      </c>
      <c r="I881" s="1068" t="s">
        <v>567</v>
      </c>
      <c r="J881" s="414" t="str">
        <f t="shared" si="13"/>
        <v>DCompra de ViviendaIndividualResidencialNuevaApartamentoBG000000120000.01</v>
      </c>
      <c r="K881" s="1063">
        <v>120000.01</v>
      </c>
      <c r="L881" s="1063">
        <v>250000</v>
      </c>
      <c r="M881" s="1064">
        <v>80</v>
      </c>
      <c r="N881" s="1065">
        <v>30</v>
      </c>
      <c r="O881" s="1064">
        <v>6</v>
      </c>
      <c r="P881" s="1050">
        <v>8.56</v>
      </c>
    </row>
    <row r="882" spans="2:16" x14ac:dyDescent="0.25">
      <c r="B882" s="412">
        <v>881</v>
      </c>
      <c r="C882" s="1375" t="s">
        <v>930</v>
      </c>
      <c r="D882" s="1027" t="s">
        <v>8</v>
      </c>
      <c r="E882" s="1027" t="s">
        <v>17</v>
      </c>
      <c r="F882" s="1027" t="s">
        <v>11</v>
      </c>
      <c r="G882" s="1027" t="s">
        <v>21</v>
      </c>
      <c r="H882" s="1027" t="s">
        <v>25</v>
      </c>
      <c r="I882" s="1068" t="s">
        <v>567</v>
      </c>
      <c r="J882" s="414" t="str">
        <f t="shared" si="13"/>
        <v>DCompra de ViviendaIndividualResidencialNuevaApartamentoBG000000250000.01</v>
      </c>
      <c r="K882" s="1063">
        <v>250000.01</v>
      </c>
      <c r="L882" s="1063">
        <v>500000</v>
      </c>
      <c r="M882" s="1064">
        <v>75</v>
      </c>
      <c r="N882" s="1065">
        <v>30</v>
      </c>
      <c r="O882" s="1064">
        <v>6</v>
      </c>
      <c r="P882" s="1050">
        <v>8.56</v>
      </c>
    </row>
    <row r="883" spans="2:16" x14ac:dyDescent="0.25">
      <c r="B883" s="415">
        <v>882</v>
      </c>
      <c r="C883" s="1375" t="s">
        <v>930</v>
      </c>
      <c r="D883" s="1027" t="s">
        <v>8</v>
      </c>
      <c r="E883" s="1027" t="s">
        <v>17</v>
      </c>
      <c r="F883" s="1027" t="s">
        <v>11</v>
      </c>
      <c r="G883" s="1027" t="s">
        <v>21</v>
      </c>
      <c r="H883" s="1027" t="s">
        <v>25</v>
      </c>
      <c r="I883" s="1068" t="s">
        <v>567</v>
      </c>
      <c r="J883" s="414" t="str">
        <f t="shared" si="13"/>
        <v>DCompra de ViviendaIndividualResidencialNuevaApartamentoBG000000500000.01</v>
      </c>
      <c r="K883" s="1063">
        <v>500000.01</v>
      </c>
      <c r="L883" s="1063">
        <v>99999999</v>
      </c>
      <c r="M883" s="1064">
        <v>75</v>
      </c>
      <c r="N883" s="1065">
        <v>30</v>
      </c>
      <c r="O883" s="1064">
        <v>6</v>
      </c>
      <c r="P883" s="1050">
        <v>8.56</v>
      </c>
    </row>
    <row r="884" spans="2:16" x14ac:dyDescent="0.25">
      <c r="B884" s="415">
        <v>883</v>
      </c>
      <c r="C884" s="1026" t="s">
        <v>930</v>
      </c>
      <c r="D884" s="1027" t="s">
        <v>8</v>
      </c>
      <c r="E884" s="1027" t="s">
        <v>17</v>
      </c>
      <c r="F884" s="1027" t="s">
        <v>11</v>
      </c>
      <c r="G884" s="1027" t="s">
        <v>21</v>
      </c>
      <c r="H884" s="1027" t="s">
        <v>25</v>
      </c>
      <c r="I884" s="1068" t="s">
        <v>913</v>
      </c>
      <c r="J884" s="414" t="str">
        <f t="shared" si="13"/>
        <v>DCompra de ViviendaIndividualResidencialNuevaApartamentoCOPA000000100000.01</v>
      </c>
      <c r="K884" s="1063">
        <v>100000.01</v>
      </c>
      <c r="L884" s="1063">
        <v>250000</v>
      </c>
      <c r="M884" s="1064">
        <v>85</v>
      </c>
      <c r="N884" s="1065">
        <v>25</v>
      </c>
      <c r="O884" s="1064">
        <v>5.25</v>
      </c>
      <c r="P884" s="1050">
        <v>8.56</v>
      </c>
    </row>
    <row r="885" spans="2:16" x14ac:dyDescent="0.25">
      <c r="B885" s="415">
        <v>884</v>
      </c>
      <c r="C885" s="1026" t="s">
        <v>930</v>
      </c>
      <c r="D885" s="1027" t="s">
        <v>8</v>
      </c>
      <c r="E885" s="1027" t="s">
        <v>17</v>
      </c>
      <c r="F885" s="1027" t="s">
        <v>11</v>
      </c>
      <c r="G885" s="1027" t="s">
        <v>21</v>
      </c>
      <c r="H885" s="1027" t="s">
        <v>25</v>
      </c>
      <c r="I885" s="1068" t="s">
        <v>913</v>
      </c>
      <c r="J885" s="414" t="str">
        <f t="shared" si="13"/>
        <v>DCompra de ViviendaIndividualResidencialNuevaApartamentoCOPA000000250000.01</v>
      </c>
      <c r="K885" s="1063">
        <v>250000.01</v>
      </c>
      <c r="L885" s="1063">
        <v>500000</v>
      </c>
      <c r="M885" s="1064">
        <v>80</v>
      </c>
      <c r="N885" s="1065">
        <v>25</v>
      </c>
      <c r="O885" s="1064">
        <v>5</v>
      </c>
      <c r="P885" s="1050">
        <v>8.56</v>
      </c>
    </row>
    <row r="886" spans="2:16" x14ac:dyDescent="0.25">
      <c r="B886" s="415">
        <v>885</v>
      </c>
      <c r="C886" s="1026" t="s">
        <v>930</v>
      </c>
      <c r="D886" s="1027" t="s">
        <v>8</v>
      </c>
      <c r="E886" s="1027" t="s">
        <v>17</v>
      </c>
      <c r="F886" s="1027" t="s">
        <v>11</v>
      </c>
      <c r="G886" s="1027" t="s">
        <v>21</v>
      </c>
      <c r="H886" s="1027" t="s">
        <v>25</v>
      </c>
      <c r="I886" s="1068" t="s">
        <v>913</v>
      </c>
      <c r="J886" s="414" t="str">
        <f t="shared" si="13"/>
        <v>DCompra de ViviendaIndividualResidencialNuevaApartamentoCOPA000000500000.01</v>
      </c>
      <c r="K886" s="1063">
        <v>500000.01</v>
      </c>
      <c r="L886" s="1063">
        <v>99999999</v>
      </c>
      <c r="M886" s="1064">
        <v>80</v>
      </c>
      <c r="N886" s="1065">
        <v>25</v>
      </c>
      <c r="O886" s="1064">
        <v>5</v>
      </c>
      <c r="P886" s="1050">
        <v>8.56</v>
      </c>
    </row>
    <row r="887" spans="2:16" x14ac:dyDescent="0.25">
      <c r="B887" s="412">
        <v>886</v>
      </c>
      <c r="C887" s="1026" t="s">
        <v>930</v>
      </c>
      <c r="D887" s="1027" t="s">
        <v>8</v>
      </c>
      <c r="E887" s="1027" t="s">
        <v>17</v>
      </c>
      <c r="F887" s="1027" t="s">
        <v>11</v>
      </c>
      <c r="G887" s="1027" t="s">
        <v>21</v>
      </c>
      <c r="H887" s="1027" t="s">
        <v>25</v>
      </c>
      <c r="I887" s="1068" t="s">
        <v>173</v>
      </c>
      <c r="J887" s="414" t="str">
        <f t="shared" si="13"/>
        <v>DCompra de ViviendaIndividualResidencialNuevaApartamentoFERIA000000100000.01</v>
      </c>
      <c r="K887" s="1063">
        <v>100000.01</v>
      </c>
      <c r="L887" s="1063">
        <v>250000</v>
      </c>
      <c r="M887" s="1064">
        <v>85</v>
      </c>
      <c r="N887" s="1065">
        <v>25</v>
      </c>
      <c r="O887" s="1064">
        <v>5.25</v>
      </c>
      <c r="P887" s="1050">
        <v>8.56</v>
      </c>
    </row>
    <row r="888" spans="2:16" x14ac:dyDescent="0.25">
      <c r="B888" s="415">
        <v>887</v>
      </c>
      <c r="C888" s="1026" t="s">
        <v>930</v>
      </c>
      <c r="D888" s="1027" t="s">
        <v>8</v>
      </c>
      <c r="E888" s="1027" t="s">
        <v>17</v>
      </c>
      <c r="F888" s="1027" t="s">
        <v>11</v>
      </c>
      <c r="G888" s="1027" t="s">
        <v>21</v>
      </c>
      <c r="H888" s="1027" t="s">
        <v>25</v>
      </c>
      <c r="I888" s="1068" t="s">
        <v>173</v>
      </c>
      <c r="J888" s="414" t="str">
        <f t="shared" si="13"/>
        <v>DCompra de ViviendaIndividualResidencialNuevaApartamentoFERIA000000250000.01</v>
      </c>
      <c r="K888" s="1063">
        <v>250000.01</v>
      </c>
      <c r="L888" s="1063">
        <v>500000</v>
      </c>
      <c r="M888" s="1064">
        <v>80</v>
      </c>
      <c r="N888" s="1065">
        <v>25</v>
      </c>
      <c r="O888" s="1064">
        <v>5</v>
      </c>
      <c r="P888" s="1050">
        <v>8.56</v>
      </c>
    </row>
    <row r="889" spans="2:16" x14ac:dyDescent="0.25">
      <c r="B889" s="415">
        <v>888</v>
      </c>
      <c r="C889" s="1026" t="s">
        <v>930</v>
      </c>
      <c r="D889" s="1027" t="s">
        <v>8</v>
      </c>
      <c r="E889" s="1027" t="s">
        <v>17</v>
      </c>
      <c r="F889" s="1027" t="s">
        <v>11</v>
      </c>
      <c r="G889" s="1027" t="s">
        <v>21</v>
      </c>
      <c r="H889" s="1027" t="s">
        <v>25</v>
      </c>
      <c r="I889" s="1068" t="s">
        <v>173</v>
      </c>
      <c r="J889" s="414" t="str">
        <f t="shared" si="13"/>
        <v>DCompra de ViviendaIndividualResidencialNuevaApartamentoFERIA000000500000.01</v>
      </c>
      <c r="K889" s="1063">
        <v>500000.01</v>
      </c>
      <c r="L889" s="1063">
        <v>99999999</v>
      </c>
      <c r="M889" s="1064">
        <v>80</v>
      </c>
      <c r="N889" s="1065">
        <v>25</v>
      </c>
      <c r="O889" s="1064">
        <v>5</v>
      </c>
      <c r="P889" s="1050">
        <v>8.56</v>
      </c>
    </row>
    <row r="890" spans="2:16" x14ac:dyDescent="0.25">
      <c r="B890" s="415">
        <v>889</v>
      </c>
      <c r="C890" s="1375" t="s">
        <v>930</v>
      </c>
      <c r="D890" s="1027" t="s">
        <v>8</v>
      </c>
      <c r="E890" s="1027" t="s">
        <v>17</v>
      </c>
      <c r="F890" s="1027" t="s">
        <v>11</v>
      </c>
      <c r="G890" s="1027" t="s">
        <v>21</v>
      </c>
      <c r="H890" s="1027" t="s">
        <v>22</v>
      </c>
      <c r="I890" s="1068" t="s">
        <v>567</v>
      </c>
      <c r="J890" s="414" t="str">
        <f t="shared" si="13"/>
        <v>DCompra de ViviendaIndividualResidencialNuevaCasaBG000000120000.01</v>
      </c>
      <c r="K890" s="1063">
        <v>120000.01</v>
      </c>
      <c r="L890" s="1063">
        <v>250000</v>
      </c>
      <c r="M890" s="1064">
        <v>80</v>
      </c>
      <c r="N890" s="1065">
        <v>30</v>
      </c>
      <c r="O890" s="1064">
        <v>6</v>
      </c>
      <c r="P890" s="1050">
        <v>8.56</v>
      </c>
    </row>
    <row r="891" spans="2:16" x14ac:dyDescent="0.25">
      <c r="B891" s="415">
        <v>890</v>
      </c>
      <c r="C891" s="1375" t="s">
        <v>930</v>
      </c>
      <c r="D891" s="1027" t="s">
        <v>8</v>
      </c>
      <c r="E891" s="1027" t="s">
        <v>17</v>
      </c>
      <c r="F891" s="1027" t="s">
        <v>11</v>
      </c>
      <c r="G891" s="1027" t="s">
        <v>21</v>
      </c>
      <c r="H891" s="1027" t="s">
        <v>22</v>
      </c>
      <c r="I891" s="1068" t="s">
        <v>567</v>
      </c>
      <c r="J891" s="414" t="str">
        <f t="shared" si="13"/>
        <v>DCompra de ViviendaIndividualResidencialNuevaCasaBG000000250000.01</v>
      </c>
      <c r="K891" s="1063">
        <v>250000.01</v>
      </c>
      <c r="L891" s="1063">
        <v>500000</v>
      </c>
      <c r="M891" s="1064">
        <v>75</v>
      </c>
      <c r="N891" s="1065">
        <v>30</v>
      </c>
      <c r="O891" s="1064">
        <v>6</v>
      </c>
      <c r="P891" s="1050">
        <v>8.56</v>
      </c>
    </row>
    <row r="892" spans="2:16" x14ac:dyDescent="0.25">
      <c r="B892" s="412">
        <v>891</v>
      </c>
      <c r="C892" s="1375" t="s">
        <v>930</v>
      </c>
      <c r="D892" s="1027" t="s">
        <v>8</v>
      </c>
      <c r="E892" s="1027" t="s">
        <v>17</v>
      </c>
      <c r="F892" s="1027" t="s">
        <v>11</v>
      </c>
      <c r="G892" s="1027" t="s">
        <v>21</v>
      </c>
      <c r="H892" s="1027" t="s">
        <v>22</v>
      </c>
      <c r="I892" s="1068" t="s">
        <v>567</v>
      </c>
      <c r="J892" s="414" t="str">
        <f t="shared" si="13"/>
        <v>DCompra de ViviendaIndividualResidencialNuevaCasaBG000000500000.01</v>
      </c>
      <c r="K892" s="1063">
        <v>500000.01</v>
      </c>
      <c r="L892" s="1063">
        <v>99999999</v>
      </c>
      <c r="M892" s="1064">
        <v>75</v>
      </c>
      <c r="N892" s="1065">
        <v>30</v>
      </c>
      <c r="O892" s="1064">
        <v>6</v>
      </c>
      <c r="P892" s="1050">
        <v>8.56</v>
      </c>
    </row>
    <row r="893" spans="2:16" x14ac:dyDescent="0.25">
      <c r="B893" s="415">
        <v>892</v>
      </c>
      <c r="C893" s="1026" t="s">
        <v>930</v>
      </c>
      <c r="D893" s="1027" t="s">
        <v>8</v>
      </c>
      <c r="E893" s="1027" t="s">
        <v>17</v>
      </c>
      <c r="F893" s="1027" t="s">
        <v>11</v>
      </c>
      <c r="G893" s="1027" t="s">
        <v>21</v>
      </c>
      <c r="H893" s="1027" t="s">
        <v>22</v>
      </c>
      <c r="I893" s="1068" t="s">
        <v>913</v>
      </c>
      <c r="J893" s="414" t="str">
        <f t="shared" si="13"/>
        <v>DCompra de ViviendaIndividualResidencialNuevaCasaCOPA000000100000.01</v>
      </c>
      <c r="K893" s="1063">
        <v>100000.01</v>
      </c>
      <c r="L893" s="1063">
        <v>250000</v>
      </c>
      <c r="M893" s="1064">
        <v>85</v>
      </c>
      <c r="N893" s="1065">
        <v>30</v>
      </c>
      <c r="O893" s="1064">
        <v>5.25</v>
      </c>
      <c r="P893" s="1050">
        <v>8.56</v>
      </c>
    </row>
    <row r="894" spans="2:16" x14ac:dyDescent="0.25">
      <c r="B894" s="415">
        <v>893</v>
      </c>
      <c r="C894" s="1026" t="s">
        <v>930</v>
      </c>
      <c r="D894" s="1027" t="s">
        <v>8</v>
      </c>
      <c r="E894" s="1027" t="s">
        <v>17</v>
      </c>
      <c r="F894" s="1027" t="s">
        <v>11</v>
      </c>
      <c r="G894" s="1027" t="s">
        <v>21</v>
      </c>
      <c r="H894" s="1027" t="s">
        <v>22</v>
      </c>
      <c r="I894" s="1068" t="s">
        <v>913</v>
      </c>
      <c r="J894" s="414" t="str">
        <f t="shared" si="13"/>
        <v>DCompra de ViviendaIndividualResidencialNuevaCasaCOPA000000250000.01</v>
      </c>
      <c r="K894" s="1063">
        <v>250000.01</v>
      </c>
      <c r="L894" s="1063">
        <v>500000</v>
      </c>
      <c r="M894" s="1064">
        <v>80</v>
      </c>
      <c r="N894" s="1065">
        <v>30</v>
      </c>
      <c r="O894" s="1064">
        <v>5</v>
      </c>
      <c r="P894" s="1050">
        <v>8.56</v>
      </c>
    </row>
    <row r="895" spans="2:16" x14ac:dyDescent="0.25">
      <c r="B895" s="415">
        <v>894</v>
      </c>
      <c r="C895" s="1026" t="s">
        <v>930</v>
      </c>
      <c r="D895" s="1027" t="s">
        <v>8</v>
      </c>
      <c r="E895" s="1027" t="s">
        <v>17</v>
      </c>
      <c r="F895" s="1027" t="s">
        <v>11</v>
      </c>
      <c r="G895" s="1027" t="s">
        <v>21</v>
      </c>
      <c r="H895" s="1027" t="s">
        <v>22</v>
      </c>
      <c r="I895" s="1068" t="s">
        <v>913</v>
      </c>
      <c r="J895" s="414" t="str">
        <f t="shared" si="13"/>
        <v>DCompra de ViviendaIndividualResidencialNuevaCasaCOPA000000500000.01</v>
      </c>
      <c r="K895" s="1063">
        <v>500000.01</v>
      </c>
      <c r="L895" s="1063">
        <v>99999999</v>
      </c>
      <c r="M895" s="1064">
        <v>80</v>
      </c>
      <c r="N895" s="1065">
        <v>30</v>
      </c>
      <c r="O895" s="1064">
        <v>5</v>
      </c>
      <c r="P895" s="1050">
        <v>8.56</v>
      </c>
    </row>
    <row r="896" spans="2:16" x14ac:dyDescent="0.25">
      <c r="B896" s="415">
        <v>895</v>
      </c>
      <c r="C896" s="1026" t="s">
        <v>930</v>
      </c>
      <c r="D896" s="1027" t="s">
        <v>8</v>
      </c>
      <c r="E896" s="1027" t="s">
        <v>17</v>
      </c>
      <c r="F896" s="1027" t="s">
        <v>11</v>
      </c>
      <c r="G896" s="1027" t="s">
        <v>21</v>
      </c>
      <c r="H896" s="1027" t="s">
        <v>22</v>
      </c>
      <c r="I896" s="1068" t="s">
        <v>173</v>
      </c>
      <c r="J896" s="414" t="str">
        <f t="shared" si="13"/>
        <v>DCompra de ViviendaIndividualResidencialNuevaCasaFERIA000000100000.01</v>
      </c>
      <c r="K896" s="1063">
        <v>100000.01</v>
      </c>
      <c r="L896" s="1063">
        <v>250000</v>
      </c>
      <c r="M896" s="1064">
        <v>85</v>
      </c>
      <c r="N896" s="1065">
        <v>30</v>
      </c>
      <c r="O896" s="1064">
        <v>5.25</v>
      </c>
      <c r="P896" s="1050">
        <v>8.56</v>
      </c>
    </row>
    <row r="897" spans="2:16" x14ac:dyDescent="0.25">
      <c r="B897" s="412">
        <v>896</v>
      </c>
      <c r="C897" s="1026" t="s">
        <v>930</v>
      </c>
      <c r="D897" s="1027" t="s">
        <v>8</v>
      </c>
      <c r="E897" s="1027" t="s">
        <v>17</v>
      </c>
      <c r="F897" s="1027" t="s">
        <v>11</v>
      </c>
      <c r="G897" s="1027" t="s">
        <v>21</v>
      </c>
      <c r="H897" s="1027" t="s">
        <v>22</v>
      </c>
      <c r="I897" s="1068" t="s">
        <v>173</v>
      </c>
      <c r="J897" s="414" t="str">
        <f t="shared" si="13"/>
        <v>DCompra de ViviendaIndividualResidencialNuevaCasaFERIA000000250000.01</v>
      </c>
      <c r="K897" s="1063">
        <v>250000.01</v>
      </c>
      <c r="L897" s="1063">
        <v>500000</v>
      </c>
      <c r="M897" s="1064">
        <v>80</v>
      </c>
      <c r="N897" s="1065">
        <v>30</v>
      </c>
      <c r="O897" s="1064">
        <v>5</v>
      </c>
      <c r="P897" s="1050">
        <v>8.56</v>
      </c>
    </row>
    <row r="898" spans="2:16" x14ac:dyDescent="0.25">
      <c r="B898" s="415">
        <v>897</v>
      </c>
      <c r="C898" s="1026" t="s">
        <v>930</v>
      </c>
      <c r="D898" s="1027" t="s">
        <v>8</v>
      </c>
      <c r="E898" s="1027" t="s">
        <v>17</v>
      </c>
      <c r="F898" s="1027" t="s">
        <v>11</v>
      </c>
      <c r="G898" s="1027" t="s">
        <v>21</v>
      </c>
      <c r="H898" s="1027" t="s">
        <v>22</v>
      </c>
      <c r="I898" s="1068" t="s">
        <v>173</v>
      </c>
      <c r="J898" s="414" t="str">
        <f t="shared" ref="J898:J961" si="14">C898&amp;D898&amp;E898&amp;F898&amp;G898&amp;H898&amp;I898 &amp; REPT("0",15-LEN(K898 &amp; IF(IFERROR(FIND(".",K898&amp;""),0)=0,".00","")))&amp;K898 &amp; IF(IFERROR(FIND(".",K898&amp;""),0)=0,".00","")</f>
        <v>DCompra de ViviendaIndividualResidencialNuevaCasaFERIA000000500000.01</v>
      </c>
      <c r="K898" s="1063">
        <v>500000.01</v>
      </c>
      <c r="L898" s="1063">
        <v>99999999</v>
      </c>
      <c r="M898" s="1064">
        <v>80</v>
      </c>
      <c r="N898" s="1065">
        <v>30</v>
      </c>
      <c r="O898" s="1064">
        <v>5</v>
      </c>
      <c r="P898" s="1050">
        <v>8.56</v>
      </c>
    </row>
    <row r="899" spans="2:16" x14ac:dyDescent="0.25">
      <c r="B899" s="415">
        <v>898</v>
      </c>
      <c r="C899" s="1375" t="s">
        <v>930</v>
      </c>
      <c r="D899" s="1027" t="s">
        <v>8</v>
      </c>
      <c r="E899" s="1027" t="s">
        <v>17</v>
      </c>
      <c r="F899" s="1027" t="s">
        <v>11</v>
      </c>
      <c r="G899" s="1027" t="s">
        <v>24</v>
      </c>
      <c r="H899" s="1027" t="s">
        <v>25</v>
      </c>
      <c r="I899" s="1068" t="s">
        <v>567</v>
      </c>
      <c r="J899" s="414" t="str">
        <f t="shared" si="14"/>
        <v>DCompra de ViviendaIndividualResidencialUsadaApartamentoBG000000030000.00</v>
      </c>
      <c r="K899" s="1063">
        <v>30000</v>
      </c>
      <c r="L899" s="1063">
        <v>250000</v>
      </c>
      <c r="M899" s="1064">
        <v>80</v>
      </c>
      <c r="N899" s="1065">
        <v>30</v>
      </c>
      <c r="O899" s="1064">
        <v>6</v>
      </c>
      <c r="P899" s="1050">
        <v>8.56</v>
      </c>
    </row>
    <row r="900" spans="2:16" x14ac:dyDescent="0.25">
      <c r="B900" s="415">
        <v>899</v>
      </c>
      <c r="C900" s="1375" t="s">
        <v>930</v>
      </c>
      <c r="D900" s="1027" t="s">
        <v>8</v>
      </c>
      <c r="E900" s="1027" t="s">
        <v>17</v>
      </c>
      <c r="F900" s="1027" t="s">
        <v>11</v>
      </c>
      <c r="G900" s="1027" t="s">
        <v>24</v>
      </c>
      <c r="H900" s="1027" t="s">
        <v>25</v>
      </c>
      <c r="I900" s="1068" t="s">
        <v>567</v>
      </c>
      <c r="J900" s="414" t="str">
        <f t="shared" si="14"/>
        <v>DCompra de ViviendaIndividualResidencialUsadaApartamentoBG000000250000.01</v>
      </c>
      <c r="K900" s="1063">
        <v>250000.01</v>
      </c>
      <c r="L900" s="1063">
        <v>500000</v>
      </c>
      <c r="M900" s="1064">
        <v>75</v>
      </c>
      <c r="N900" s="1065">
        <v>30</v>
      </c>
      <c r="O900" s="1064">
        <v>6</v>
      </c>
      <c r="P900" s="1050">
        <v>8.56</v>
      </c>
    </row>
    <row r="901" spans="2:16" x14ac:dyDescent="0.25">
      <c r="B901" s="415">
        <v>900</v>
      </c>
      <c r="C901" s="1375" t="s">
        <v>930</v>
      </c>
      <c r="D901" s="1027" t="s">
        <v>8</v>
      </c>
      <c r="E901" s="1027" t="s">
        <v>17</v>
      </c>
      <c r="F901" s="1027" t="s">
        <v>11</v>
      </c>
      <c r="G901" s="1027" t="s">
        <v>24</v>
      </c>
      <c r="H901" s="1027" t="s">
        <v>25</v>
      </c>
      <c r="I901" s="1068" t="s">
        <v>567</v>
      </c>
      <c r="J901" s="414" t="str">
        <f t="shared" si="14"/>
        <v>DCompra de ViviendaIndividualResidencialUsadaApartamentoBG000000500000.01</v>
      </c>
      <c r="K901" s="1063">
        <v>500000.01</v>
      </c>
      <c r="L901" s="1063">
        <v>99999999</v>
      </c>
      <c r="M901" s="1064">
        <v>70</v>
      </c>
      <c r="N901" s="1065">
        <v>30</v>
      </c>
      <c r="O901" s="1064">
        <v>6</v>
      </c>
      <c r="P901" s="1050">
        <v>8.56</v>
      </c>
    </row>
    <row r="902" spans="2:16" x14ac:dyDescent="0.25">
      <c r="B902" s="412">
        <v>901</v>
      </c>
      <c r="C902" s="1026" t="s">
        <v>930</v>
      </c>
      <c r="D902" s="1027" t="s">
        <v>8</v>
      </c>
      <c r="E902" s="1027" t="s">
        <v>17</v>
      </c>
      <c r="F902" s="1027" t="s">
        <v>11</v>
      </c>
      <c r="G902" s="1027" t="s">
        <v>24</v>
      </c>
      <c r="H902" s="1027" t="s">
        <v>25</v>
      </c>
      <c r="I902" s="1068" t="s">
        <v>913</v>
      </c>
      <c r="J902" s="414" t="str">
        <f t="shared" si="14"/>
        <v>DCompra de ViviendaIndividualResidencialUsadaApartamentoCOPA000000030000.00</v>
      </c>
      <c r="K902" s="1063">
        <v>30000</v>
      </c>
      <c r="L902" s="1063">
        <v>250000</v>
      </c>
      <c r="M902" s="1064">
        <v>85</v>
      </c>
      <c r="N902" s="1065">
        <v>30</v>
      </c>
      <c r="O902" s="1064">
        <v>5.5</v>
      </c>
      <c r="P902" s="1050">
        <v>8.56</v>
      </c>
    </row>
    <row r="903" spans="2:16" x14ac:dyDescent="0.25">
      <c r="B903" s="415">
        <v>902</v>
      </c>
      <c r="C903" s="1026" t="s">
        <v>930</v>
      </c>
      <c r="D903" s="1027" t="s">
        <v>8</v>
      </c>
      <c r="E903" s="1027" t="s">
        <v>17</v>
      </c>
      <c r="F903" s="1027" t="s">
        <v>11</v>
      </c>
      <c r="G903" s="1027" t="s">
        <v>24</v>
      </c>
      <c r="H903" s="1027" t="s">
        <v>25</v>
      </c>
      <c r="I903" s="1068" t="s">
        <v>913</v>
      </c>
      <c r="J903" s="414" t="str">
        <f t="shared" si="14"/>
        <v>DCompra de ViviendaIndividualResidencialUsadaApartamentoCOPA000000250000.01</v>
      </c>
      <c r="K903" s="1063">
        <v>250000.01</v>
      </c>
      <c r="L903" s="1063">
        <v>500000</v>
      </c>
      <c r="M903" s="1064">
        <v>80</v>
      </c>
      <c r="N903" s="1065">
        <v>25</v>
      </c>
      <c r="O903" s="1064">
        <v>5.25</v>
      </c>
      <c r="P903" s="1050">
        <v>8.56</v>
      </c>
    </row>
    <row r="904" spans="2:16" x14ac:dyDescent="0.25">
      <c r="B904" s="415">
        <v>903</v>
      </c>
      <c r="C904" s="1026" t="s">
        <v>930</v>
      </c>
      <c r="D904" s="1027" t="s">
        <v>8</v>
      </c>
      <c r="E904" s="1027" t="s">
        <v>17</v>
      </c>
      <c r="F904" s="1027" t="s">
        <v>11</v>
      </c>
      <c r="G904" s="1027" t="s">
        <v>24</v>
      </c>
      <c r="H904" s="1027" t="s">
        <v>25</v>
      </c>
      <c r="I904" s="1068" t="s">
        <v>913</v>
      </c>
      <c r="J904" s="414" t="str">
        <f t="shared" si="14"/>
        <v>DCompra de ViviendaIndividualResidencialUsadaApartamentoCOPA000000500000.01</v>
      </c>
      <c r="K904" s="1063">
        <v>500000.01</v>
      </c>
      <c r="L904" s="1063">
        <v>99999999</v>
      </c>
      <c r="M904" s="1064">
        <v>80</v>
      </c>
      <c r="N904" s="1065">
        <v>25</v>
      </c>
      <c r="O904" s="1064">
        <v>5.25</v>
      </c>
      <c r="P904" s="1050">
        <v>8.56</v>
      </c>
    </row>
    <row r="905" spans="2:16" x14ac:dyDescent="0.25">
      <c r="B905" s="415">
        <v>904</v>
      </c>
      <c r="C905" s="1026" t="s">
        <v>930</v>
      </c>
      <c r="D905" s="1027" t="s">
        <v>8</v>
      </c>
      <c r="E905" s="1027" t="s">
        <v>17</v>
      </c>
      <c r="F905" s="1027" t="s">
        <v>11</v>
      </c>
      <c r="G905" s="1027" t="s">
        <v>24</v>
      </c>
      <c r="H905" s="1027" t="s">
        <v>25</v>
      </c>
      <c r="I905" s="1068" t="s">
        <v>173</v>
      </c>
      <c r="J905" s="414" t="str">
        <f t="shared" si="14"/>
        <v>DCompra de ViviendaIndividualResidencialUsadaApartamentoFERIA000000030000.00</v>
      </c>
      <c r="K905" s="1063">
        <v>30000</v>
      </c>
      <c r="L905" s="1063">
        <v>250000</v>
      </c>
      <c r="M905" s="1064">
        <v>85</v>
      </c>
      <c r="N905" s="1065">
        <v>30</v>
      </c>
      <c r="O905" s="1064">
        <v>5.5</v>
      </c>
      <c r="P905" s="1050">
        <v>8.56</v>
      </c>
    </row>
    <row r="906" spans="2:16" x14ac:dyDescent="0.25">
      <c r="B906" s="415">
        <v>905</v>
      </c>
      <c r="C906" s="1026" t="s">
        <v>930</v>
      </c>
      <c r="D906" s="1027" t="s">
        <v>8</v>
      </c>
      <c r="E906" s="1027" t="s">
        <v>17</v>
      </c>
      <c r="F906" s="1027" t="s">
        <v>11</v>
      </c>
      <c r="G906" s="1027" t="s">
        <v>24</v>
      </c>
      <c r="H906" s="1027" t="s">
        <v>25</v>
      </c>
      <c r="I906" s="1068" t="s">
        <v>173</v>
      </c>
      <c r="J906" s="414" t="str">
        <f t="shared" si="14"/>
        <v>DCompra de ViviendaIndividualResidencialUsadaApartamentoFERIA000000250000.01</v>
      </c>
      <c r="K906" s="1063">
        <v>250000.01</v>
      </c>
      <c r="L906" s="1063">
        <v>500000</v>
      </c>
      <c r="M906" s="1064">
        <v>80</v>
      </c>
      <c r="N906" s="1065">
        <v>25</v>
      </c>
      <c r="O906" s="1064">
        <v>5.25</v>
      </c>
      <c r="P906" s="1050">
        <v>8.56</v>
      </c>
    </row>
    <row r="907" spans="2:16" x14ac:dyDescent="0.25">
      <c r="B907" s="412">
        <v>906</v>
      </c>
      <c r="C907" s="1026" t="s">
        <v>930</v>
      </c>
      <c r="D907" s="1027" t="s">
        <v>8</v>
      </c>
      <c r="E907" s="1027" t="s">
        <v>17</v>
      </c>
      <c r="F907" s="1027" t="s">
        <v>11</v>
      </c>
      <c r="G907" s="1027" t="s">
        <v>24</v>
      </c>
      <c r="H907" s="1027" t="s">
        <v>25</v>
      </c>
      <c r="I907" s="1068" t="s">
        <v>173</v>
      </c>
      <c r="J907" s="414" t="str">
        <f t="shared" si="14"/>
        <v>DCompra de ViviendaIndividualResidencialUsadaApartamentoFERIA000000500000.01</v>
      </c>
      <c r="K907" s="1063">
        <v>500000.01</v>
      </c>
      <c r="L907" s="1063">
        <v>99999999</v>
      </c>
      <c r="M907" s="1064">
        <v>80</v>
      </c>
      <c r="N907" s="1065">
        <v>25</v>
      </c>
      <c r="O907" s="1064">
        <v>5.25</v>
      </c>
      <c r="P907" s="1050">
        <v>8.56</v>
      </c>
    </row>
    <row r="908" spans="2:16" x14ac:dyDescent="0.25">
      <c r="B908" s="415">
        <v>907</v>
      </c>
      <c r="C908" s="1375" t="s">
        <v>930</v>
      </c>
      <c r="D908" s="1027" t="s">
        <v>8</v>
      </c>
      <c r="E908" s="1027" t="s">
        <v>17</v>
      </c>
      <c r="F908" s="1027" t="s">
        <v>11</v>
      </c>
      <c r="G908" s="1027" t="s">
        <v>24</v>
      </c>
      <c r="H908" s="1027" t="s">
        <v>22</v>
      </c>
      <c r="I908" s="1068" t="s">
        <v>567</v>
      </c>
      <c r="J908" s="414" t="str">
        <f t="shared" si="14"/>
        <v>DCompra de ViviendaIndividualResidencialUsadaCasaBG000000030000.00</v>
      </c>
      <c r="K908" s="1063">
        <v>30000</v>
      </c>
      <c r="L908" s="1063">
        <v>250000</v>
      </c>
      <c r="M908" s="1064">
        <v>80</v>
      </c>
      <c r="N908" s="1065">
        <v>30</v>
      </c>
      <c r="O908" s="1064">
        <v>6</v>
      </c>
      <c r="P908" s="1050">
        <v>8.56</v>
      </c>
    </row>
    <row r="909" spans="2:16" x14ac:dyDescent="0.25">
      <c r="B909" s="415">
        <v>908</v>
      </c>
      <c r="C909" s="1375" t="s">
        <v>930</v>
      </c>
      <c r="D909" s="1027" t="s">
        <v>8</v>
      </c>
      <c r="E909" s="1027" t="s">
        <v>17</v>
      </c>
      <c r="F909" s="1027" t="s">
        <v>11</v>
      </c>
      <c r="G909" s="1027" t="s">
        <v>24</v>
      </c>
      <c r="H909" s="1027" t="s">
        <v>22</v>
      </c>
      <c r="I909" s="1068" t="s">
        <v>567</v>
      </c>
      <c r="J909" s="414" t="str">
        <f t="shared" si="14"/>
        <v>DCompra de ViviendaIndividualResidencialUsadaCasaBG000000250000.01</v>
      </c>
      <c r="K909" s="1063">
        <v>250000.01</v>
      </c>
      <c r="L909" s="1063">
        <v>500000</v>
      </c>
      <c r="M909" s="1064">
        <v>75</v>
      </c>
      <c r="N909" s="1065">
        <v>30</v>
      </c>
      <c r="O909" s="1064">
        <v>6</v>
      </c>
      <c r="P909" s="1050">
        <v>8.56</v>
      </c>
    </row>
    <row r="910" spans="2:16" x14ac:dyDescent="0.25">
      <c r="B910" s="415">
        <v>909</v>
      </c>
      <c r="C910" s="1375" t="s">
        <v>930</v>
      </c>
      <c r="D910" s="1027" t="s">
        <v>8</v>
      </c>
      <c r="E910" s="1027" t="s">
        <v>17</v>
      </c>
      <c r="F910" s="1027" t="s">
        <v>11</v>
      </c>
      <c r="G910" s="1027" t="s">
        <v>24</v>
      </c>
      <c r="H910" s="1027" t="s">
        <v>22</v>
      </c>
      <c r="I910" s="1068" t="s">
        <v>567</v>
      </c>
      <c r="J910" s="414" t="str">
        <f t="shared" si="14"/>
        <v>DCompra de ViviendaIndividualResidencialUsadaCasaBG000000500000.01</v>
      </c>
      <c r="K910" s="1063">
        <v>500000.01</v>
      </c>
      <c r="L910" s="1063">
        <v>99999999</v>
      </c>
      <c r="M910" s="1064">
        <v>70</v>
      </c>
      <c r="N910" s="1065">
        <v>30</v>
      </c>
      <c r="O910" s="1064">
        <v>6</v>
      </c>
      <c r="P910" s="1050">
        <v>8.56</v>
      </c>
    </row>
    <row r="911" spans="2:16" x14ac:dyDescent="0.25">
      <c r="B911" s="415">
        <v>910</v>
      </c>
      <c r="C911" s="1026" t="s">
        <v>930</v>
      </c>
      <c r="D911" s="1027" t="s">
        <v>8</v>
      </c>
      <c r="E911" s="1027" t="s">
        <v>17</v>
      </c>
      <c r="F911" s="1027" t="s">
        <v>11</v>
      </c>
      <c r="G911" s="1027" t="s">
        <v>24</v>
      </c>
      <c r="H911" s="1027" t="s">
        <v>22</v>
      </c>
      <c r="I911" s="1068" t="s">
        <v>913</v>
      </c>
      <c r="J911" s="414" t="str">
        <f t="shared" si="14"/>
        <v>DCompra de ViviendaIndividualResidencialUsadaCasaCOPA000000030000.00</v>
      </c>
      <c r="K911" s="1063">
        <v>30000</v>
      </c>
      <c r="L911" s="1063">
        <v>250000</v>
      </c>
      <c r="M911" s="1064">
        <v>85</v>
      </c>
      <c r="N911" s="1065">
        <v>30</v>
      </c>
      <c r="O911" s="1064">
        <v>5.5</v>
      </c>
      <c r="P911" s="1050">
        <v>8.56</v>
      </c>
    </row>
    <row r="912" spans="2:16" x14ac:dyDescent="0.25">
      <c r="B912" s="412">
        <v>911</v>
      </c>
      <c r="C912" s="1026" t="s">
        <v>930</v>
      </c>
      <c r="D912" s="1027" t="s">
        <v>8</v>
      </c>
      <c r="E912" s="1027" t="s">
        <v>17</v>
      </c>
      <c r="F912" s="1027" t="s">
        <v>11</v>
      </c>
      <c r="G912" s="1027" t="s">
        <v>24</v>
      </c>
      <c r="H912" s="1027" t="s">
        <v>22</v>
      </c>
      <c r="I912" s="1068" t="s">
        <v>913</v>
      </c>
      <c r="J912" s="414" t="str">
        <f t="shared" si="14"/>
        <v>DCompra de ViviendaIndividualResidencialUsadaCasaCOPA000000250000.01</v>
      </c>
      <c r="K912" s="1063">
        <v>250000.01</v>
      </c>
      <c r="L912" s="1063">
        <v>500000</v>
      </c>
      <c r="M912" s="1064">
        <v>80</v>
      </c>
      <c r="N912" s="1065">
        <v>30</v>
      </c>
      <c r="O912" s="1064">
        <v>5.25</v>
      </c>
      <c r="P912" s="1050">
        <v>8.56</v>
      </c>
    </row>
    <row r="913" spans="2:16" x14ac:dyDescent="0.25">
      <c r="B913" s="415">
        <v>912</v>
      </c>
      <c r="C913" s="1026" t="s">
        <v>930</v>
      </c>
      <c r="D913" s="1027" t="s">
        <v>8</v>
      </c>
      <c r="E913" s="1027" t="s">
        <v>17</v>
      </c>
      <c r="F913" s="1027" t="s">
        <v>11</v>
      </c>
      <c r="G913" s="1027" t="s">
        <v>24</v>
      </c>
      <c r="H913" s="1027" t="s">
        <v>22</v>
      </c>
      <c r="I913" s="1068" t="s">
        <v>913</v>
      </c>
      <c r="J913" s="414" t="str">
        <f t="shared" si="14"/>
        <v>DCompra de ViviendaIndividualResidencialUsadaCasaCOPA000000500000.01</v>
      </c>
      <c r="K913" s="1063">
        <v>500000.01</v>
      </c>
      <c r="L913" s="1063">
        <v>99999999</v>
      </c>
      <c r="M913" s="1064">
        <v>80</v>
      </c>
      <c r="N913" s="1065">
        <v>30</v>
      </c>
      <c r="O913" s="1064">
        <v>5.25</v>
      </c>
      <c r="P913" s="1050">
        <v>8.56</v>
      </c>
    </row>
    <row r="914" spans="2:16" x14ac:dyDescent="0.25">
      <c r="B914" s="415">
        <v>913</v>
      </c>
      <c r="C914" s="1026" t="s">
        <v>930</v>
      </c>
      <c r="D914" s="1027" t="s">
        <v>8</v>
      </c>
      <c r="E914" s="1027" t="s">
        <v>17</v>
      </c>
      <c r="F914" s="1027" t="s">
        <v>11</v>
      </c>
      <c r="G914" s="1027" t="s">
        <v>24</v>
      </c>
      <c r="H914" s="1027" t="s">
        <v>22</v>
      </c>
      <c r="I914" s="1068" t="s">
        <v>173</v>
      </c>
      <c r="J914" s="414" t="str">
        <f t="shared" si="14"/>
        <v>DCompra de ViviendaIndividualResidencialUsadaCasaFERIA000000030000.00</v>
      </c>
      <c r="K914" s="1063">
        <v>30000</v>
      </c>
      <c r="L914" s="1063">
        <v>250000</v>
      </c>
      <c r="M914" s="1064">
        <v>85</v>
      </c>
      <c r="N914" s="1065">
        <v>30</v>
      </c>
      <c r="O914" s="1064">
        <v>5.5</v>
      </c>
      <c r="P914" s="1050">
        <v>8.56</v>
      </c>
    </row>
    <row r="915" spans="2:16" x14ac:dyDescent="0.25">
      <c r="B915" s="415">
        <v>914</v>
      </c>
      <c r="C915" s="1026" t="s">
        <v>930</v>
      </c>
      <c r="D915" s="1027" t="s">
        <v>8</v>
      </c>
      <c r="E915" s="1027" t="s">
        <v>17</v>
      </c>
      <c r="F915" s="1027" t="s">
        <v>11</v>
      </c>
      <c r="G915" s="1027" t="s">
        <v>24</v>
      </c>
      <c r="H915" s="1027" t="s">
        <v>22</v>
      </c>
      <c r="I915" s="1068" t="s">
        <v>173</v>
      </c>
      <c r="J915" s="414" t="str">
        <f t="shared" si="14"/>
        <v>DCompra de ViviendaIndividualResidencialUsadaCasaFERIA000000250000.01</v>
      </c>
      <c r="K915" s="1063">
        <v>250000.01</v>
      </c>
      <c r="L915" s="1063">
        <v>500000</v>
      </c>
      <c r="M915" s="1064">
        <v>80</v>
      </c>
      <c r="N915" s="1065">
        <v>30</v>
      </c>
      <c r="O915" s="1064">
        <v>5.25</v>
      </c>
      <c r="P915" s="1050">
        <v>8.56</v>
      </c>
    </row>
    <row r="916" spans="2:16" x14ac:dyDescent="0.25">
      <c r="B916" s="415">
        <v>915</v>
      </c>
      <c r="C916" s="1026" t="s">
        <v>930</v>
      </c>
      <c r="D916" s="1027" t="s">
        <v>8</v>
      </c>
      <c r="E916" s="1027" t="s">
        <v>17</v>
      </c>
      <c r="F916" s="1027" t="s">
        <v>11</v>
      </c>
      <c r="G916" s="1027" t="s">
        <v>24</v>
      </c>
      <c r="H916" s="1027" t="s">
        <v>22</v>
      </c>
      <c r="I916" s="1068" t="s">
        <v>173</v>
      </c>
      <c r="J916" s="414" t="str">
        <f t="shared" si="14"/>
        <v>DCompra de ViviendaIndividualResidencialUsadaCasaFERIA000000500000.01</v>
      </c>
      <c r="K916" s="1063">
        <v>500000.01</v>
      </c>
      <c r="L916" s="1063">
        <v>99999999</v>
      </c>
      <c r="M916" s="1064">
        <v>80</v>
      </c>
      <c r="N916" s="1065">
        <v>30</v>
      </c>
      <c r="O916" s="1064">
        <v>5.25</v>
      </c>
      <c r="P916" s="1050">
        <v>8.56</v>
      </c>
    </row>
    <row r="917" spans="2:16" x14ac:dyDescent="0.25">
      <c r="B917" s="412">
        <v>916</v>
      </c>
      <c r="C917" s="1375" t="s">
        <v>930</v>
      </c>
      <c r="D917" s="1027" t="s">
        <v>8</v>
      </c>
      <c r="E917" s="1027" t="s">
        <v>9</v>
      </c>
      <c r="F917" s="1027" t="s">
        <v>752</v>
      </c>
      <c r="G917" s="1027" t="s">
        <v>24</v>
      </c>
      <c r="H917" s="1027" t="s">
        <v>25</v>
      </c>
      <c r="I917" s="1068" t="s">
        <v>567</v>
      </c>
      <c r="J917" s="414" t="str">
        <f t="shared" si="14"/>
        <v>DCompra de ViviendaLey PreferencialReposeído (BG)UsadaApartamentoBG000000015000.00</v>
      </c>
      <c r="K917" s="1063">
        <v>15000</v>
      </c>
      <c r="L917" s="1063">
        <v>40000</v>
      </c>
      <c r="M917" s="1046">
        <v>90</v>
      </c>
      <c r="N917" s="1046">
        <v>25</v>
      </c>
      <c r="O917" s="1064">
        <v>0</v>
      </c>
      <c r="P917" s="1064">
        <v>8.56</v>
      </c>
    </row>
    <row r="918" spans="2:16" x14ac:dyDescent="0.25">
      <c r="B918" s="415">
        <v>917</v>
      </c>
      <c r="C918" s="1375" t="s">
        <v>930</v>
      </c>
      <c r="D918" s="1027" t="s">
        <v>8</v>
      </c>
      <c r="E918" s="1027" t="s">
        <v>9</v>
      </c>
      <c r="F918" s="1027" t="s">
        <v>752</v>
      </c>
      <c r="G918" s="1027" t="s">
        <v>24</v>
      </c>
      <c r="H918" s="1027" t="s">
        <v>25</v>
      </c>
      <c r="I918" s="1068" t="s">
        <v>567</v>
      </c>
      <c r="J918" s="414" t="str">
        <f t="shared" si="14"/>
        <v>DCompra de ViviendaLey PreferencialReposeído (BG)UsadaApartamentoBG000000040000.01</v>
      </c>
      <c r="K918" s="1063">
        <v>40000.01</v>
      </c>
      <c r="L918" s="1063">
        <v>80000</v>
      </c>
      <c r="M918" s="1050">
        <v>90</v>
      </c>
      <c r="N918" s="1046">
        <v>25</v>
      </c>
      <c r="O918" s="1050">
        <v>1.5</v>
      </c>
      <c r="P918" s="1064">
        <v>8.56</v>
      </c>
    </row>
    <row r="919" spans="2:16" x14ac:dyDescent="0.25">
      <c r="B919" s="415">
        <v>918</v>
      </c>
      <c r="C919" s="1375" t="s">
        <v>930</v>
      </c>
      <c r="D919" s="1027" t="s">
        <v>8</v>
      </c>
      <c r="E919" s="1027" t="s">
        <v>9</v>
      </c>
      <c r="F919" s="1027" t="s">
        <v>752</v>
      </c>
      <c r="G919" s="1027" t="s">
        <v>24</v>
      </c>
      <c r="H919" s="1027" t="s">
        <v>25</v>
      </c>
      <c r="I919" s="1068" t="s">
        <v>567</v>
      </c>
      <c r="J919" s="414" t="str">
        <f t="shared" si="14"/>
        <v>DCompra de ViviendaLey PreferencialReposeído (BG)UsadaApartamentoBG000000080000.01</v>
      </c>
      <c r="K919" s="1063">
        <v>80000.009999999995</v>
      </c>
      <c r="L919" s="1063">
        <v>120000</v>
      </c>
      <c r="M919" s="1050">
        <v>90</v>
      </c>
      <c r="N919" s="1046">
        <v>25</v>
      </c>
      <c r="O919" s="1050">
        <v>1.5</v>
      </c>
      <c r="P919" s="1064">
        <v>8.56</v>
      </c>
    </row>
    <row r="920" spans="2:16" x14ac:dyDescent="0.25">
      <c r="B920" s="415">
        <v>919</v>
      </c>
      <c r="C920" s="1026" t="s">
        <v>930</v>
      </c>
      <c r="D920" s="1027" t="s">
        <v>8</v>
      </c>
      <c r="E920" s="1027" t="s">
        <v>9</v>
      </c>
      <c r="F920" s="1027" t="s">
        <v>752</v>
      </c>
      <c r="G920" s="1027" t="s">
        <v>24</v>
      </c>
      <c r="H920" s="1027" t="s">
        <v>25</v>
      </c>
      <c r="I920" s="1068" t="s">
        <v>913</v>
      </c>
      <c r="J920" s="414" t="str">
        <f t="shared" si="14"/>
        <v>DCompra de ViviendaLey PreferencialReposeído (BG)UsadaApartamentoCOPA000000015000.00</v>
      </c>
      <c r="K920" s="1063">
        <v>15000</v>
      </c>
      <c r="L920" s="1063">
        <v>40000</v>
      </c>
      <c r="M920" s="1065">
        <v>98</v>
      </c>
      <c r="N920" s="1065">
        <v>30</v>
      </c>
      <c r="O920" s="1064">
        <v>0</v>
      </c>
      <c r="P920" s="1050">
        <v>8.56</v>
      </c>
    </row>
    <row r="921" spans="2:16" x14ac:dyDescent="0.25">
      <c r="B921" s="415">
        <v>920</v>
      </c>
      <c r="C921" s="1026" t="s">
        <v>930</v>
      </c>
      <c r="D921" s="1027" t="s">
        <v>8</v>
      </c>
      <c r="E921" s="1027" t="s">
        <v>9</v>
      </c>
      <c r="F921" s="1027" t="s">
        <v>752</v>
      </c>
      <c r="G921" s="1027" t="s">
        <v>24</v>
      </c>
      <c r="H921" s="1027" t="s">
        <v>25</v>
      </c>
      <c r="I921" s="1068" t="s">
        <v>913</v>
      </c>
      <c r="J921" s="414" t="str">
        <f t="shared" si="14"/>
        <v>DCompra de ViviendaLey PreferencialReposeído (BG)UsadaApartamentoCOPA000000040000.01</v>
      </c>
      <c r="K921" s="1063">
        <v>40000.01</v>
      </c>
      <c r="L921" s="1063">
        <v>80000</v>
      </c>
      <c r="M921" s="1064">
        <v>98</v>
      </c>
      <c r="N921" s="1065">
        <v>30</v>
      </c>
      <c r="O921" s="1050">
        <v>1.5</v>
      </c>
      <c r="P921" s="1050">
        <v>8.56</v>
      </c>
    </row>
    <row r="922" spans="2:16" x14ac:dyDescent="0.25">
      <c r="B922" s="412">
        <v>921</v>
      </c>
      <c r="C922" s="1026" t="s">
        <v>930</v>
      </c>
      <c r="D922" s="1027" t="s">
        <v>8</v>
      </c>
      <c r="E922" s="1027" t="s">
        <v>9</v>
      </c>
      <c r="F922" s="1027" t="s">
        <v>752</v>
      </c>
      <c r="G922" s="1027" t="s">
        <v>24</v>
      </c>
      <c r="H922" s="1027" t="s">
        <v>25</v>
      </c>
      <c r="I922" s="1068" t="s">
        <v>913</v>
      </c>
      <c r="J922" s="414" t="str">
        <f t="shared" si="14"/>
        <v>DCompra de ViviendaLey PreferencialReposeído (BG)UsadaApartamentoCOPA000000080000.01</v>
      </c>
      <c r="K922" s="1063">
        <v>80000.009999999995</v>
      </c>
      <c r="L922" s="1063">
        <v>120000</v>
      </c>
      <c r="M922" s="1064">
        <v>85</v>
      </c>
      <c r="N922" s="1065">
        <v>30</v>
      </c>
      <c r="O922" s="1050">
        <v>1.5</v>
      </c>
      <c r="P922" s="1050">
        <v>8.56</v>
      </c>
    </row>
    <row r="923" spans="2:16" x14ac:dyDescent="0.25">
      <c r="B923" s="415">
        <v>922</v>
      </c>
      <c r="C923" s="1026" t="s">
        <v>930</v>
      </c>
      <c r="D923" s="1027" t="s">
        <v>8</v>
      </c>
      <c r="E923" s="1027" t="s">
        <v>9</v>
      </c>
      <c r="F923" s="1027" t="s">
        <v>752</v>
      </c>
      <c r="G923" s="1027" t="s">
        <v>24</v>
      </c>
      <c r="H923" s="1027" t="s">
        <v>25</v>
      </c>
      <c r="I923" s="1068" t="s">
        <v>173</v>
      </c>
      <c r="J923" s="414" t="str">
        <f t="shared" si="14"/>
        <v>DCompra de ViviendaLey PreferencialReposeído (BG)UsadaApartamentoFERIA000000015000.00</v>
      </c>
      <c r="K923" s="1063">
        <v>15000</v>
      </c>
      <c r="L923" s="1063">
        <v>40000</v>
      </c>
      <c r="M923" s="1064">
        <v>95</v>
      </c>
      <c r="N923" s="1065">
        <v>30</v>
      </c>
      <c r="O923" s="1064">
        <v>0</v>
      </c>
      <c r="P923" s="1064">
        <v>4.28</v>
      </c>
    </row>
    <row r="924" spans="2:16" x14ac:dyDescent="0.25">
      <c r="B924" s="415">
        <v>923</v>
      </c>
      <c r="C924" s="1026" t="s">
        <v>930</v>
      </c>
      <c r="D924" s="1027" t="s">
        <v>8</v>
      </c>
      <c r="E924" s="1027" t="s">
        <v>9</v>
      </c>
      <c r="F924" s="1027" t="s">
        <v>752</v>
      </c>
      <c r="G924" s="1027" t="s">
        <v>24</v>
      </c>
      <c r="H924" s="1027" t="s">
        <v>25</v>
      </c>
      <c r="I924" s="1068" t="s">
        <v>173</v>
      </c>
      <c r="J924" s="414" t="str">
        <f t="shared" si="14"/>
        <v>DCompra de ViviendaLey PreferencialReposeído (BG)UsadaApartamentoFERIA000000040000.01</v>
      </c>
      <c r="K924" s="1063">
        <v>40000.01</v>
      </c>
      <c r="L924" s="1063">
        <v>80000</v>
      </c>
      <c r="M924" s="1064">
        <v>95</v>
      </c>
      <c r="N924" s="1065">
        <v>30</v>
      </c>
      <c r="O924" s="1050">
        <v>1.5</v>
      </c>
      <c r="P924" s="1064">
        <v>4.28</v>
      </c>
    </row>
    <row r="925" spans="2:16" x14ac:dyDescent="0.25">
      <c r="B925" s="415">
        <v>924</v>
      </c>
      <c r="C925" s="1026" t="s">
        <v>930</v>
      </c>
      <c r="D925" s="1027" t="s">
        <v>8</v>
      </c>
      <c r="E925" s="1027" t="s">
        <v>9</v>
      </c>
      <c r="F925" s="1027" t="s">
        <v>752</v>
      </c>
      <c r="G925" s="1027" t="s">
        <v>24</v>
      </c>
      <c r="H925" s="1027" t="s">
        <v>25</v>
      </c>
      <c r="I925" s="1068" t="s">
        <v>173</v>
      </c>
      <c r="J925" s="414" t="str">
        <f t="shared" si="14"/>
        <v>DCompra de ViviendaLey PreferencialReposeído (BG)UsadaApartamentoFERIA000000080000.01</v>
      </c>
      <c r="K925" s="1063">
        <v>80000.009999999995</v>
      </c>
      <c r="L925" s="1063">
        <v>120000</v>
      </c>
      <c r="M925" s="1064">
        <v>85</v>
      </c>
      <c r="N925" s="1065">
        <v>30</v>
      </c>
      <c r="O925" s="1050">
        <v>1.5</v>
      </c>
      <c r="P925" s="1064">
        <v>8.56</v>
      </c>
    </row>
    <row r="926" spans="2:16" x14ac:dyDescent="0.25">
      <c r="B926" s="415">
        <v>925</v>
      </c>
      <c r="C926" s="1375" t="s">
        <v>930</v>
      </c>
      <c r="D926" s="1027" t="s">
        <v>8</v>
      </c>
      <c r="E926" s="1027" t="s">
        <v>9</v>
      </c>
      <c r="F926" s="1027" t="s">
        <v>752</v>
      </c>
      <c r="G926" s="1027" t="s">
        <v>24</v>
      </c>
      <c r="H926" s="1027" t="s">
        <v>22</v>
      </c>
      <c r="I926" s="1068" t="s">
        <v>567</v>
      </c>
      <c r="J926" s="414" t="str">
        <f t="shared" si="14"/>
        <v>DCompra de ViviendaLey PreferencialReposeído (BG)UsadaCasaBG000000015000.00</v>
      </c>
      <c r="K926" s="1063">
        <v>15000</v>
      </c>
      <c r="L926" s="1063">
        <v>40000</v>
      </c>
      <c r="M926" s="1046">
        <v>90</v>
      </c>
      <c r="N926" s="1046">
        <v>25</v>
      </c>
      <c r="O926" s="1064">
        <v>0</v>
      </c>
      <c r="P926" s="1064">
        <v>8.56</v>
      </c>
    </row>
    <row r="927" spans="2:16" x14ac:dyDescent="0.25">
      <c r="B927" s="412">
        <v>926</v>
      </c>
      <c r="C927" s="1376" t="s">
        <v>930</v>
      </c>
      <c r="D927" s="1027" t="s">
        <v>8</v>
      </c>
      <c r="E927" s="1027" t="s">
        <v>9</v>
      </c>
      <c r="F927" s="1027" t="s">
        <v>752</v>
      </c>
      <c r="G927" s="1027" t="s">
        <v>24</v>
      </c>
      <c r="H927" s="1027" t="s">
        <v>22</v>
      </c>
      <c r="I927" s="1068" t="s">
        <v>567</v>
      </c>
      <c r="J927" s="414" t="str">
        <f t="shared" si="14"/>
        <v>DCompra de ViviendaLey PreferencialReposeído (BG)UsadaCasaBG000000040000.01</v>
      </c>
      <c r="K927" s="1063">
        <v>40000.01</v>
      </c>
      <c r="L927" s="1063">
        <v>80000</v>
      </c>
      <c r="M927" s="1050">
        <v>90</v>
      </c>
      <c r="N927" s="1046">
        <v>25</v>
      </c>
      <c r="O927" s="1050">
        <v>1.5</v>
      </c>
      <c r="P927" s="1064">
        <v>8.56</v>
      </c>
    </row>
    <row r="928" spans="2:16" x14ac:dyDescent="0.25">
      <c r="B928" s="415">
        <v>927</v>
      </c>
      <c r="C928" s="1375" t="s">
        <v>930</v>
      </c>
      <c r="D928" s="1027" t="s">
        <v>8</v>
      </c>
      <c r="E928" s="1027" t="s">
        <v>9</v>
      </c>
      <c r="F928" s="1027" t="s">
        <v>752</v>
      </c>
      <c r="G928" s="1027" t="s">
        <v>24</v>
      </c>
      <c r="H928" s="1027" t="s">
        <v>22</v>
      </c>
      <c r="I928" s="1068" t="s">
        <v>567</v>
      </c>
      <c r="J928" s="414" t="str">
        <f t="shared" si="14"/>
        <v>DCompra de ViviendaLey PreferencialReposeído (BG)UsadaCasaBG000000080000.01</v>
      </c>
      <c r="K928" s="1063">
        <v>80000.009999999995</v>
      </c>
      <c r="L928" s="1063">
        <v>120000</v>
      </c>
      <c r="M928" s="1050">
        <v>90</v>
      </c>
      <c r="N928" s="1046">
        <v>25</v>
      </c>
      <c r="O928" s="1050">
        <v>1.5</v>
      </c>
      <c r="P928" s="1064">
        <v>8.56</v>
      </c>
    </row>
    <row r="929" spans="2:16" x14ac:dyDescent="0.25">
      <c r="B929" s="415">
        <v>928</v>
      </c>
      <c r="C929" s="1026" t="s">
        <v>930</v>
      </c>
      <c r="D929" s="1027" t="s">
        <v>8</v>
      </c>
      <c r="E929" s="1027" t="s">
        <v>9</v>
      </c>
      <c r="F929" s="1027" t="s">
        <v>752</v>
      </c>
      <c r="G929" s="1027" t="s">
        <v>24</v>
      </c>
      <c r="H929" s="1027" t="s">
        <v>22</v>
      </c>
      <c r="I929" s="1068" t="s">
        <v>913</v>
      </c>
      <c r="J929" s="414" t="str">
        <f t="shared" si="14"/>
        <v>DCompra de ViviendaLey PreferencialReposeído (BG)UsadaCasaCOPA000000015000.00</v>
      </c>
      <c r="K929" s="1063">
        <v>15000</v>
      </c>
      <c r="L929" s="1063">
        <v>40000</v>
      </c>
      <c r="M929" s="1064">
        <v>98</v>
      </c>
      <c r="N929" s="1065">
        <v>30</v>
      </c>
      <c r="O929" s="1064">
        <v>0</v>
      </c>
      <c r="P929" s="1050">
        <v>8.56</v>
      </c>
    </row>
    <row r="930" spans="2:16" x14ac:dyDescent="0.25">
      <c r="B930" s="415">
        <v>929</v>
      </c>
      <c r="C930" s="1026" t="s">
        <v>930</v>
      </c>
      <c r="D930" s="1027" t="s">
        <v>8</v>
      </c>
      <c r="E930" s="1027" t="s">
        <v>9</v>
      </c>
      <c r="F930" s="1027" t="s">
        <v>752</v>
      </c>
      <c r="G930" s="1027" t="s">
        <v>24</v>
      </c>
      <c r="H930" s="1027" t="s">
        <v>22</v>
      </c>
      <c r="I930" s="1068" t="s">
        <v>913</v>
      </c>
      <c r="J930" s="414" t="str">
        <f t="shared" si="14"/>
        <v>DCompra de ViviendaLey PreferencialReposeído (BG)UsadaCasaCOPA000000040000.01</v>
      </c>
      <c r="K930" s="1063">
        <v>40000.01</v>
      </c>
      <c r="L930" s="1063">
        <v>80000</v>
      </c>
      <c r="M930" s="1064">
        <v>98</v>
      </c>
      <c r="N930" s="1065">
        <v>30</v>
      </c>
      <c r="O930" s="1050">
        <v>1.5</v>
      </c>
      <c r="P930" s="1050">
        <v>8.56</v>
      </c>
    </row>
    <row r="931" spans="2:16" x14ac:dyDescent="0.25">
      <c r="B931" s="415">
        <v>930</v>
      </c>
      <c r="C931" s="1026" t="s">
        <v>930</v>
      </c>
      <c r="D931" s="1027" t="s">
        <v>8</v>
      </c>
      <c r="E931" s="1027" t="s">
        <v>9</v>
      </c>
      <c r="F931" s="1027" t="s">
        <v>752</v>
      </c>
      <c r="G931" s="1027" t="s">
        <v>24</v>
      </c>
      <c r="H931" s="1027" t="s">
        <v>22</v>
      </c>
      <c r="I931" s="1068" t="s">
        <v>913</v>
      </c>
      <c r="J931" s="414" t="str">
        <f t="shared" si="14"/>
        <v>DCompra de ViviendaLey PreferencialReposeído (BG)UsadaCasaCOPA000000080000.01</v>
      </c>
      <c r="K931" s="1063">
        <v>80000.009999999995</v>
      </c>
      <c r="L931" s="1063">
        <v>120000</v>
      </c>
      <c r="M931" s="1064">
        <v>85</v>
      </c>
      <c r="N931" s="1065">
        <v>30</v>
      </c>
      <c r="O931" s="1050">
        <v>1.5</v>
      </c>
      <c r="P931" s="1050">
        <v>8.56</v>
      </c>
    </row>
    <row r="932" spans="2:16" x14ac:dyDescent="0.25">
      <c r="B932" s="412">
        <v>931</v>
      </c>
      <c r="C932" s="1026" t="s">
        <v>930</v>
      </c>
      <c r="D932" s="1027" t="s">
        <v>8</v>
      </c>
      <c r="E932" s="1027" t="s">
        <v>9</v>
      </c>
      <c r="F932" s="1027" t="s">
        <v>752</v>
      </c>
      <c r="G932" s="1027" t="s">
        <v>24</v>
      </c>
      <c r="H932" s="1027" t="s">
        <v>22</v>
      </c>
      <c r="I932" s="1068" t="s">
        <v>173</v>
      </c>
      <c r="J932" s="414" t="str">
        <f t="shared" si="14"/>
        <v>DCompra de ViviendaLey PreferencialReposeído (BG)UsadaCasaFERIA000000015000.00</v>
      </c>
      <c r="K932" s="1063">
        <v>15000</v>
      </c>
      <c r="L932" s="1063">
        <v>40000</v>
      </c>
      <c r="M932" s="1064">
        <v>95</v>
      </c>
      <c r="N932" s="1065">
        <v>30</v>
      </c>
      <c r="O932" s="1064">
        <v>0</v>
      </c>
      <c r="P932" s="1064">
        <v>4.28</v>
      </c>
    </row>
    <row r="933" spans="2:16" x14ac:dyDescent="0.25">
      <c r="B933" s="415">
        <v>932</v>
      </c>
      <c r="C933" s="1026" t="s">
        <v>930</v>
      </c>
      <c r="D933" s="1027" t="s">
        <v>8</v>
      </c>
      <c r="E933" s="1027" t="s">
        <v>9</v>
      </c>
      <c r="F933" s="1027" t="s">
        <v>752</v>
      </c>
      <c r="G933" s="1027" t="s">
        <v>24</v>
      </c>
      <c r="H933" s="1027" t="s">
        <v>22</v>
      </c>
      <c r="I933" s="1068" t="s">
        <v>173</v>
      </c>
      <c r="J933" s="414" t="str">
        <f t="shared" si="14"/>
        <v>DCompra de ViviendaLey PreferencialReposeído (BG)UsadaCasaFERIA000000040000.01</v>
      </c>
      <c r="K933" s="1063">
        <v>40000.01</v>
      </c>
      <c r="L933" s="1063">
        <v>80000</v>
      </c>
      <c r="M933" s="1064">
        <v>95</v>
      </c>
      <c r="N933" s="1065">
        <v>30</v>
      </c>
      <c r="O933" s="1050">
        <v>1.5</v>
      </c>
      <c r="P933" s="1064">
        <v>4.28</v>
      </c>
    </row>
    <row r="934" spans="2:16" x14ac:dyDescent="0.25">
      <c r="B934" s="415">
        <v>933</v>
      </c>
      <c r="C934" s="1026" t="s">
        <v>930</v>
      </c>
      <c r="D934" s="1027" t="s">
        <v>8</v>
      </c>
      <c r="E934" s="1027" t="s">
        <v>9</v>
      </c>
      <c r="F934" s="1027" t="s">
        <v>752</v>
      </c>
      <c r="G934" s="1027" t="s">
        <v>24</v>
      </c>
      <c r="H934" s="1027" t="s">
        <v>22</v>
      </c>
      <c r="I934" s="1068" t="s">
        <v>173</v>
      </c>
      <c r="J934" s="414" t="str">
        <f t="shared" si="14"/>
        <v>DCompra de ViviendaLey PreferencialReposeído (BG)UsadaCasaFERIA000000080000.01</v>
      </c>
      <c r="K934" s="1063">
        <v>80000.009999999995</v>
      </c>
      <c r="L934" s="1063">
        <v>120000</v>
      </c>
      <c r="M934" s="1064">
        <v>85</v>
      </c>
      <c r="N934" s="1065">
        <v>30</v>
      </c>
      <c r="O934" s="1050">
        <v>1.5</v>
      </c>
      <c r="P934" s="1064">
        <v>8.56</v>
      </c>
    </row>
    <row r="935" spans="2:16" x14ac:dyDescent="0.25">
      <c r="B935" s="415">
        <v>934</v>
      </c>
      <c r="C935" s="1375" t="s">
        <v>930</v>
      </c>
      <c r="D935" s="1027" t="s">
        <v>8</v>
      </c>
      <c r="E935" s="1027" t="s">
        <v>9</v>
      </c>
      <c r="F935" s="1027" t="s">
        <v>11</v>
      </c>
      <c r="G935" s="1027" t="s">
        <v>21</v>
      </c>
      <c r="H935" s="1027" t="s">
        <v>25</v>
      </c>
      <c r="I935" s="1068" t="s">
        <v>567</v>
      </c>
      <c r="J935" s="414" t="str">
        <f t="shared" si="14"/>
        <v>DCompra de ViviendaLey PreferencialResidencialNuevaApartamentoBG000000030000.00</v>
      </c>
      <c r="K935" s="1063">
        <v>30000</v>
      </c>
      <c r="L935" s="1063">
        <v>40000</v>
      </c>
      <c r="M935" s="1064">
        <v>85</v>
      </c>
      <c r="N935" s="1065">
        <v>30</v>
      </c>
      <c r="O935" s="1064">
        <v>0</v>
      </c>
      <c r="P935" s="1064">
        <v>8.56</v>
      </c>
    </row>
    <row r="936" spans="2:16" x14ac:dyDescent="0.25">
      <c r="B936" s="415">
        <v>935</v>
      </c>
      <c r="C936" s="1375" t="s">
        <v>930</v>
      </c>
      <c r="D936" s="1027" t="s">
        <v>8</v>
      </c>
      <c r="E936" s="1027" t="s">
        <v>9</v>
      </c>
      <c r="F936" s="1027" t="s">
        <v>11</v>
      </c>
      <c r="G936" s="1027" t="s">
        <v>21</v>
      </c>
      <c r="H936" s="1027" t="s">
        <v>25</v>
      </c>
      <c r="I936" s="1068" t="s">
        <v>567</v>
      </c>
      <c r="J936" s="414" t="str">
        <f t="shared" si="14"/>
        <v>DCompra de ViviendaLey PreferencialResidencialNuevaApartamentoBG000000040000.01</v>
      </c>
      <c r="K936" s="1063">
        <v>40000.01</v>
      </c>
      <c r="L936" s="1063">
        <v>80000</v>
      </c>
      <c r="M936" s="1064">
        <v>85</v>
      </c>
      <c r="N936" s="1065">
        <v>30</v>
      </c>
      <c r="O936" s="1050">
        <v>1.5</v>
      </c>
      <c r="P936" s="1064">
        <v>8.56</v>
      </c>
    </row>
    <row r="937" spans="2:16" x14ac:dyDescent="0.25">
      <c r="B937" s="412">
        <v>936</v>
      </c>
      <c r="C937" s="1375" t="s">
        <v>930</v>
      </c>
      <c r="D937" s="1027" t="s">
        <v>8</v>
      </c>
      <c r="E937" s="1027" t="s">
        <v>9</v>
      </c>
      <c r="F937" s="1027" t="s">
        <v>11</v>
      </c>
      <c r="G937" s="1027" t="s">
        <v>21</v>
      </c>
      <c r="H937" s="1027" t="s">
        <v>25</v>
      </c>
      <c r="I937" s="1068" t="s">
        <v>567</v>
      </c>
      <c r="J937" s="414" t="str">
        <f t="shared" si="14"/>
        <v>DCompra de ViviendaLey PreferencialResidencialNuevaApartamentoBG000000080000.01</v>
      </c>
      <c r="K937" s="1063">
        <v>80000.009999999995</v>
      </c>
      <c r="L937" s="1063">
        <v>120000</v>
      </c>
      <c r="M937" s="1064">
        <v>85</v>
      </c>
      <c r="N937" s="1065">
        <v>30</v>
      </c>
      <c r="O937" s="1050">
        <v>1.5</v>
      </c>
      <c r="P937" s="1064">
        <v>8.56</v>
      </c>
    </row>
    <row r="938" spans="2:16" x14ac:dyDescent="0.25">
      <c r="B938" s="415">
        <v>937</v>
      </c>
      <c r="C938" s="1026" t="s">
        <v>930</v>
      </c>
      <c r="D938" s="1027" t="s">
        <v>8</v>
      </c>
      <c r="E938" s="1027" t="s">
        <v>9</v>
      </c>
      <c r="F938" s="1027" t="s">
        <v>11</v>
      </c>
      <c r="G938" s="1027" t="s">
        <v>21</v>
      </c>
      <c r="H938" s="1027" t="s">
        <v>25</v>
      </c>
      <c r="I938" s="1068" t="s">
        <v>913</v>
      </c>
      <c r="J938" s="414" t="str">
        <f t="shared" si="14"/>
        <v>DCompra de ViviendaLey PreferencialResidencialNuevaApartamentoCOPA000000030000.00</v>
      </c>
      <c r="K938" s="1063">
        <v>30000</v>
      </c>
      <c r="L938" s="1063">
        <v>40000</v>
      </c>
      <c r="M938" s="1064">
        <v>95</v>
      </c>
      <c r="N938" s="1065">
        <v>30</v>
      </c>
      <c r="O938" s="1064">
        <v>0</v>
      </c>
      <c r="P938" s="1050">
        <v>8.56</v>
      </c>
    </row>
    <row r="939" spans="2:16" x14ac:dyDescent="0.25">
      <c r="B939" s="415">
        <v>938</v>
      </c>
      <c r="C939" s="1026" t="s">
        <v>930</v>
      </c>
      <c r="D939" s="1027" t="s">
        <v>8</v>
      </c>
      <c r="E939" s="1027" t="s">
        <v>9</v>
      </c>
      <c r="F939" s="1027" t="s">
        <v>11</v>
      </c>
      <c r="G939" s="1027" t="s">
        <v>21</v>
      </c>
      <c r="H939" s="1027" t="s">
        <v>25</v>
      </c>
      <c r="I939" s="1068" t="s">
        <v>913</v>
      </c>
      <c r="J939" s="414" t="str">
        <f t="shared" si="14"/>
        <v>DCompra de ViviendaLey PreferencialResidencialNuevaApartamentoCOPA000000040000.01</v>
      </c>
      <c r="K939" s="1063">
        <v>40000.01</v>
      </c>
      <c r="L939" s="1063">
        <v>80000</v>
      </c>
      <c r="M939" s="1064">
        <v>95</v>
      </c>
      <c r="N939" s="1065">
        <v>30</v>
      </c>
      <c r="O939" s="1050">
        <v>1.5</v>
      </c>
      <c r="P939" s="1050">
        <v>8.56</v>
      </c>
    </row>
    <row r="940" spans="2:16" x14ac:dyDescent="0.25">
      <c r="B940" s="415">
        <v>939</v>
      </c>
      <c r="C940" s="1026" t="s">
        <v>930</v>
      </c>
      <c r="D940" s="1027" t="s">
        <v>8</v>
      </c>
      <c r="E940" s="1027" t="s">
        <v>9</v>
      </c>
      <c r="F940" s="1027" t="s">
        <v>11</v>
      </c>
      <c r="G940" s="1027" t="s">
        <v>21</v>
      </c>
      <c r="H940" s="1027" t="s">
        <v>25</v>
      </c>
      <c r="I940" s="1068" t="s">
        <v>913</v>
      </c>
      <c r="J940" s="414" t="str">
        <f t="shared" si="14"/>
        <v>DCompra de ViviendaLey PreferencialResidencialNuevaApartamentoCOPA000000080000.01</v>
      </c>
      <c r="K940" s="1063">
        <v>80000.009999999995</v>
      </c>
      <c r="L940" s="1063">
        <v>120000</v>
      </c>
      <c r="M940" s="1064">
        <v>85</v>
      </c>
      <c r="N940" s="1065">
        <v>30</v>
      </c>
      <c r="O940" s="1050">
        <v>1.5</v>
      </c>
      <c r="P940" s="1050">
        <v>8.56</v>
      </c>
    </row>
    <row r="941" spans="2:16" x14ac:dyDescent="0.25">
      <c r="B941" s="415">
        <v>940</v>
      </c>
      <c r="C941" s="1026" t="s">
        <v>930</v>
      </c>
      <c r="D941" s="1027" t="s">
        <v>8</v>
      </c>
      <c r="E941" s="1027" t="s">
        <v>9</v>
      </c>
      <c r="F941" s="1027" t="s">
        <v>11</v>
      </c>
      <c r="G941" s="1027" t="s">
        <v>21</v>
      </c>
      <c r="H941" s="1027" t="s">
        <v>25</v>
      </c>
      <c r="I941" s="1068" t="s">
        <v>173</v>
      </c>
      <c r="J941" s="414" t="str">
        <f t="shared" si="14"/>
        <v>DCompra de ViviendaLey PreferencialResidencialNuevaApartamentoFERIA000000030000.00</v>
      </c>
      <c r="K941" s="1063">
        <v>30000</v>
      </c>
      <c r="L941" s="1063">
        <v>40000</v>
      </c>
      <c r="M941" s="1064">
        <v>95</v>
      </c>
      <c r="N941" s="1065">
        <v>30</v>
      </c>
      <c r="O941" s="1064">
        <v>0</v>
      </c>
      <c r="P941" s="1064">
        <v>4.28</v>
      </c>
    </row>
    <row r="942" spans="2:16" x14ac:dyDescent="0.25">
      <c r="B942" s="412">
        <v>941</v>
      </c>
      <c r="C942" s="1026" t="s">
        <v>930</v>
      </c>
      <c r="D942" s="1027" t="s">
        <v>8</v>
      </c>
      <c r="E942" s="1027" t="s">
        <v>9</v>
      </c>
      <c r="F942" s="1027" t="s">
        <v>11</v>
      </c>
      <c r="G942" s="1027" t="s">
        <v>21</v>
      </c>
      <c r="H942" s="1027" t="s">
        <v>25</v>
      </c>
      <c r="I942" s="1068" t="s">
        <v>173</v>
      </c>
      <c r="J942" s="414" t="str">
        <f t="shared" si="14"/>
        <v>DCompra de ViviendaLey PreferencialResidencialNuevaApartamentoFERIA000000040000.01</v>
      </c>
      <c r="K942" s="1063">
        <v>40000.01</v>
      </c>
      <c r="L942" s="1063">
        <v>80000</v>
      </c>
      <c r="M942" s="1064">
        <v>95</v>
      </c>
      <c r="N942" s="1065">
        <v>30</v>
      </c>
      <c r="O942" s="1050">
        <v>1.5</v>
      </c>
      <c r="P942" s="1064">
        <v>4.28</v>
      </c>
    </row>
    <row r="943" spans="2:16" x14ac:dyDescent="0.25">
      <c r="B943" s="415">
        <v>942</v>
      </c>
      <c r="C943" s="1028" t="s">
        <v>930</v>
      </c>
      <c r="D943" s="1027" t="s">
        <v>8</v>
      </c>
      <c r="E943" s="1027" t="s">
        <v>9</v>
      </c>
      <c r="F943" s="1027" t="s">
        <v>11</v>
      </c>
      <c r="G943" s="1027" t="s">
        <v>21</v>
      </c>
      <c r="H943" s="1027" t="s">
        <v>25</v>
      </c>
      <c r="I943" s="1068" t="s">
        <v>173</v>
      </c>
      <c r="J943" s="414" t="str">
        <f t="shared" si="14"/>
        <v>DCompra de ViviendaLey PreferencialResidencialNuevaApartamentoFERIA000000080000.01</v>
      </c>
      <c r="K943" s="1063">
        <v>80000.009999999995</v>
      </c>
      <c r="L943" s="1063">
        <v>120000</v>
      </c>
      <c r="M943" s="1064">
        <v>85</v>
      </c>
      <c r="N943" s="1065">
        <v>30</v>
      </c>
      <c r="O943" s="1050">
        <v>1.5</v>
      </c>
      <c r="P943" s="1064">
        <v>8.56</v>
      </c>
    </row>
    <row r="944" spans="2:16" x14ac:dyDescent="0.25">
      <c r="B944" s="415">
        <v>943</v>
      </c>
      <c r="C944" s="1376" t="s">
        <v>930</v>
      </c>
      <c r="D944" s="421" t="s">
        <v>8</v>
      </c>
      <c r="E944" s="421" t="s">
        <v>9</v>
      </c>
      <c r="F944" s="421" t="s">
        <v>11</v>
      </c>
      <c r="G944" s="421" t="s">
        <v>21</v>
      </c>
      <c r="H944" s="421" t="s">
        <v>22</v>
      </c>
      <c r="I944" s="1067" t="s">
        <v>567</v>
      </c>
      <c r="J944" s="414" t="str">
        <f t="shared" si="14"/>
        <v>DCompra de ViviendaLey PreferencialResidencialNuevaCasaBG000000018000.00</v>
      </c>
      <c r="K944" s="1049">
        <v>18000</v>
      </c>
      <c r="L944" s="1049">
        <v>40000</v>
      </c>
      <c r="M944" s="1053">
        <v>85</v>
      </c>
      <c r="N944" s="1048">
        <v>30</v>
      </c>
      <c r="O944" s="1053">
        <v>0</v>
      </c>
      <c r="P944" s="1053">
        <v>8.56</v>
      </c>
    </row>
    <row r="945" spans="2:16" x14ac:dyDescent="0.25">
      <c r="B945" s="415">
        <v>944</v>
      </c>
      <c r="C945" s="1376" t="s">
        <v>930</v>
      </c>
      <c r="D945" s="421" t="s">
        <v>8</v>
      </c>
      <c r="E945" s="421" t="s">
        <v>9</v>
      </c>
      <c r="F945" s="421" t="s">
        <v>11</v>
      </c>
      <c r="G945" s="421" t="s">
        <v>21</v>
      </c>
      <c r="H945" s="421" t="s">
        <v>22</v>
      </c>
      <c r="I945" s="1067" t="s">
        <v>567</v>
      </c>
      <c r="J945" s="414" t="str">
        <f t="shared" si="14"/>
        <v>DCompra de ViviendaLey PreferencialResidencialNuevaCasaBG000000040000.01</v>
      </c>
      <c r="K945" s="1049">
        <v>40000.01</v>
      </c>
      <c r="L945" s="1049">
        <v>80000</v>
      </c>
      <c r="M945" s="1053">
        <v>85</v>
      </c>
      <c r="N945" s="1048">
        <v>30</v>
      </c>
      <c r="O945" s="1050">
        <v>1.5</v>
      </c>
      <c r="P945" s="1053">
        <v>8.56</v>
      </c>
    </row>
    <row r="946" spans="2:16" x14ac:dyDescent="0.25">
      <c r="B946" s="415">
        <v>945</v>
      </c>
      <c r="C946" s="1376" t="s">
        <v>930</v>
      </c>
      <c r="D946" s="421" t="s">
        <v>8</v>
      </c>
      <c r="E946" s="421" t="s">
        <v>9</v>
      </c>
      <c r="F946" s="421" t="s">
        <v>11</v>
      </c>
      <c r="G946" s="421" t="s">
        <v>21</v>
      </c>
      <c r="H946" s="421" t="s">
        <v>22</v>
      </c>
      <c r="I946" s="1067" t="s">
        <v>567</v>
      </c>
      <c r="J946" s="414" t="str">
        <f t="shared" si="14"/>
        <v>DCompra de ViviendaLey PreferencialResidencialNuevaCasaBG000000080000.01</v>
      </c>
      <c r="K946" s="1049">
        <v>80000.009999999995</v>
      </c>
      <c r="L946" s="1049">
        <v>120000</v>
      </c>
      <c r="M946" s="1053">
        <v>85</v>
      </c>
      <c r="N946" s="1048">
        <v>30</v>
      </c>
      <c r="O946" s="1050">
        <v>1.5</v>
      </c>
      <c r="P946" s="1053">
        <v>8.56</v>
      </c>
    </row>
    <row r="947" spans="2:16" x14ac:dyDescent="0.25">
      <c r="B947" s="412">
        <v>946</v>
      </c>
      <c r="C947" s="1028" t="s">
        <v>930</v>
      </c>
      <c r="D947" s="421" t="s">
        <v>8</v>
      </c>
      <c r="E947" s="421" t="s">
        <v>9</v>
      </c>
      <c r="F947" s="421" t="s">
        <v>11</v>
      </c>
      <c r="G947" s="421" t="s">
        <v>21</v>
      </c>
      <c r="H947" s="421" t="s">
        <v>22</v>
      </c>
      <c r="I947" s="1067" t="s">
        <v>913</v>
      </c>
      <c r="J947" s="414" t="str">
        <f t="shared" si="14"/>
        <v>DCompra de ViviendaLey PreferencialResidencialNuevaCasaCOPA000000018000.00</v>
      </c>
      <c r="K947" s="1049">
        <v>18000</v>
      </c>
      <c r="L947" s="1049">
        <v>40000</v>
      </c>
      <c r="M947" s="1053">
        <v>98</v>
      </c>
      <c r="N947" s="1048">
        <v>30</v>
      </c>
      <c r="O947" s="1053">
        <v>0</v>
      </c>
      <c r="P947" s="1050">
        <v>8.56</v>
      </c>
    </row>
    <row r="948" spans="2:16" x14ac:dyDescent="0.25">
      <c r="B948" s="415">
        <v>947</v>
      </c>
      <c r="C948" s="1028" t="s">
        <v>930</v>
      </c>
      <c r="D948" s="421" t="s">
        <v>8</v>
      </c>
      <c r="E948" s="421" t="s">
        <v>9</v>
      </c>
      <c r="F948" s="421" t="s">
        <v>11</v>
      </c>
      <c r="G948" s="421" t="s">
        <v>21</v>
      </c>
      <c r="H948" s="421" t="s">
        <v>22</v>
      </c>
      <c r="I948" s="1067" t="s">
        <v>913</v>
      </c>
      <c r="J948" s="414" t="str">
        <f t="shared" si="14"/>
        <v>DCompra de ViviendaLey PreferencialResidencialNuevaCasaCOPA000000040000.01</v>
      </c>
      <c r="K948" s="1049">
        <v>40000.01</v>
      </c>
      <c r="L948" s="1049">
        <v>80000</v>
      </c>
      <c r="M948" s="1053">
        <v>98</v>
      </c>
      <c r="N948" s="1048">
        <v>30</v>
      </c>
      <c r="O948" s="1050">
        <v>1.5</v>
      </c>
      <c r="P948" s="1050">
        <v>8.56</v>
      </c>
    </row>
    <row r="949" spans="2:16" x14ac:dyDescent="0.25">
      <c r="B949" s="415">
        <v>948</v>
      </c>
      <c r="C949" s="1028" t="s">
        <v>930</v>
      </c>
      <c r="D949" s="421" t="s">
        <v>8</v>
      </c>
      <c r="E949" s="421" t="s">
        <v>9</v>
      </c>
      <c r="F949" s="421" t="s">
        <v>11</v>
      </c>
      <c r="G949" s="421" t="s">
        <v>21</v>
      </c>
      <c r="H949" s="421" t="s">
        <v>22</v>
      </c>
      <c r="I949" s="1067" t="s">
        <v>913</v>
      </c>
      <c r="J949" s="414" t="str">
        <f t="shared" si="14"/>
        <v>DCompra de ViviendaLey PreferencialResidencialNuevaCasaCOPA000000080000.01</v>
      </c>
      <c r="K949" s="1049">
        <v>80000.009999999995</v>
      </c>
      <c r="L949" s="1049">
        <v>120000</v>
      </c>
      <c r="M949" s="1053">
        <v>85</v>
      </c>
      <c r="N949" s="1048">
        <v>30</v>
      </c>
      <c r="O949" s="1050">
        <v>1.5</v>
      </c>
      <c r="P949" s="1050">
        <v>8.56</v>
      </c>
    </row>
    <row r="950" spans="2:16" x14ac:dyDescent="0.25">
      <c r="B950" s="415">
        <v>949</v>
      </c>
      <c r="C950" s="1028" t="s">
        <v>930</v>
      </c>
      <c r="D950" s="421" t="s">
        <v>8</v>
      </c>
      <c r="E950" s="421" t="s">
        <v>9</v>
      </c>
      <c r="F950" s="421" t="s">
        <v>11</v>
      </c>
      <c r="G950" s="421" t="s">
        <v>21</v>
      </c>
      <c r="H950" s="421" t="s">
        <v>22</v>
      </c>
      <c r="I950" s="1067" t="s">
        <v>173</v>
      </c>
      <c r="J950" s="414" t="str">
        <f t="shared" si="14"/>
        <v>DCompra de ViviendaLey PreferencialResidencialNuevaCasaFERIA000000018000.00</v>
      </c>
      <c r="K950" s="1049">
        <v>18000</v>
      </c>
      <c r="L950" s="1049">
        <v>40000</v>
      </c>
      <c r="M950" s="1053">
        <v>98</v>
      </c>
      <c r="N950" s="1048">
        <v>30</v>
      </c>
      <c r="O950" s="1053">
        <v>0</v>
      </c>
      <c r="P950" s="1053">
        <v>4.28</v>
      </c>
    </row>
    <row r="951" spans="2:16" x14ac:dyDescent="0.25">
      <c r="B951" s="415">
        <v>950</v>
      </c>
      <c r="C951" s="1028" t="s">
        <v>930</v>
      </c>
      <c r="D951" s="421" t="s">
        <v>8</v>
      </c>
      <c r="E951" s="421" t="s">
        <v>9</v>
      </c>
      <c r="F951" s="421" t="s">
        <v>11</v>
      </c>
      <c r="G951" s="421" t="s">
        <v>21</v>
      </c>
      <c r="H951" s="421" t="s">
        <v>22</v>
      </c>
      <c r="I951" s="1067" t="s">
        <v>173</v>
      </c>
      <c r="J951" s="414" t="str">
        <f t="shared" si="14"/>
        <v>DCompra de ViviendaLey PreferencialResidencialNuevaCasaFERIA000000040000.01</v>
      </c>
      <c r="K951" s="1049">
        <v>40000.01</v>
      </c>
      <c r="L951" s="1049">
        <v>80000</v>
      </c>
      <c r="M951" s="1053">
        <v>98</v>
      </c>
      <c r="N951" s="1048">
        <v>30</v>
      </c>
      <c r="O951" s="1050">
        <v>1.5</v>
      </c>
      <c r="P951" s="1053">
        <v>4.28</v>
      </c>
    </row>
    <row r="952" spans="2:16" x14ac:dyDescent="0.25">
      <c r="B952" s="412">
        <v>951</v>
      </c>
      <c r="C952" s="1028" t="s">
        <v>930</v>
      </c>
      <c r="D952" s="421" t="s">
        <v>8</v>
      </c>
      <c r="E952" s="421" t="s">
        <v>9</v>
      </c>
      <c r="F952" s="421" t="s">
        <v>11</v>
      </c>
      <c r="G952" s="421" t="s">
        <v>21</v>
      </c>
      <c r="H952" s="421" t="s">
        <v>22</v>
      </c>
      <c r="I952" s="1067" t="s">
        <v>173</v>
      </c>
      <c r="J952" s="414" t="str">
        <f t="shared" si="14"/>
        <v>DCompra de ViviendaLey PreferencialResidencialNuevaCasaFERIA000000080000.01</v>
      </c>
      <c r="K952" s="1049">
        <v>80000.009999999995</v>
      </c>
      <c r="L952" s="1049">
        <v>120000</v>
      </c>
      <c r="M952" s="1053">
        <v>85</v>
      </c>
      <c r="N952" s="1048">
        <v>30</v>
      </c>
      <c r="O952" s="1050">
        <v>1.5</v>
      </c>
      <c r="P952" s="1053">
        <v>8.56</v>
      </c>
    </row>
    <row r="953" spans="2:16" x14ac:dyDescent="0.25">
      <c r="B953" s="415">
        <v>952</v>
      </c>
      <c r="C953" s="1028" t="s">
        <v>930</v>
      </c>
      <c r="D953" s="421" t="s">
        <v>8</v>
      </c>
      <c r="E953" s="421" t="s">
        <v>9</v>
      </c>
      <c r="F953" s="421" t="s">
        <v>11</v>
      </c>
      <c r="G953" s="421" t="s">
        <v>24</v>
      </c>
      <c r="H953" s="421" t="s">
        <v>22</v>
      </c>
      <c r="I953" s="1067" t="s">
        <v>567</v>
      </c>
      <c r="J953" s="414" t="str">
        <f t="shared" si="14"/>
        <v>DCompra de ViviendaLey PreferencialResidencialUsadaCasaBG000000080000.01</v>
      </c>
      <c r="K953" s="1049">
        <v>80000.009999999995</v>
      </c>
      <c r="L953" s="1049">
        <v>120000</v>
      </c>
      <c r="M953" s="1053">
        <v>85</v>
      </c>
      <c r="N953" s="1048">
        <v>30</v>
      </c>
      <c r="O953" s="1050">
        <v>1.5</v>
      </c>
      <c r="P953" s="1053">
        <v>8.56</v>
      </c>
    </row>
    <row r="954" spans="2:16" x14ac:dyDescent="0.25">
      <c r="B954" s="415">
        <v>953</v>
      </c>
      <c r="C954" s="1028" t="s">
        <v>930</v>
      </c>
      <c r="D954" s="421" t="s">
        <v>8</v>
      </c>
      <c r="E954" s="421" t="s">
        <v>9</v>
      </c>
      <c r="F954" s="421" t="s">
        <v>11</v>
      </c>
      <c r="G954" s="421" t="s">
        <v>24</v>
      </c>
      <c r="H954" s="421" t="s">
        <v>22</v>
      </c>
      <c r="I954" s="1067" t="s">
        <v>913</v>
      </c>
      <c r="J954" s="414" t="str">
        <f t="shared" si="14"/>
        <v>DCompra de ViviendaLey PreferencialResidencialUsadaCasaCOPA000000080000.01</v>
      </c>
      <c r="K954" s="1049">
        <v>80000.009999999995</v>
      </c>
      <c r="L954" s="1049">
        <v>120000</v>
      </c>
      <c r="M954" s="1053">
        <v>85</v>
      </c>
      <c r="N954" s="1048">
        <v>30</v>
      </c>
      <c r="O954" s="1050">
        <v>1.5</v>
      </c>
      <c r="P954" s="1050">
        <v>8.56</v>
      </c>
    </row>
    <row r="955" spans="2:16" x14ac:dyDescent="0.25">
      <c r="B955" s="415">
        <v>954</v>
      </c>
      <c r="C955" s="1028" t="s">
        <v>930</v>
      </c>
      <c r="D955" s="421" t="s">
        <v>8</v>
      </c>
      <c r="E955" s="421" t="s">
        <v>9</v>
      </c>
      <c r="F955" s="421" t="s">
        <v>11</v>
      </c>
      <c r="G955" s="421" t="s">
        <v>24</v>
      </c>
      <c r="H955" s="421" t="s">
        <v>22</v>
      </c>
      <c r="I955" s="1067" t="s">
        <v>173</v>
      </c>
      <c r="J955" s="414" t="str">
        <f t="shared" si="14"/>
        <v>DCompra de ViviendaLey PreferencialResidencialUsadaCasaFERIA000000080000.01</v>
      </c>
      <c r="K955" s="1049">
        <v>80000.009999999995</v>
      </c>
      <c r="L955" s="1049">
        <v>120000</v>
      </c>
      <c r="M955" s="1053">
        <v>85</v>
      </c>
      <c r="N955" s="1048">
        <v>30</v>
      </c>
      <c r="O955" s="1050">
        <v>1.5</v>
      </c>
      <c r="P955" s="1053">
        <v>8.56</v>
      </c>
    </row>
    <row r="956" spans="2:16" x14ac:dyDescent="0.25">
      <c r="B956" s="415">
        <v>955</v>
      </c>
      <c r="C956" s="595" t="s">
        <v>930</v>
      </c>
      <c r="D956" s="413" t="s">
        <v>1365</v>
      </c>
      <c r="E956" s="413" t="s">
        <v>17</v>
      </c>
      <c r="F956" s="413" t="s">
        <v>11</v>
      </c>
      <c r="G956" s="413" t="s">
        <v>21</v>
      </c>
      <c r="H956" s="413" t="s">
        <v>25</v>
      </c>
      <c r="I956" s="1066" t="s">
        <v>567</v>
      </c>
      <c r="J956" s="414" t="str">
        <f t="shared" si="14"/>
        <v>DCompra Venta de AccionesIndividualResidencialNuevaApartamentoBG000000120000.01</v>
      </c>
      <c r="K956" s="1047">
        <v>120000.01</v>
      </c>
      <c r="L956" s="1047">
        <v>200000</v>
      </c>
      <c r="M956" s="1050">
        <v>85</v>
      </c>
      <c r="N956" s="1046">
        <v>25</v>
      </c>
      <c r="O956" s="1053">
        <v>5.75</v>
      </c>
      <c r="P956" s="1050">
        <v>8.56</v>
      </c>
    </row>
    <row r="957" spans="2:16" x14ac:dyDescent="0.25">
      <c r="B957" s="412">
        <v>956</v>
      </c>
      <c r="C957" s="595" t="s">
        <v>930</v>
      </c>
      <c r="D957" s="413" t="s">
        <v>1365</v>
      </c>
      <c r="E957" s="413" t="s">
        <v>17</v>
      </c>
      <c r="F957" s="413" t="s">
        <v>11</v>
      </c>
      <c r="G957" s="413" t="s">
        <v>21</v>
      </c>
      <c r="H957" s="413" t="s">
        <v>25</v>
      </c>
      <c r="I957" s="1066" t="s">
        <v>567</v>
      </c>
      <c r="J957" s="414" t="str">
        <f t="shared" si="14"/>
        <v>DCompra Venta de AccionesIndividualResidencialNuevaApartamentoBG000000200000.01</v>
      </c>
      <c r="K957" s="1047">
        <v>200000.01</v>
      </c>
      <c r="L957" s="1047">
        <v>500000</v>
      </c>
      <c r="M957" s="1050">
        <v>80</v>
      </c>
      <c r="N957" s="1046">
        <v>25</v>
      </c>
      <c r="O957" s="1053">
        <v>5.75</v>
      </c>
      <c r="P957" s="1050">
        <v>8.56</v>
      </c>
    </row>
    <row r="958" spans="2:16" x14ac:dyDescent="0.25">
      <c r="B958" s="415">
        <v>957</v>
      </c>
      <c r="C958" s="595" t="s">
        <v>930</v>
      </c>
      <c r="D958" s="413" t="s">
        <v>1365</v>
      </c>
      <c r="E958" s="413" t="s">
        <v>17</v>
      </c>
      <c r="F958" s="413" t="s">
        <v>11</v>
      </c>
      <c r="G958" s="413" t="s">
        <v>21</v>
      </c>
      <c r="H958" s="413" t="s">
        <v>25</v>
      </c>
      <c r="I958" s="1066" t="s">
        <v>567</v>
      </c>
      <c r="J958" s="414" t="str">
        <f t="shared" si="14"/>
        <v>DCompra Venta de AccionesIndividualResidencialNuevaApartamentoBG000000500000.01</v>
      </c>
      <c r="K958" s="1047">
        <v>500000.01</v>
      </c>
      <c r="L958" s="1047">
        <v>99999999</v>
      </c>
      <c r="M958" s="1050">
        <v>80</v>
      </c>
      <c r="N958" s="1046">
        <v>25</v>
      </c>
      <c r="O958" s="1050">
        <v>5</v>
      </c>
      <c r="P958" s="1050">
        <v>8.56</v>
      </c>
    </row>
    <row r="959" spans="2:16" x14ac:dyDescent="0.25">
      <c r="B959" s="415">
        <v>958</v>
      </c>
      <c r="C959" s="595" t="s">
        <v>930</v>
      </c>
      <c r="D959" s="413" t="s">
        <v>1365</v>
      </c>
      <c r="E959" s="413" t="s">
        <v>17</v>
      </c>
      <c r="F959" s="413" t="s">
        <v>11</v>
      </c>
      <c r="G959" s="413" t="s">
        <v>21</v>
      </c>
      <c r="H959" s="413" t="s">
        <v>22</v>
      </c>
      <c r="I959" s="1066" t="s">
        <v>567</v>
      </c>
      <c r="J959" s="414" t="str">
        <f t="shared" si="14"/>
        <v>DCompra Venta de AccionesIndividualResidencialNuevaCasaBG000000120000.01</v>
      </c>
      <c r="K959" s="1047">
        <v>120000.01</v>
      </c>
      <c r="L959" s="1047">
        <v>200000</v>
      </c>
      <c r="M959" s="1050">
        <v>85</v>
      </c>
      <c r="N959" s="1046">
        <v>30</v>
      </c>
      <c r="O959" s="1053">
        <v>5.75</v>
      </c>
      <c r="P959" s="1050">
        <v>8.56</v>
      </c>
    </row>
    <row r="960" spans="2:16" x14ac:dyDescent="0.25">
      <c r="B960" s="415">
        <v>959</v>
      </c>
      <c r="C960" s="595" t="s">
        <v>930</v>
      </c>
      <c r="D960" s="413" t="s">
        <v>1365</v>
      </c>
      <c r="E960" s="413" t="s">
        <v>17</v>
      </c>
      <c r="F960" s="413" t="s">
        <v>11</v>
      </c>
      <c r="G960" s="413" t="s">
        <v>21</v>
      </c>
      <c r="H960" s="413" t="s">
        <v>22</v>
      </c>
      <c r="I960" s="1066" t="s">
        <v>567</v>
      </c>
      <c r="J960" s="414" t="str">
        <f t="shared" si="14"/>
        <v>DCompra Venta de AccionesIndividualResidencialNuevaCasaBG000000200000.01</v>
      </c>
      <c r="K960" s="1047">
        <v>200000.01</v>
      </c>
      <c r="L960" s="1047">
        <v>500000</v>
      </c>
      <c r="M960" s="1050">
        <v>80</v>
      </c>
      <c r="N960" s="1046">
        <v>30</v>
      </c>
      <c r="O960" s="1053">
        <v>5.75</v>
      </c>
      <c r="P960" s="1050">
        <v>8.56</v>
      </c>
    </row>
    <row r="961" spans="2:16" x14ac:dyDescent="0.25">
      <c r="B961" s="415">
        <v>960</v>
      </c>
      <c r="C961" s="595" t="s">
        <v>930</v>
      </c>
      <c r="D961" s="413" t="s">
        <v>1365</v>
      </c>
      <c r="E961" s="413" t="s">
        <v>17</v>
      </c>
      <c r="F961" s="413" t="s">
        <v>11</v>
      </c>
      <c r="G961" s="413" t="s">
        <v>21</v>
      </c>
      <c r="H961" s="413" t="s">
        <v>22</v>
      </c>
      <c r="I961" s="1066" t="s">
        <v>567</v>
      </c>
      <c r="J961" s="414" t="str">
        <f t="shared" si="14"/>
        <v>DCompra Venta de AccionesIndividualResidencialNuevaCasaBG000000500000.01</v>
      </c>
      <c r="K961" s="1047">
        <v>500000.01</v>
      </c>
      <c r="L961" s="1047">
        <v>99999999</v>
      </c>
      <c r="M961" s="1050">
        <v>80</v>
      </c>
      <c r="N961" s="1046">
        <v>30</v>
      </c>
      <c r="O961" s="1050">
        <v>5</v>
      </c>
      <c r="P961" s="1050">
        <v>8.56</v>
      </c>
    </row>
    <row r="962" spans="2:16" x14ac:dyDescent="0.25">
      <c r="B962" s="412">
        <v>961</v>
      </c>
      <c r="C962" s="595" t="s">
        <v>930</v>
      </c>
      <c r="D962" s="413" t="s">
        <v>1365</v>
      </c>
      <c r="E962" s="413" t="s">
        <v>17</v>
      </c>
      <c r="F962" s="413" t="s">
        <v>11</v>
      </c>
      <c r="G962" s="413" t="s">
        <v>24</v>
      </c>
      <c r="H962" s="413" t="s">
        <v>25</v>
      </c>
      <c r="I962" s="1066" t="s">
        <v>567</v>
      </c>
      <c r="J962" s="414" t="str">
        <f t="shared" ref="J962:J985" si="15">C962&amp;D962&amp;E962&amp;F962&amp;G962&amp;H962&amp;I962 &amp; REPT("0",15-LEN(K962 &amp; IF(IFERROR(FIND(".",K962&amp;""),0)=0,".00","")))&amp;K962 &amp; IF(IFERROR(FIND(".",K962&amp;""),0)=0,".00","")</f>
        <v>DCompra Venta de AccionesIndividualResidencialUsadaApartamentoBG000000030000.00</v>
      </c>
      <c r="K962" s="1047">
        <v>30000</v>
      </c>
      <c r="L962" s="1047">
        <v>200000</v>
      </c>
      <c r="M962" s="1050">
        <v>85</v>
      </c>
      <c r="N962" s="1046">
        <v>30</v>
      </c>
      <c r="O962" s="1050">
        <v>5.5</v>
      </c>
      <c r="P962" s="1050">
        <v>8.56</v>
      </c>
    </row>
    <row r="963" spans="2:16" x14ac:dyDescent="0.25">
      <c r="B963" s="415">
        <v>962</v>
      </c>
      <c r="C963" s="595" t="s">
        <v>930</v>
      </c>
      <c r="D963" s="413" t="s">
        <v>1365</v>
      </c>
      <c r="E963" s="413" t="s">
        <v>17</v>
      </c>
      <c r="F963" s="413" t="s">
        <v>11</v>
      </c>
      <c r="G963" s="413" t="s">
        <v>24</v>
      </c>
      <c r="H963" s="413" t="s">
        <v>25</v>
      </c>
      <c r="I963" s="1066" t="s">
        <v>567</v>
      </c>
      <c r="J963" s="414" t="str">
        <f t="shared" si="15"/>
        <v>DCompra Venta de AccionesIndividualResidencialUsadaApartamentoBG000000200000.01</v>
      </c>
      <c r="K963" s="1047">
        <v>200000.01</v>
      </c>
      <c r="L963" s="1047">
        <v>500000</v>
      </c>
      <c r="M963" s="1050">
        <v>80</v>
      </c>
      <c r="N963" s="1046">
        <v>25</v>
      </c>
      <c r="O963" s="1053">
        <v>5.75</v>
      </c>
      <c r="P963" s="1050">
        <v>8.56</v>
      </c>
    </row>
    <row r="964" spans="2:16" x14ac:dyDescent="0.25">
      <c r="B964" s="415">
        <v>963</v>
      </c>
      <c r="C964" s="595" t="s">
        <v>930</v>
      </c>
      <c r="D964" s="413" t="s">
        <v>1365</v>
      </c>
      <c r="E964" s="413" t="s">
        <v>17</v>
      </c>
      <c r="F964" s="413" t="s">
        <v>11</v>
      </c>
      <c r="G964" s="413" t="s">
        <v>24</v>
      </c>
      <c r="H964" s="413" t="s">
        <v>25</v>
      </c>
      <c r="I964" s="1066" t="s">
        <v>567</v>
      </c>
      <c r="J964" s="414" t="str">
        <f t="shared" si="15"/>
        <v>DCompra Venta de AccionesIndividualResidencialUsadaApartamentoBG000000500000.01</v>
      </c>
      <c r="K964" s="1047">
        <v>500000.01</v>
      </c>
      <c r="L964" s="1047">
        <v>99999999</v>
      </c>
      <c r="M964" s="1050">
        <v>80</v>
      </c>
      <c r="N964" s="1046">
        <v>25</v>
      </c>
      <c r="O964" s="1053">
        <v>5.75</v>
      </c>
      <c r="P964" s="1050">
        <v>8.56</v>
      </c>
    </row>
    <row r="965" spans="2:16" x14ac:dyDescent="0.25">
      <c r="B965" s="415">
        <v>964</v>
      </c>
      <c r="C965" s="595" t="s">
        <v>930</v>
      </c>
      <c r="D965" s="413" t="s">
        <v>1365</v>
      </c>
      <c r="E965" s="413" t="s">
        <v>17</v>
      </c>
      <c r="F965" s="413" t="s">
        <v>11</v>
      </c>
      <c r="G965" s="413" t="s">
        <v>24</v>
      </c>
      <c r="H965" s="413" t="s">
        <v>22</v>
      </c>
      <c r="I965" s="1066" t="s">
        <v>567</v>
      </c>
      <c r="J965" s="414" t="str">
        <f t="shared" si="15"/>
        <v>DCompra Venta de AccionesIndividualResidencialUsadaCasaBG000000030000.00</v>
      </c>
      <c r="K965" s="1047">
        <v>30000</v>
      </c>
      <c r="L965" s="1047">
        <v>200000</v>
      </c>
      <c r="M965" s="1050">
        <v>85</v>
      </c>
      <c r="N965" s="1046">
        <v>30</v>
      </c>
      <c r="O965" s="1050">
        <v>5.5</v>
      </c>
      <c r="P965" s="1050">
        <v>8.56</v>
      </c>
    </row>
    <row r="966" spans="2:16" x14ac:dyDescent="0.25">
      <c r="B966" s="415">
        <v>965</v>
      </c>
      <c r="C966" s="595" t="s">
        <v>930</v>
      </c>
      <c r="D966" s="413" t="s">
        <v>1365</v>
      </c>
      <c r="E966" s="413" t="s">
        <v>17</v>
      </c>
      <c r="F966" s="413" t="s">
        <v>11</v>
      </c>
      <c r="G966" s="413" t="s">
        <v>24</v>
      </c>
      <c r="H966" s="413" t="s">
        <v>22</v>
      </c>
      <c r="I966" s="1066" t="s">
        <v>567</v>
      </c>
      <c r="J966" s="414" t="str">
        <f t="shared" si="15"/>
        <v>DCompra Venta de AccionesIndividualResidencialUsadaCasaBG000000200000.01</v>
      </c>
      <c r="K966" s="1047">
        <v>200000.01</v>
      </c>
      <c r="L966" s="1047">
        <v>500000</v>
      </c>
      <c r="M966" s="1050">
        <v>80</v>
      </c>
      <c r="N966" s="1046">
        <v>30</v>
      </c>
      <c r="O966" s="1053">
        <v>5.75</v>
      </c>
      <c r="P966" s="1050">
        <v>8.56</v>
      </c>
    </row>
    <row r="967" spans="2:16" x14ac:dyDescent="0.25">
      <c r="B967" s="412">
        <v>966</v>
      </c>
      <c r="C967" s="595" t="s">
        <v>930</v>
      </c>
      <c r="D967" s="413" t="s">
        <v>1365</v>
      </c>
      <c r="E967" s="413" t="s">
        <v>17</v>
      </c>
      <c r="F967" s="413" t="s">
        <v>11</v>
      </c>
      <c r="G967" s="413" t="s">
        <v>24</v>
      </c>
      <c r="H967" s="413" t="s">
        <v>22</v>
      </c>
      <c r="I967" s="1066" t="s">
        <v>567</v>
      </c>
      <c r="J967" s="414" t="str">
        <f t="shared" si="15"/>
        <v>DCompra Venta de AccionesIndividualResidencialUsadaCasaBG000000500000.01</v>
      </c>
      <c r="K967" s="1047">
        <v>500000.01</v>
      </c>
      <c r="L967" s="1047">
        <v>99999999</v>
      </c>
      <c r="M967" s="1050">
        <v>80</v>
      </c>
      <c r="N967" s="1046">
        <v>30</v>
      </c>
      <c r="O967" s="1053">
        <v>5.75</v>
      </c>
      <c r="P967" s="1050">
        <v>8.56</v>
      </c>
    </row>
    <row r="968" spans="2:16" x14ac:dyDescent="0.25">
      <c r="B968" s="415">
        <v>967</v>
      </c>
      <c r="C968" s="1374" t="s">
        <v>930</v>
      </c>
      <c r="D968" s="413" t="s">
        <v>26</v>
      </c>
      <c r="E968" s="413" t="s">
        <v>17</v>
      </c>
      <c r="F968" s="413" t="s">
        <v>11</v>
      </c>
      <c r="G968" s="413" t="s">
        <v>24</v>
      </c>
      <c r="H968" s="413" t="s">
        <v>25</v>
      </c>
      <c r="I968" s="1066" t="s">
        <v>567</v>
      </c>
      <c r="J968" s="414" t="str">
        <f t="shared" si="15"/>
        <v>DTraspaso de Otro BancoIndividualResidencialUsadaApartamentoBG000000030000.00</v>
      </c>
      <c r="K968" s="1047">
        <v>30000</v>
      </c>
      <c r="L968" s="1047">
        <v>250000</v>
      </c>
      <c r="M968" s="1050">
        <v>85</v>
      </c>
      <c r="N968" s="1046">
        <v>30</v>
      </c>
      <c r="O968" s="1050">
        <v>5.75</v>
      </c>
      <c r="P968" s="1050">
        <v>8.56</v>
      </c>
    </row>
    <row r="969" spans="2:16" x14ac:dyDescent="0.25">
      <c r="B969" s="415">
        <v>968</v>
      </c>
      <c r="C969" s="1374" t="s">
        <v>930</v>
      </c>
      <c r="D969" s="413" t="s">
        <v>26</v>
      </c>
      <c r="E969" s="413" t="s">
        <v>17</v>
      </c>
      <c r="F969" s="413" t="s">
        <v>11</v>
      </c>
      <c r="G969" s="413" t="s">
        <v>24</v>
      </c>
      <c r="H969" s="413" t="s">
        <v>25</v>
      </c>
      <c r="I969" s="1066" t="s">
        <v>567</v>
      </c>
      <c r="J969" s="414" t="str">
        <f t="shared" si="15"/>
        <v>DTraspaso de Otro BancoIndividualResidencialUsadaApartamentoBG000000250000.01</v>
      </c>
      <c r="K969" s="1047">
        <v>250000.01</v>
      </c>
      <c r="L969" s="1047">
        <v>500000</v>
      </c>
      <c r="M969" s="1050">
        <v>80</v>
      </c>
      <c r="N969" s="1046">
        <v>30</v>
      </c>
      <c r="O969" s="1050">
        <v>5.75</v>
      </c>
      <c r="P969" s="1050">
        <v>8.56</v>
      </c>
    </row>
    <row r="970" spans="2:16" x14ac:dyDescent="0.25">
      <c r="B970" s="415">
        <v>969</v>
      </c>
      <c r="C970" s="1374" t="s">
        <v>930</v>
      </c>
      <c r="D970" s="413" t="s">
        <v>26</v>
      </c>
      <c r="E970" s="413" t="s">
        <v>17</v>
      </c>
      <c r="F970" s="413" t="s">
        <v>11</v>
      </c>
      <c r="G970" s="413" t="s">
        <v>24</v>
      </c>
      <c r="H970" s="413" t="s">
        <v>25</v>
      </c>
      <c r="I970" s="1066" t="s">
        <v>567</v>
      </c>
      <c r="J970" s="414" t="str">
        <f t="shared" si="15"/>
        <v>DTraspaso de Otro BancoIndividualResidencialUsadaApartamentoBG000000500000.01</v>
      </c>
      <c r="K970" s="1047">
        <v>500000.01</v>
      </c>
      <c r="L970" s="1047">
        <v>99999999</v>
      </c>
      <c r="M970" s="1050">
        <v>70</v>
      </c>
      <c r="N970" s="1046">
        <v>30</v>
      </c>
      <c r="O970" s="1050">
        <v>5.75</v>
      </c>
      <c r="P970" s="1050">
        <v>8.56</v>
      </c>
    </row>
    <row r="971" spans="2:16" x14ac:dyDescent="0.25">
      <c r="B971" s="415">
        <v>970</v>
      </c>
      <c r="C971" s="595" t="s">
        <v>930</v>
      </c>
      <c r="D971" s="413" t="s">
        <v>26</v>
      </c>
      <c r="E971" s="413" t="s">
        <v>17</v>
      </c>
      <c r="F971" s="413" t="s">
        <v>11</v>
      </c>
      <c r="G971" s="413" t="s">
        <v>24</v>
      </c>
      <c r="H971" s="413" t="s">
        <v>25</v>
      </c>
      <c r="I971" s="1066" t="s">
        <v>913</v>
      </c>
      <c r="J971" s="414" t="str">
        <f t="shared" si="15"/>
        <v>DTraspaso de Otro BancoIndividualResidencialUsadaApartamentoCOPA000000030000.00</v>
      </c>
      <c r="K971" s="1047">
        <v>30000</v>
      </c>
      <c r="L971" s="1047">
        <v>250000</v>
      </c>
      <c r="M971" s="1050">
        <v>90</v>
      </c>
      <c r="N971" s="1046">
        <v>30</v>
      </c>
      <c r="O971" s="1050">
        <v>5.5</v>
      </c>
      <c r="P971" s="1050">
        <v>8.56</v>
      </c>
    </row>
    <row r="972" spans="2:16" x14ac:dyDescent="0.25">
      <c r="B972" s="412">
        <v>971</v>
      </c>
      <c r="C972" s="595" t="s">
        <v>930</v>
      </c>
      <c r="D972" s="413" t="s">
        <v>26</v>
      </c>
      <c r="E972" s="413" t="s">
        <v>17</v>
      </c>
      <c r="F972" s="413" t="s">
        <v>11</v>
      </c>
      <c r="G972" s="413" t="s">
        <v>24</v>
      </c>
      <c r="H972" s="413" t="s">
        <v>25</v>
      </c>
      <c r="I972" s="1066" t="s">
        <v>913</v>
      </c>
      <c r="J972" s="414" t="str">
        <f t="shared" si="15"/>
        <v>DTraspaso de Otro BancoIndividualResidencialUsadaApartamentoCOPA000000250000.01</v>
      </c>
      <c r="K972" s="1047">
        <v>250000.01</v>
      </c>
      <c r="L972" s="1047">
        <v>500000</v>
      </c>
      <c r="M972" s="1050">
        <v>80</v>
      </c>
      <c r="N972" s="1046">
        <v>30</v>
      </c>
      <c r="O972" s="1050">
        <v>5.5</v>
      </c>
      <c r="P972" s="1050">
        <v>8.56</v>
      </c>
    </row>
    <row r="973" spans="2:16" x14ac:dyDescent="0.25">
      <c r="B973" s="415">
        <v>972</v>
      </c>
      <c r="C973" s="595" t="s">
        <v>930</v>
      </c>
      <c r="D973" s="413" t="s">
        <v>26</v>
      </c>
      <c r="E973" s="413" t="s">
        <v>17</v>
      </c>
      <c r="F973" s="413" t="s">
        <v>11</v>
      </c>
      <c r="G973" s="413" t="s">
        <v>24</v>
      </c>
      <c r="H973" s="413" t="s">
        <v>25</v>
      </c>
      <c r="I973" s="1066" t="s">
        <v>913</v>
      </c>
      <c r="J973" s="414" t="str">
        <f t="shared" si="15"/>
        <v>DTraspaso de Otro BancoIndividualResidencialUsadaApartamentoCOPA000000500000.01</v>
      </c>
      <c r="K973" s="1047">
        <v>500000.01</v>
      </c>
      <c r="L973" s="1047">
        <v>99999999</v>
      </c>
      <c r="M973" s="1050">
        <v>70</v>
      </c>
      <c r="N973" s="1046">
        <v>30</v>
      </c>
      <c r="O973" s="1050">
        <v>5.5</v>
      </c>
      <c r="P973" s="1050">
        <v>8.56</v>
      </c>
    </row>
    <row r="974" spans="2:16" x14ac:dyDescent="0.25">
      <c r="B974" s="415">
        <v>973</v>
      </c>
      <c r="C974" s="595" t="s">
        <v>930</v>
      </c>
      <c r="D974" s="421" t="s">
        <v>26</v>
      </c>
      <c r="E974" s="421" t="s">
        <v>17</v>
      </c>
      <c r="F974" s="421" t="s">
        <v>11</v>
      </c>
      <c r="G974" s="421" t="s">
        <v>24</v>
      </c>
      <c r="H974" s="421" t="s">
        <v>25</v>
      </c>
      <c r="I974" s="1067" t="s">
        <v>173</v>
      </c>
      <c r="J974" s="414" t="str">
        <f t="shared" si="15"/>
        <v>DTraspaso de Otro BancoIndividualResidencialUsadaApartamentoFERIA000000040000.00</v>
      </c>
      <c r="K974" s="1057">
        <v>40000</v>
      </c>
      <c r="L974" s="1057">
        <v>200000</v>
      </c>
      <c r="M974" s="1053">
        <v>90</v>
      </c>
      <c r="N974" s="1048">
        <v>30</v>
      </c>
      <c r="O974" s="1053">
        <v>5.5</v>
      </c>
      <c r="P974" s="1050">
        <v>8.56</v>
      </c>
    </row>
    <row r="975" spans="2:16" x14ac:dyDescent="0.25">
      <c r="B975" s="415">
        <v>974</v>
      </c>
      <c r="C975" s="595" t="s">
        <v>930</v>
      </c>
      <c r="D975" s="421" t="s">
        <v>26</v>
      </c>
      <c r="E975" s="421" t="s">
        <v>17</v>
      </c>
      <c r="F975" s="421" t="s">
        <v>11</v>
      </c>
      <c r="G975" s="421" t="s">
        <v>24</v>
      </c>
      <c r="H975" s="421" t="s">
        <v>25</v>
      </c>
      <c r="I975" s="1067" t="s">
        <v>173</v>
      </c>
      <c r="J975" s="414" t="str">
        <f t="shared" si="15"/>
        <v>DTraspaso de Otro BancoIndividualResidencialUsadaApartamentoFERIA000000200000.01</v>
      </c>
      <c r="K975" s="1057">
        <v>200000.01</v>
      </c>
      <c r="L975" s="1057">
        <v>99999999</v>
      </c>
      <c r="M975" s="1053">
        <v>80</v>
      </c>
      <c r="N975" s="1048">
        <v>30</v>
      </c>
      <c r="O975" s="1050">
        <v>5.5</v>
      </c>
      <c r="P975" s="1050">
        <v>8.56</v>
      </c>
    </row>
    <row r="976" spans="2:16" x14ac:dyDescent="0.25">
      <c r="B976" s="415">
        <v>975</v>
      </c>
      <c r="C976" s="595" t="s">
        <v>930</v>
      </c>
      <c r="D976" s="421" t="s">
        <v>26</v>
      </c>
      <c r="E976" s="421" t="s">
        <v>17</v>
      </c>
      <c r="F976" s="421" t="s">
        <v>11</v>
      </c>
      <c r="G976" s="421" t="s">
        <v>24</v>
      </c>
      <c r="H976" s="421" t="s">
        <v>25</v>
      </c>
      <c r="I976" s="1067" t="s">
        <v>173</v>
      </c>
      <c r="J976" s="414" t="str">
        <f t="shared" si="15"/>
        <v>DTraspaso de Otro BancoIndividualResidencialUsadaApartamentoFERIA000000500000.01</v>
      </c>
      <c r="K976" s="1049">
        <v>500000.01</v>
      </c>
      <c r="L976" s="1049">
        <v>99999999</v>
      </c>
      <c r="M976" s="1053">
        <v>70</v>
      </c>
      <c r="N976" s="1048">
        <v>30</v>
      </c>
      <c r="O976" s="1050">
        <v>5.5</v>
      </c>
      <c r="P976" s="1050">
        <v>8.56</v>
      </c>
    </row>
    <row r="977" spans="2:16" x14ac:dyDescent="0.25">
      <c r="B977" s="412">
        <v>976</v>
      </c>
      <c r="C977" s="1374" t="s">
        <v>930</v>
      </c>
      <c r="D977" s="421" t="s">
        <v>26</v>
      </c>
      <c r="E977" s="421" t="s">
        <v>17</v>
      </c>
      <c r="F977" s="421" t="s">
        <v>11</v>
      </c>
      <c r="G977" s="421" t="s">
        <v>24</v>
      </c>
      <c r="H977" s="421" t="s">
        <v>22</v>
      </c>
      <c r="I977" s="1067" t="s">
        <v>567</v>
      </c>
      <c r="J977" s="414" t="str">
        <f t="shared" si="15"/>
        <v>DTraspaso de Otro BancoIndividualResidencialUsadaCasaBG000000030000.00</v>
      </c>
      <c r="K977" s="1049">
        <v>30000</v>
      </c>
      <c r="L977" s="1049">
        <v>250000</v>
      </c>
      <c r="M977" s="1053">
        <v>85</v>
      </c>
      <c r="N977" s="1048">
        <v>30</v>
      </c>
      <c r="O977" s="1050">
        <v>5.75</v>
      </c>
      <c r="P977" s="1050">
        <v>8.56</v>
      </c>
    </row>
    <row r="978" spans="2:16" x14ac:dyDescent="0.25">
      <c r="B978" s="415">
        <v>977</v>
      </c>
      <c r="C978" s="1374" t="s">
        <v>930</v>
      </c>
      <c r="D978" s="421" t="s">
        <v>26</v>
      </c>
      <c r="E978" s="421" t="s">
        <v>17</v>
      </c>
      <c r="F978" s="421" t="s">
        <v>11</v>
      </c>
      <c r="G978" s="421" t="s">
        <v>24</v>
      </c>
      <c r="H978" s="421" t="s">
        <v>22</v>
      </c>
      <c r="I978" s="1067" t="s">
        <v>567</v>
      </c>
      <c r="J978" s="414" t="str">
        <f t="shared" si="15"/>
        <v>DTraspaso de Otro BancoIndividualResidencialUsadaCasaBG000000250000.01</v>
      </c>
      <c r="K978" s="1049">
        <v>250000.01</v>
      </c>
      <c r="L978" s="1049">
        <v>500000</v>
      </c>
      <c r="M978" s="1053">
        <v>80</v>
      </c>
      <c r="N978" s="1048">
        <v>30</v>
      </c>
      <c r="O978" s="1050">
        <v>5.75</v>
      </c>
      <c r="P978" s="1050">
        <v>8.56</v>
      </c>
    </row>
    <row r="979" spans="2:16" x14ac:dyDescent="0.25">
      <c r="B979" s="415">
        <v>978</v>
      </c>
      <c r="C979" s="1374" t="s">
        <v>930</v>
      </c>
      <c r="D979" s="421" t="s">
        <v>26</v>
      </c>
      <c r="E979" s="421" t="s">
        <v>17</v>
      </c>
      <c r="F979" s="421" t="s">
        <v>11</v>
      </c>
      <c r="G979" s="421" t="s">
        <v>24</v>
      </c>
      <c r="H979" s="421" t="s">
        <v>22</v>
      </c>
      <c r="I979" s="1067" t="s">
        <v>567</v>
      </c>
      <c r="J979" s="414" t="str">
        <f t="shared" si="15"/>
        <v>DTraspaso de Otro BancoIndividualResidencialUsadaCasaBG000000500000.01</v>
      </c>
      <c r="K979" s="1049">
        <v>500000.01</v>
      </c>
      <c r="L979" s="1049">
        <v>99999999</v>
      </c>
      <c r="M979" s="1053">
        <v>70</v>
      </c>
      <c r="N979" s="1048">
        <v>30</v>
      </c>
      <c r="O979" s="1050">
        <v>5.75</v>
      </c>
      <c r="P979" s="1050">
        <v>8.56</v>
      </c>
    </row>
    <row r="980" spans="2:16" x14ac:dyDescent="0.25">
      <c r="B980" s="415">
        <v>979</v>
      </c>
      <c r="C980" s="595" t="s">
        <v>930</v>
      </c>
      <c r="D980" s="421" t="s">
        <v>26</v>
      </c>
      <c r="E980" s="421" t="s">
        <v>17</v>
      </c>
      <c r="F980" s="421" t="s">
        <v>11</v>
      </c>
      <c r="G980" s="421" t="s">
        <v>24</v>
      </c>
      <c r="H980" s="421" t="s">
        <v>22</v>
      </c>
      <c r="I980" s="1067" t="s">
        <v>913</v>
      </c>
      <c r="J980" s="414" t="str">
        <f t="shared" si="15"/>
        <v>DTraspaso de Otro BancoIndividualResidencialUsadaCasaCOPA000000030000.00</v>
      </c>
      <c r="K980" s="1049">
        <v>30000</v>
      </c>
      <c r="L980" s="1049">
        <v>250000</v>
      </c>
      <c r="M980" s="1053">
        <v>90</v>
      </c>
      <c r="N980" s="1048">
        <v>30</v>
      </c>
      <c r="O980" s="1053">
        <v>5.5</v>
      </c>
      <c r="P980" s="1050">
        <v>8.56</v>
      </c>
    </row>
    <row r="981" spans="2:16" x14ac:dyDescent="0.25">
      <c r="B981" s="415">
        <v>980</v>
      </c>
      <c r="C981" s="595" t="s">
        <v>930</v>
      </c>
      <c r="D981" s="421" t="s">
        <v>26</v>
      </c>
      <c r="E981" s="421" t="s">
        <v>17</v>
      </c>
      <c r="F981" s="421" t="s">
        <v>11</v>
      </c>
      <c r="G981" s="421" t="s">
        <v>24</v>
      </c>
      <c r="H981" s="421" t="s">
        <v>22</v>
      </c>
      <c r="I981" s="1067" t="s">
        <v>913</v>
      </c>
      <c r="J981" s="414" t="str">
        <f t="shared" si="15"/>
        <v>DTraspaso de Otro BancoIndividualResidencialUsadaCasaCOPA000000250000.01</v>
      </c>
      <c r="K981" s="1049">
        <v>250000.01</v>
      </c>
      <c r="L981" s="1049">
        <v>500000</v>
      </c>
      <c r="M981" s="1053">
        <v>80</v>
      </c>
      <c r="N981" s="1048">
        <v>30</v>
      </c>
      <c r="O981" s="1050">
        <v>5.5</v>
      </c>
      <c r="P981" s="1050">
        <v>8.56</v>
      </c>
    </row>
    <row r="982" spans="2:16" x14ac:dyDescent="0.25">
      <c r="B982" s="412">
        <v>981</v>
      </c>
      <c r="C982" s="595" t="s">
        <v>930</v>
      </c>
      <c r="D982" s="421" t="s">
        <v>26</v>
      </c>
      <c r="E982" s="421" t="s">
        <v>17</v>
      </c>
      <c r="F982" s="421" t="s">
        <v>11</v>
      </c>
      <c r="G982" s="421" t="s">
        <v>24</v>
      </c>
      <c r="H982" s="421" t="s">
        <v>22</v>
      </c>
      <c r="I982" s="1067" t="s">
        <v>913</v>
      </c>
      <c r="J982" s="414" t="str">
        <f t="shared" si="15"/>
        <v>DTraspaso de Otro BancoIndividualResidencialUsadaCasaCOPA000000500000.01</v>
      </c>
      <c r="K982" s="1049">
        <v>500000.01</v>
      </c>
      <c r="L982" s="1049">
        <v>99999999</v>
      </c>
      <c r="M982" s="1053">
        <v>70</v>
      </c>
      <c r="N982" s="1048">
        <v>30</v>
      </c>
      <c r="O982" s="1050">
        <v>5.5</v>
      </c>
      <c r="P982" s="1050">
        <v>8.56</v>
      </c>
    </row>
    <row r="983" spans="2:16" x14ac:dyDescent="0.25">
      <c r="B983" s="415">
        <v>982</v>
      </c>
      <c r="C983" s="595" t="s">
        <v>930</v>
      </c>
      <c r="D983" s="421" t="s">
        <v>26</v>
      </c>
      <c r="E983" s="421" t="s">
        <v>17</v>
      </c>
      <c r="F983" s="421" t="s">
        <v>11</v>
      </c>
      <c r="G983" s="421" t="s">
        <v>24</v>
      </c>
      <c r="H983" s="421" t="s">
        <v>22</v>
      </c>
      <c r="I983" s="1067" t="s">
        <v>173</v>
      </c>
      <c r="J983" s="414" t="str">
        <f t="shared" si="15"/>
        <v>DTraspaso de Otro BancoIndividualResidencialUsadaCasaFERIA000000040000.00</v>
      </c>
      <c r="K983" s="1057">
        <v>40000</v>
      </c>
      <c r="L983" s="1057">
        <v>200000</v>
      </c>
      <c r="M983" s="1053">
        <v>90</v>
      </c>
      <c r="N983" s="1048">
        <v>30</v>
      </c>
      <c r="O983" s="1053">
        <v>5.5</v>
      </c>
      <c r="P983" s="1050">
        <v>8.56</v>
      </c>
    </row>
    <row r="984" spans="2:16" x14ac:dyDescent="0.25">
      <c r="B984" s="415">
        <v>983</v>
      </c>
      <c r="C984" s="595" t="s">
        <v>930</v>
      </c>
      <c r="D984" s="421" t="s">
        <v>26</v>
      </c>
      <c r="E984" s="421" t="s">
        <v>17</v>
      </c>
      <c r="F984" s="421" t="s">
        <v>11</v>
      </c>
      <c r="G984" s="421" t="s">
        <v>24</v>
      </c>
      <c r="H984" s="421" t="s">
        <v>22</v>
      </c>
      <c r="I984" s="1067" t="s">
        <v>173</v>
      </c>
      <c r="J984" s="414" t="str">
        <f t="shared" si="15"/>
        <v>DTraspaso de Otro BancoIndividualResidencialUsadaCasaFERIA000000200000.01</v>
      </c>
      <c r="K984" s="1057">
        <v>200000.01</v>
      </c>
      <c r="L984" s="1057">
        <v>99999999</v>
      </c>
      <c r="M984" s="1053">
        <v>80</v>
      </c>
      <c r="N984" s="1048">
        <v>30</v>
      </c>
      <c r="O984" s="1050">
        <v>5.5</v>
      </c>
      <c r="P984" s="1050">
        <v>8.56</v>
      </c>
    </row>
    <row r="985" spans="2:16" x14ac:dyDescent="0.25">
      <c r="B985" s="415">
        <v>984</v>
      </c>
      <c r="C985" s="595" t="s">
        <v>930</v>
      </c>
      <c r="D985" s="421" t="s">
        <v>26</v>
      </c>
      <c r="E985" s="421" t="s">
        <v>17</v>
      </c>
      <c r="F985" s="421" t="s">
        <v>11</v>
      </c>
      <c r="G985" s="421" t="s">
        <v>24</v>
      </c>
      <c r="H985" s="421" t="s">
        <v>22</v>
      </c>
      <c r="I985" s="1067" t="s">
        <v>173</v>
      </c>
      <c r="J985" s="414" t="str">
        <f t="shared" si="15"/>
        <v>DTraspaso de Otro BancoIndividualResidencialUsadaCasaFERIA000000500000.01</v>
      </c>
      <c r="K985" s="1049">
        <v>500000.01</v>
      </c>
      <c r="L985" s="1049">
        <v>99999999</v>
      </c>
      <c r="M985" s="1053">
        <v>70</v>
      </c>
      <c r="N985" s="1048">
        <v>30</v>
      </c>
      <c r="O985" s="1053">
        <v>5.5</v>
      </c>
      <c r="P985" s="1050">
        <v>8.56</v>
      </c>
    </row>
    <row r="1004" spans="4:5" x14ac:dyDescent="0.25">
      <c r="D1004" s="1176" t="s">
        <v>2009</v>
      </c>
      <c r="E1004" s="1176" t="s">
        <v>2143</v>
      </c>
    </row>
  </sheetData>
  <autoFilter ref="A1:Q985"/>
  <sortState ref="B2:Q985">
    <sortCondition ref="J2:J985"/>
  </sortState>
  <mergeCells count="1">
    <mergeCell ref="A3:A95"/>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dimension ref="A1:BD104"/>
  <sheetViews>
    <sheetView workbookViewId="0">
      <pane ySplit="1260" activePane="bottomLeft"/>
      <selection activeCell="AK1" sqref="AK1"/>
      <selection pane="bottomLeft" activeCell="N1" sqref="N1"/>
    </sheetView>
  </sheetViews>
  <sheetFormatPr baseColWidth="10" defaultColWidth="11.42578125" defaultRowHeight="12" x14ac:dyDescent="0.2"/>
  <cols>
    <col min="1" max="1" width="7.42578125" style="422" customWidth="1"/>
    <col min="2" max="2" width="6.5703125" style="422" customWidth="1"/>
    <col min="3" max="3" width="27.5703125" style="422" bestFit="1" customWidth="1"/>
    <col min="4" max="4" width="13.28515625" style="422" bestFit="1" customWidth="1"/>
    <col min="5" max="6" width="11.42578125" style="422" customWidth="1"/>
    <col min="7" max="12" width="15" style="422" customWidth="1"/>
    <col min="13" max="13" width="13.42578125" style="422" customWidth="1"/>
    <col min="14" max="14" width="11.7109375" style="422" customWidth="1"/>
    <col min="15" max="15" width="5.7109375" style="422" customWidth="1"/>
    <col min="16" max="16" width="15" style="422" customWidth="1"/>
    <col min="17" max="17" width="11.42578125" style="422" customWidth="1"/>
    <col min="18" max="18" width="8.5703125" style="422" customWidth="1"/>
    <col min="19" max="19" width="11.140625" style="422" customWidth="1"/>
    <col min="20" max="20" width="8.42578125" style="422" customWidth="1"/>
    <col min="21" max="21" width="9.28515625" style="422" customWidth="1"/>
    <col min="22" max="22" width="9.85546875" style="422" customWidth="1"/>
    <col min="23" max="23" width="12.140625" style="422" customWidth="1"/>
    <col min="24" max="26" width="11.42578125" style="422" customWidth="1"/>
    <col min="27" max="27" width="13.5703125" style="422" customWidth="1"/>
    <col min="28" max="29" width="11.42578125" style="422" customWidth="1"/>
    <col min="30" max="30" width="10" style="422" customWidth="1"/>
    <col min="31" max="31" width="5.7109375" style="422" customWidth="1"/>
    <col min="32" max="32" width="15" style="422" customWidth="1"/>
    <col min="33" max="33" width="7.28515625" style="422" customWidth="1"/>
    <col min="34" max="34" width="5.5703125" style="422" customWidth="1"/>
    <col min="35" max="35" width="6" style="422" customWidth="1"/>
    <col min="36" max="36" width="9.28515625" style="422" customWidth="1"/>
    <col min="37" max="37" width="7.5703125" style="422" customWidth="1"/>
    <col min="38" max="38" width="8" style="422" customWidth="1"/>
    <col min="39" max="39" width="10.140625" style="422" customWidth="1"/>
    <col min="40" max="42" width="11.42578125" style="422" customWidth="1"/>
    <col min="43" max="43" width="3.5703125" style="422" customWidth="1"/>
    <col min="44" max="44" width="15" style="422" customWidth="1"/>
    <col min="45" max="45" width="15.85546875" style="422" customWidth="1"/>
    <col min="46" max="46" width="1.140625" style="491" customWidth="1"/>
    <col min="47" max="47" width="4.140625" style="422" customWidth="1"/>
    <col min="48" max="48" width="13" style="422" bestFit="1" customWidth="1"/>
    <col min="49" max="52" width="11.42578125" style="422"/>
    <col min="53" max="53" width="14.7109375" style="422" customWidth="1"/>
    <col min="54" max="54" width="12.85546875" style="422" customWidth="1"/>
    <col min="55" max="55" width="15.28515625" style="422" bestFit="1" customWidth="1"/>
    <col min="56" max="56" width="13.5703125" style="422" bestFit="1" customWidth="1"/>
    <col min="57" max="58" width="11.42578125" style="422"/>
    <col min="59" max="59" width="13" style="422" bestFit="1" customWidth="1"/>
    <col min="60" max="16384" width="11.42578125" style="422"/>
  </cols>
  <sheetData>
    <row r="1" spans="1:56" ht="48" x14ac:dyDescent="0.2">
      <c r="B1" s="423" t="s">
        <v>202</v>
      </c>
      <c r="C1" s="424" t="s">
        <v>198</v>
      </c>
      <c r="D1" s="424" t="s">
        <v>199</v>
      </c>
      <c r="E1" s="425" t="s">
        <v>200</v>
      </c>
      <c r="F1" s="425" t="s">
        <v>14</v>
      </c>
      <c r="G1" s="425" t="s">
        <v>201</v>
      </c>
      <c r="H1" s="424" t="s">
        <v>198</v>
      </c>
      <c r="I1" s="424" t="s">
        <v>199</v>
      </c>
      <c r="J1" s="425" t="s">
        <v>200</v>
      </c>
      <c r="K1" s="425" t="s">
        <v>14</v>
      </c>
      <c r="L1" s="425" t="s">
        <v>201</v>
      </c>
      <c r="M1" s="425" t="s">
        <v>109</v>
      </c>
      <c r="N1" s="425" t="s">
        <v>217</v>
      </c>
      <c r="O1" s="1746" t="s">
        <v>271</v>
      </c>
      <c r="P1" s="426" t="s">
        <v>223</v>
      </c>
      <c r="Q1" s="427" t="s">
        <v>256</v>
      </c>
      <c r="R1" s="427" t="s">
        <v>257</v>
      </c>
      <c r="S1" s="427" t="s">
        <v>258</v>
      </c>
      <c r="T1" s="427" t="s">
        <v>259</v>
      </c>
      <c r="U1" s="427" t="s">
        <v>260</v>
      </c>
      <c r="V1" s="427" t="s">
        <v>261</v>
      </c>
      <c r="W1" s="427" t="s">
        <v>262</v>
      </c>
      <c r="X1" s="427" t="s">
        <v>263</v>
      </c>
      <c r="Y1" s="427" t="s">
        <v>264</v>
      </c>
      <c r="Z1" s="427" t="s">
        <v>265</v>
      </c>
      <c r="AA1" s="427" t="s">
        <v>266</v>
      </c>
      <c r="AB1" s="428" t="s">
        <v>267</v>
      </c>
      <c r="AC1" s="427" t="s">
        <v>268</v>
      </c>
      <c r="AD1" s="427" t="s">
        <v>269</v>
      </c>
      <c r="AE1" s="1755" t="s">
        <v>331</v>
      </c>
      <c r="AF1" s="429" t="s">
        <v>223</v>
      </c>
      <c r="AG1" s="430" t="s">
        <v>273</v>
      </c>
      <c r="AH1" s="431" t="s">
        <v>274</v>
      </c>
      <c r="AI1" s="430" t="s">
        <v>275</v>
      </c>
      <c r="AJ1" s="430" t="s">
        <v>276</v>
      </c>
      <c r="AK1" s="431" t="s">
        <v>277</v>
      </c>
      <c r="AL1" s="431" t="s">
        <v>278</v>
      </c>
      <c r="AM1" s="430" t="s">
        <v>279</v>
      </c>
      <c r="AN1" s="430" t="s">
        <v>280</v>
      </c>
      <c r="AO1" s="430" t="s">
        <v>281</v>
      </c>
      <c r="AP1" s="430" t="s">
        <v>282</v>
      </c>
      <c r="AQ1" s="1759" t="s">
        <v>332</v>
      </c>
      <c r="AR1" s="432" t="s">
        <v>223</v>
      </c>
      <c r="AS1" s="432" t="s">
        <v>339</v>
      </c>
      <c r="AT1" s="433"/>
      <c r="BA1" s="434"/>
      <c r="BB1" s="434"/>
      <c r="BC1" s="435" t="s">
        <v>389</v>
      </c>
      <c r="BD1" s="436" t="s">
        <v>229</v>
      </c>
    </row>
    <row r="2" spans="1:56" x14ac:dyDescent="0.2">
      <c r="A2" s="1742" t="s">
        <v>220</v>
      </c>
      <c r="B2" s="437">
        <v>283</v>
      </c>
      <c r="C2" s="438" t="s">
        <v>209</v>
      </c>
      <c r="D2" s="438" t="s">
        <v>9</v>
      </c>
      <c r="E2" s="438" t="s">
        <v>11</v>
      </c>
      <c r="F2" s="438" t="s">
        <v>21</v>
      </c>
      <c r="G2" s="438" t="s">
        <v>22</v>
      </c>
      <c r="H2" s="438">
        <v>1</v>
      </c>
      <c r="I2" s="438">
        <v>1</v>
      </c>
      <c r="J2" s="438">
        <v>1</v>
      </c>
      <c r="K2" s="438">
        <v>1</v>
      </c>
      <c r="L2" s="438">
        <v>1</v>
      </c>
      <c r="M2" s="438">
        <v>1</v>
      </c>
      <c r="N2" s="438">
        <v>1</v>
      </c>
      <c r="O2" s="1746"/>
      <c r="P2" s="439" t="str">
        <f>CONCATENATE(TEXT(H2,"00"),TEXT(I2,"00"),TEXT(J2,"00"),TEXT(K2,"00"),TEXT(L2,"00"),TEXT(M2,"00"),TEXT(N2,"00"))</f>
        <v>01010101010101</v>
      </c>
      <c r="Q2" s="756">
        <f>IF('1.Hoja_de_Cotización'!C33&lt;=40000,((ROUNDUP('1.Hoja_de_Cotización'!C44/1000,0))*2.5),(ROUNDUP('1.Hoja_de_Cotización'!C44/1000,0))*3)</f>
        <v>0</v>
      </c>
      <c r="R2" s="441"/>
      <c r="S2" s="441"/>
      <c r="T2" s="440">
        <v>10</v>
      </c>
      <c r="U2" s="440">
        <v>8</v>
      </c>
      <c r="V2" s="440">
        <v>8</v>
      </c>
      <c r="W2" s="440">
        <v>31</v>
      </c>
      <c r="X2" s="440">
        <f>IF('1.Hoja_de_Cotización'!C33&lt;=40000,IF((ROUNDUP('1.Hoja_de_Cotización'!$C$33/1000,0)*1000)*0.01,((ROUNDUP('1.Hoja_de_Cotización'!$C$33/1000,0)*1000)*0.0025)+2.5,0),ROUNDUP('1.Hoja_de_Cotización'!$C$33/1000,0)*3)</f>
        <v>0</v>
      </c>
      <c r="Y2" s="440">
        <f>IF('1.Hoja_de_Cotización'!C33&lt;=40000,21,26)</f>
        <v>21</v>
      </c>
      <c r="Z2" s="440">
        <v>8</v>
      </c>
      <c r="AA2" s="440"/>
      <c r="AB2" s="440">
        <v>25</v>
      </c>
      <c r="AC2" s="440">
        <f>IF('1.Hoja_de_Cotización'!C35&gt;0,(ROUNDUP('1.Hoja_de_Cotización'!$C$35/1000,0)*3),(ROUNDUP(Cálculos!$E$10/1000,0))*3)</f>
        <v>0</v>
      </c>
      <c r="AD2" s="440">
        <f>SUM(Q2:AC2)</f>
        <v>111</v>
      </c>
      <c r="AE2" s="1756"/>
      <c r="AF2" s="442" t="s">
        <v>341</v>
      </c>
      <c r="AG2" s="443">
        <v>13</v>
      </c>
      <c r="AH2" s="444">
        <f t="shared" ref="AH2:AH10" si="0">(AG2*$BB$17)</f>
        <v>26</v>
      </c>
      <c r="AI2" s="444">
        <v>2</v>
      </c>
      <c r="AJ2" s="444">
        <v>7</v>
      </c>
      <c r="AK2" s="444">
        <f t="shared" ref="AK2:AK10" si="1">(AG2*$BB$20)*2</f>
        <v>208</v>
      </c>
      <c r="AL2" s="444">
        <f>ROUND(((AG2-1)*0.1)*2+0.15*2,2)</f>
        <v>2.7</v>
      </c>
      <c r="AM2" s="444"/>
      <c r="AN2" s="444">
        <f>IF('1.Hoja_de_Cotización'!$R$7=5,IF($BB$2=9,0,Hoja_Cambio!$AR$32),IF($BB$2=9,0,Cálculos!$C$107))</f>
        <v>0</v>
      </c>
      <c r="AO2" s="444">
        <v>10</v>
      </c>
      <c r="AP2" s="444">
        <f>SUM(AH2:AO2)</f>
        <v>255.7</v>
      </c>
      <c r="AQ2" s="1760"/>
      <c r="AR2" s="442" t="s">
        <v>341</v>
      </c>
      <c r="AS2" s="418">
        <f>TabGtos!I55</f>
        <v>0</v>
      </c>
      <c r="AT2" s="445"/>
      <c r="BA2" s="446" t="s">
        <v>5</v>
      </c>
      <c r="BB2" s="446">
        <f>IF('1.Hoja_de_Cotización'!R7=5,Hoja_Cambio!R1,'1.Hoja_de_Cotización'!R1)</f>
        <v>3</v>
      </c>
      <c r="BC2" s="447" t="str">
        <f>CONCATENATE(TEXT(BB2,"00"),TEXT(BB3,"00"),TEXT(BB4,"00"),TEXT(BB5,"00"),TEXT(BB6,"00"),TEXT(BB7,"00"),TEXT(BB8,"00"))</f>
        <v>03020101010101</v>
      </c>
      <c r="BD2" s="448" t="e">
        <f>IF(ISBLANK(BC2),"",(VLOOKUP(BC2,combo_registro,15,FALSE)))</f>
        <v>#N/A</v>
      </c>
    </row>
    <row r="3" spans="1:56" x14ac:dyDescent="0.2">
      <c r="A3" s="1742"/>
      <c r="B3" s="437">
        <v>286</v>
      </c>
      <c r="C3" s="438" t="s">
        <v>209</v>
      </c>
      <c r="D3" s="438" t="s">
        <v>9</v>
      </c>
      <c r="E3" s="438" t="s">
        <v>11</v>
      </c>
      <c r="F3" s="438" t="s">
        <v>21</v>
      </c>
      <c r="G3" s="438" t="s">
        <v>210</v>
      </c>
      <c r="H3" s="438">
        <v>1</v>
      </c>
      <c r="I3" s="438">
        <v>1</v>
      </c>
      <c r="J3" s="438">
        <v>1</v>
      </c>
      <c r="K3" s="438">
        <v>1</v>
      </c>
      <c r="L3" s="438">
        <v>2</v>
      </c>
      <c r="M3" s="438">
        <v>1</v>
      </c>
      <c r="N3" s="438">
        <v>1</v>
      </c>
      <c r="O3" s="1746"/>
      <c r="P3" s="439" t="str">
        <f t="shared" ref="P3:P74" si="2">CONCATENATE(TEXT(H3,"00"),TEXT(I3,"00"),TEXT(J3,"00"),TEXT(K3,"00"),TEXT(L3,"00"),TEXT(M3,"00"),TEXT(N3,"00"))</f>
        <v>01010101020101</v>
      </c>
      <c r="Q3" s="440">
        <f>IF('1.Hoja_de_Cotización'!C33&lt;=40000,((ROUNDUP('1.Hoja_de_Cotización'!C44/1000,0))*2.5),(ROUNDUP('1.Hoja_de_Cotización'!C44/1000,0))*3)</f>
        <v>0</v>
      </c>
      <c r="R3" s="441"/>
      <c r="S3" s="441"/>
      <c r="T3" s="440">
        <v>10</v>
      </c>
      <c r="U3" s="440">
        <v>8</v>
      </c>
      <c r="V3" s="440">
        <v>8</v>
      </c>
      <c r="W3" s="440">
        <v>31</v>
      </c>
      <c r="X3" s="440">
        <f>IF('1.Hoja_de_Cotización'!C33&lt;=40000,IF((ROUNDUP('1.Hoja_de_Cotización'!$C$33/1000,0)*1000)*0.01,((ROUNDUP('1.Hoja_de_Cotización'!$C$33/1000,0)*1000)*0.0025)+2.5,0),ROUNDUP('1.Hoja_de_Cotización'!$C$33/1000,0)*3)</f>
        <v>0</v>
      </c>
      <c r="Y3" s="440">
        <f>IF('1.Hoja_de_Cotización'!C33&lt;=40000,21,26)</f>
        <v>21</v>
      </c>
      <c r="Z3" s="440">
        <v>8</v>
      </c>
      <c r="AA3" s="440"/>
      <c r="AB3" s="440">
        <v>25</v>
      </c>
      <c r="AC3" s="440"/>
      <c r="AD3" s="440">
        <f>SUM(Q3:AC3)</f>
        <v>111</v>
      </c>
      <c r="AE3" s="1756"/>
      <c r="AF3" s="442" t="s">
        <v>244</v>
      </c>
      <c r="AG3" s="443">
        <v>13</v>
      </c>
      <c r="AH3" s="444">
        <f t="shared" si="0"/>
        <v>26</v>
      </c>
      <c r="AI3" s="444">
        <v>2</v>
      </c>
      <c r="AJ3" s="444">
        <v>7</v>
      </c>
      <c r="AK3" s="444">
        <f t="shared" si="1"/>
        <v>208</v>
      </c>
      <c r="AL3" s="444">
        <f>ROUND(((AG3-1)*0.1)*2+0.15*2,2)</f>
        <v>2.7</v>
      </c>
      <c r="AM3" s="444"/>
      <c r="AN3" s="444">
        <f>IF('1.Hoja_de_Cotización'!$R$7=5,IF($BB$2=9,0,Hoja_Cambio!$AR$32),IF($BB$2=9,0,Cálculos!$C$107))</f>
        <v>0</v>
      </c>
      <c r="AO3" s="444">
        <v>10</v>
      </c>
      <c r="AP3" s="444">
        <f t="shared" ref="AP3:AP69" si="3">SUM(AH3:AO3)</f>
        <v>255.7</v>
      </c>
      <c r="AQ3" s="1760"/>
      <c r="AR3" s="442" t="s">
        <v>244</v>
      </c>
      <c r="AS3" s="418">
        <f>TabGtos!I55</f>
        <v>0</v>
      </c>
      <c r="AT3" s="445"/>
      <c r="BA3" s="446" t="s">
        <v>69</v>
      </c>
      <c r="BB3" s="446">
        <f>IF('1.Hoja_de_Cotización'!R7=5,Hoja_Cambio!R2,'1.Hoja_de_Cotización'!R2)</f>
        <v>2</v>
      </c>
      <c r="BC3" s="449"/>
      <c r="BD3" s="450"/>
    </row>
    <row r="4" spans="1:56" x14ac:dyDescent="0.2">
      <c r="A4" s="1742"/>
      <c r="B4" s="437">
        <v>289</v>
      </c>
      <c r="C4" s="438" t="s">
        <v>209</v>
      </c>
      <c r="D4" s="438" t="s">
        <v>17</v>
      </c>
      <c r="E4" s="438" t="s">
        <v>11</v>
      </c>
      <c r="F4" s="438" t="s">
        <v>21</v>
      </c>
      <c r="G4" s="438" t="s">
        <v>22</v>
      </c>
      <c r="H4" s="438">
        <v>1</v>
      </c>
      <c r="I4" s="438">
        <v>2</v>
      </c>
      <c r="J4" s="438">
        <v>1</v>
      </c>
      <c r="K4" s="438">
        <v>1</v>
      </c>
      <c r="L4" s="438">
        <v>1</v>
      </c>
      <c r="M4" s="438">
        <v>1</v>
      </c>
      <c r="N4" s="438">
        <v>1</v>
      </c>
      <c r="O4" s="1746"/>
      <c r="P4" s="439" t="str">
        <f t="shared" si="2"/>
        <v>01020101010101</v>
      </c>
      <c r="Q4" s="440">
        <f>ROUNDUP('1.Hoja_de_Cotización'!$C$44/1000,0)*3</f>
        <v>0</v>
      </c>
      <c r="R4" s="441"/>
      <c r="S4" s="441"/>
      <c r="T4" s="440">
        <v>10</v>
      </c>
      <c r="U4" s="440">
        <v>8</v>
      </c>
      <c r="V4" s="440">
        <v>8</v>
      </c>
      <c r="W4" s="440">
        <v>31</v>
      </c>
      <c r="X4" s="440">
        <f>ROUNDUP('1.Hoja_de_Cotización'!$C$33/1000,0)*3</f>
        <v>0</v>
      </c>
      <c r="Y4" s="440">
        <v>26</v>
      </c>
      <c r="Z4" s="440">
        <v>8</v>
      </c>
      <c r="AA4" s="440"/>
      <c r="AB4" s="440">
        <v>25</v>
      </c>
      <c r="AC4" s="440">
        <f>IF('1.Hoja_de_Cotización'!C35&gt;0,(ROUNDUP('1.Hoja_de_Cotización'!$C$35/1000,0)*3),(ROUNDUP(Cálculos!$E$10/1000,0))*3)</f>
        <v>0</v>
      </c>
      <c r="AD4" s="440">
        <f t="shared" ref="AD4:AD58" si="4">SUM(Q4:AC4)</f>
        <v>116</v>
      </c>
      <c r="AE4" s="1756"/>
      <c r="AF4" s="442" t="s">
        <v>342</v>
      </c>
      <c r="AG4" s="443">
        <v>12</v>
      </c>
      <c r="AH4" s="444">
        <f t="shared" si="0"/>
        <v>24</v>
      </c>
      <c r="AI4" s="444">
        <v>2</v>
      </c>
      <c r="AJ4" s="444">
        <v>7</v>
      </c>
      <c r="AK4" s="444">
        <f t="shared" si="1"/>
        <v>192</v>
      </c>
      <c r="AL4" s="444">
        <f t="shared" ref="AL4:AL9" si="5">ROUND(((AG4-1)*0.1)*2+0.15*2,2)</f>
        <v>2.5</v>
      </c>
      <c r="AM4" s="444"/>
      <c r="AN4" s="444">
        <f>IF('1.Hoja_de_Cotización'!$R$7=5,IF($BB$2=9,0,Hoja_Cambio!$AR$32),IF($BB$2=9,0,Cálculos!$C$107))</f>
        <v>0</v>
      </c>
      <c r="AO4" s="444">
        <v>10</v>
      </c>
      <c r="AP4" s="444">
        <f t="shared" si="3"/>
        <v>237.5</v>
      </c>
      <c r="AQ4" s="1760"/>
      <c r="AR4" s="442" t="s">
        <v>342</v>
      </c>
      <c r="AS4" s="418">
        <f>TabGtos!D2</f>
        <v>0</v>
      </c>
      <c r="AT4" s="445"/>
      <c r="BA4" s="446" t="s">
        <v>71</v>
      </c>
      <c r="BB4" s="446">
        <f>IF('1.Hoja_de_Cotización'!R7=5,Hoja_Cambio!R3,'1.Hoja_de_Cotización'!R3)</f>
        <v>1</v>
      </c>
      <c r="BC4" s="451" t="s">
        <v>388</v>
      </c>
      <c r="BD4" s="451" t="s">
        <v>390</v>
      </c>
    </row>
    <row r="5" spans="1:56" x14ac:dyDescent="0.2">
      <c r="A5" s="1742"/>
      <c r="B5" s="437">
        <v>293</v>
      </c>
      <c r="C5" s="438" t="s">
        <v>209</v>
      </c>
      <c r="D5" s="438" t="s">
        <v>17</v>
      </c>
      <c r="E5" s="438" t="s">
        <v>11</v>
      </c>
      <c r="F5" s="438" t="s">
        <v>21</v>
      </c>
      <c r="G5" s="438" t="s">
        <v>210</v>
      </c>
      <c r="H5" s="438">
        <v>1</v>
      </c>
      <c r="I5" s="438">
        <v>2</v>
      </c>
      <c r="J5" s="438">
        <v>1</v>
      </c>
      <c r="K5" s="438">
        <v>1</v>
      </c>
      <c r="L5" s="438">
        <v>2</v>
      </c>
      <c r="M5" s="438">
        <v>1</v>
      </c>
      <c r="N5" s="438">
        <v>1</v>
      </c>
      <c r="O5" s="1746"/>
      <c r="P5" s="439" t="str">
        <f t="shared" si="2"/>
        <v>01020101020101</v>
      </c>
      <c r="Q5" s="440">
        <f>ROUNDUP('1.Hoja_de_Cotización'!$C$44/1000,0)*3</f>
        <v>0</v>
      </c>
      <c r="R5" s="441"/>
      <c r="S5" s="441"/>
      <c r="T5" s="440">
        <v>10</v>
      </c>
      <c r="U5" s="440">
        <v>8</v>
      </c>
      <c r="V5" s="440">
        <v>8</v>
      </c>
      <c r="W5" s="440">
        <v>31</v>
      </c>
      <c r="X5" s="440">
        <f>ROUNDUP('1.Hoja_de_Cotización'!$C$33/1000,0)*3</f>
        <v>0</v>
      </c>
      <c r="Y5" s="440">
        <v>26</v>
      </c>
      <c r="Z5" s="440">
        <v>8</v>
      </c>
      <c r="AA5" s="440"/>
      <c r="AB5" s="440">
        <v>25</v>
      </c>
      <c r="AC5" s="440"/>
      <c r="AD5" s="440">
        <f t="shared" si="4"/>
        <v>116</v>
      </c>
      <c r="AE5" s="1756"/>
      <c r="AF5" s="442" t="s">
        <v>343</v>
      </c>
      <c r="AG5" s="443">
        <v>12</v>
      </c>
      <c r="AH5" s="444">
        <f t="shared" si="0"/>
        <v>24</v>
      </c>
      <c r="AI5" s="444">
        <v>2</v>
      </c>
      <c r="AJ5" s="444">
        <v>7</v>
      </c>
      <c r="AK5" s="444">
        <f t="shared" si="1"/>
        <v>192</v>
      </c>
      <c r="AL5" s="444">
        <f t="shared" si="5"/>
        <v>2.5</v>
      </c>
      <c r="AM5" s="444"/>
      <c r="AN5" s="444">
        <f>IF('1.Hoja_de_Cotización'!$R$7=5,IF($BB$2=9,0,Hoja_Cambio!$AR$32),IF($BB$2=9,0,Cálculos!$C$107))</f>
        <v>0</v>
      </c>
      <c r="AO5" s="444">
        <v>10</v>
      </c>
      <c r="AP5" s="444">
        <f t="shared" si="3"/>
        <v>237.5</v>
      </c>
      <c r="AQ5" s="1760"/>
      <c r="AR5" s="442" t="s">
        <v>343</v>
      </c>
      <c r="AS5" s="418">
        <f>TabGtos!D2</f>
        <v>0</v>
      </c>
      <c r="AT5" s="445"/>
      <c r="BA5" s="446" t="s">
        <v>14</v>
      </c>
      <c r="BB5" s="446">
        <f>IF('1.Hoja_de_Cotización'!R7=5,Hoja_Cambio!R4,'1.Hoja_de_Cotización'!R4)</f>
        <v>1</v>
      </c>
      <c r="BC5" s="452"/>
      <c r="BD5" s="453" t="e">
        <f>IF(ISBLANK(BC2),"",(VLOOKUP(BC2,combo_notaria,11,FALSE)))</f>
        <v>#N/A</v>
      </c>
    </row>
    <row r="6" spans="1:56" x14ac:dyDescent="0.2">
      <c r="A6" s="1742"/>
      <c r="B6" s="437">
        <v>297</v>
      </c>
      <c r="C6" s="438" t="s">
        <v>23</v>
      </c>
      <c r="D6" s="438" t="s">
        <v>17</v>
      </c>
      <c r="E6" s="438" t="s">
        <v>13</v>
      </c>
      <c r="F6" s="438" t="s">
        <v>21</v>
      </c>
      <c r="G6" s="438" t="s">
        <v>22</v>
      </c>
      <c r="H6" s="438">
        <v>3</v>
      </c>
      <c r="I6" s="438">
        <v>2</v>
      </c>
      <c r="J6" s="438">
        <v>6</v>
      </c>
      <c r="K6" s="438">
        <v>1</v>
      </c>
      <c r="L6" s="438">
        <v>1</v>
      </c>
      <c r="M6" s="438">
        <v>1</v>
      </c>
      <c r="N6" s="438">
        <v>1</v>
      </c>
      <c r="O6" s="1746"/>
      <c r="P6" s="439" t="str">
        <f t="shared" si="2"/>
        <v>03020601010101</v>
      </c>
      <c r="Q6" s="440">
        <f>ROUNDUP('1.Hoja_de_Cotización'!$C$44/1000,0)*3</f>
        <v>0</v>
      </c>
      <c r="R6" s="441"/>
      <c r="S6" s="441"/>
      <c r="T6" s="440">
        <v>10</v>
      </c>
      <c r="U6" s="440">
        <v>8</v>
      </c>
      <c r="V6" s="440">
        <v>8</v>
      </c>
      <c r="W6" s="440">
        <v>31</v>
      </c>
      <c r="X6" s="440">
        <f>ROUNDUP('1.Hoja_de_Cotización'!$C$33/1000,0)*3</f>
        <v>0</v>
      </c>
      <c r="Y6" s="440">
        <v>26</v>
      </c>
      <c r="Z6" s="440">
        <v>8</v>
      </c>
      <c r="AA6" s="440"/>
      <c r="AB6" s="440">
        <v>25</v>
      </c>
      <c r="AC6" s="440">
        <f>IF('1.Hoja_de_Cotización'!C35&gt;0,(ROUNDUP('1.Hoja_de_Cotización'!$C$35/1000,0)*3),(ROUNDUP(Cálculos!$E$10/1000,0))*3)</f>
        <v>0</v>
      </c>
      <c r="AD6" s="440">
        <f t="shared" si="4"/>
        <v>116</v>
      </c>
      <c r="AE6" s="1756"/>
      <c r="AF6" s="442" t="s">
        <v>231</v>
      </c>
      <c r="AG6" s="443">
        <v>12</v>
      </c>
      <c r="AH6" s="444">
        <f t="shared" si="0"/>
        <v>24</v>
      </c>
      <c r="AI6" s="444">
        <v>2</v>
      </c>
      <c r="AJ6" s="444">
        <v>7</v>
      </c>
      <c r="AK6" s="444">
        <f t="shared" si="1"/>
        <v>192</v>
      </c>
      <c r="AL6" s="444">
        <f t="shared" si="5"/>
        <v>2.5</v>
      </c>
      <c r="AM6" s="444"/>
      <c r="AN6" s="444">
        <f>IF('1.Hoja_de_Cotización'!$R$7=5,IF($BB$2=9,0,Hoja_Cambio!$AR$32),IF($BB$2=9,0,Cálculos!$C$107))</f>
        <v>0</v>
      </c>
      <c r="AO6" s="444">
        <v>10</v>
      </c>
      <c r="AP6" s="444">
        <f t="shared" si="3"/>
        <v>237.5</v>
      </c>
      <c r="AQ6" s="1760"/>
      <c r="AR6" s="442" t="s">
        <v>231</v>
      </c>
      <c r="AS6" s="418">
        <f>TabGtos!D2</f>
        <v>0</v>
      </c>
      <c r="AT6" s="445"/>
      <c r="BA6" s="446" t="s">
        <v>230</v>
      </c>
      <c r="BB6" s="454">
        <f>IF('1.Hoja_de_Cotización'!R7=5,Hoja_Cambio!R5,'1.Hoja_de_Cotización'!R5)</f>
        <v>1</v>
      </c>
    </row>
    <row r="7" spans="1:56" ht="24" x14ac:dyDescent="0.2">
      <c r="A7" s="1742"/>
      <c r="B7" s="437">
        <v>298</v>
      </c>
      <c r="C7" s="438" t="s">
        <v>23</v>
      </c>
      <c r="D7" s="438" t="s">
        <v>17</v>
      </c>
      <c r="E7" s="438" t="s">
        <v>13</v>
      </c>
      <c r="F7" s="438" t="s">
        <v>24</v>
      </c>
      <c r="G7" s="438" t="s">
        <v>22</v>
      </c>
      <c r="H7" s="438">
        <v>3</v>
      </c>
      <c r="I7" s="438">
        <v>2</v>
      </c>
      <c r="J7" s="438">
        <v>6</v>
      </c>
      <c r="K7" s="438">
        <v>2</v>
      </c>
      <c r="L7" s="438">
        <v>1</v>
      </c>
      <c r="M7" s="438">
        <v>1</v>
      </c>
      <c r="N7" s="438">
        <v>1</v>
      </c>
      <c r="O7" s="1746"/>
      <c r="P7" s="439" t="str">
        <f t="shared" si="2"/>
        <v>03020602010101</v>
      </c>
      <c r="Q7" s="440">
        <f>ROUNDUP('1.Hoja_de_Cotización'!$C$44/1000,0)*3</f>
        <v>0</v>
      </c>
      <c r="R7" s="441"/>
      <c r="S7" s="441"/>
      <c r="T7" s="440">
        <v>10</v>
      </c>
      <c r="U7" s="440">
        <v>8</v>
      </c>
      <c r="V7" s="440">
        <v>8</v>
      </c>
      <c r="W7" s="440">
        <v>31</v>
      </c>
      <c r="X7" s="440">
        <f>ROUNDUP('1.Hoja_de_Cotización'!$C$33/1000,0)*3</f>
        <v>0</v>
      </c>
      <c r="Y7" s="440"/>
      <c r="Z7" s="440"/>
      <c r="AA7" s="440"/>
      <c r="AB7" s="440"/>
      <c r="AC7" s="440"/>
      <c r="AD7" s="440">
        <f t="shared" si="4"/>
        <v>57</v>
      </c>
      <c r="AE7" s="1756"/>
      <c r="AF7" s="442" t="s">
        <v>233</v>
      </c>
      <c r="AG7" s="443">
        <v>12</v>
      </c>
      <c r="AH7" s="444">
        <f t="shared" si="0"/>
        <v>24</v>
      </c>
      <c r="AI7" s="444">
        <v>2</v>
      </c>
      <c r="AJ7" s="444">
        <v>7</v>
      </c>
      <c r="AK7" s="444">
        <f t="shared" si="1"/>
        <v>192</v>
      </c>
      <c r="AL7" s="444">
        <f t="shared" si="5"/>
        <v>2.5</v>
      </c>
      <c r="AM7" s="444"/>
      <c r="AN7" s="444">
        <f>IF('1.Hoja_de_Cotización'!$R$7=5,IF($BB$2=9,0,Hoja_Cambio!$AR$32),IF($BB$2=9,0,Cálculos!$C$107))</f>
        <v>0</v>
      </c>
      <c r="AO7" s="444">
        <v>10</v>
      </c>
      <c r="AP7" s="444">
        <f t="shared" si="3"/>
        <v>237.5</v>
      </c>
      <c r="AQ7" s="1760"/>
      <c r="AR7" s="442" t="s">
        <v>233</v>
      </c>
      <c r="AS7" s="418">
        <f>TabGtos!D2</f>
        <v>0</v>
      </c>
      <c r="AT7" s="445"/>
      <c r="BA7" s="455" t="s">
        <v>109</v>
      </c>
      <c r="BB7" s="455">
        <f>IF('1.Hoja_de_Cotización'!R7=5,Hoja_Cambio!R9,'1.Hoja_de_Cotización'!R9)</f>
        <v>1</v>
      </c>
      <c r="BC7" s="451" t="s">
        <v>391</v>
      </c>
      <c r="BD7" s="451" t="s">
        <v>392</v>
      </c>
    </row>
    <row r="8" spans="1:56" x14ac:dyDescent="0.2">
      <c r="A8" s="1742"/>
      <c r="B8" s="437">
        <v>299</v>
      </c>
      <c r="C8" s="438" t="s">
        <v>23</v>
      </c>
      <c r="D8" s="438" t="s">
        <v>17</v>
      </c>
      <c r="E8" s="438" t="s">
        <v>13</v>
      </c>
      <c r="F8" s="438" t="s">
        <v>21</v>
      </c>
      <c r="G8" s="438" t="s">
        <v>210</v>
      </c>
      <c r="H8" s="438">
        <v>3</v>
      </c>
      <c r="I8" s="438">
        <v>2</v>
      </c>
      <c r="J8" s="438">
        <v>6</v>
      </c>
      <c r="K8" s="438">
        <v>1</v>
      </c>
      <c r="L8" s="438">
        <v>2</v>
      </c>
      <c r="M8" s="438">
        <v>1</v>
      </c>
      <c r="N8" s="438">
        <v>1</v>
      </c>
      <c r="O8" s="1746"/>
      <c r="P8" s="439" t="str">
        <f t="shared" si="2"/>
        <v>03020601020101</v>
      </c>
      <c r="Q8" s="440">
        <f>ROUNDUP('1.Hoja_de_Cotización'!$C$44/1000,0)*3</f>
        <v>0</v>
      </c>
      <c r="R8" s="441"/>
      <c r="S8" s="441"/>
      <c r="T8" s="440">
        <v>10</v>
      </c>
      <c r="U8" s="440">
        <v>8</v>
      </c>
      <c r="V8" s="440">
        <v>8</v>
      </c>
      <c r="W8" s="440">
        <v>31</v>
      </c>
      <c r="X8" s="440">
        <f>ROUNDUP('1.Hoja_de_Cotización'!$C$33/1000,0)*3</f>
        <v>0</v>
      </c>
      <c r="Y8" s="440">
        <v>26</v>
      </c>
      <c r="Z8" s="440">
        <v>8</v>
      </c>
      <c r="AA8" s="440"/>
      <c r="AB8" s="440">
        <v>25</v>
      </c>
      <c r="AC8" s="440"/>
      <c r="AD8" s="440">
        <f t="shared" si="4"/>
        <v>116</v>
      </c>
      <c r="AE8" s="1756"/>
      <c r="AF8" s="442" t="s">
        <v>232</v>
      </c>
      <c r="AG8" s="443">
        <v>12</v>
      </c>
      <c r="AH8" s="444">
        <f t="shared" si="0"/>
        <v>24</v>
      </c>
      <c r="AI8" s="444">
        <v>2</v>
      </c>
      <c r="AJ8" s="444">
        <v>7</v>
      </c>
      <c r="AK8" s="444">
        <f t="shared" si="1"/>
        <v>192</v>
      </c>
      <c r="AL8" s="444">
        <f t="shared" si="5"/>
        <v>2.5</v>
      </c>
      <c r="AM8" s="444"/>
      <c r="AN8" s="444">
        <f>IF('1.Hoja_de_Cotización'!$R$7=5,IF($BB$2=9,0,Hoja_Cambio!$AR$32),IF($BB$2=9,0,Cálculos!$C$107))</f>
        <v>0</v>
      </c>
      <c r="AO8" s="444">
        <v>10</v>
      </c>
      <c r="AP8" s="444">
        <f t="shared" si="3"/>
        <v>237.5</v>
      </c>
      <c r="AQ8" s="1760"/>
      <c r="AR8" s="442" t="s">
        <v>232</v>
      </c>
      <c r="AS8" s="418">
        <f>TabGtos!D2</f>
        <v>0</v>
      </c>
      <c r="AT8" s="445"/>
      <c r="BA8" s="446" t="s">
        <v>217</v>
      </c>
      <c r="BB8" s="446">
        <f>IF('1.Hoja_de_Cotización'!R7=5,IF(ISBLANK(Hoja_Cambio!H89),"",VLOOKUP(Hoja_Cambio!H89,combo_fideicomiso,2,FALSE)),IF(ISBLANK('1.Hoja_de_Cotización'!H94),"",VLOOKUP('1.Hoja_de_Cotización'!H94,combo_fideicomiso,2,FALSE)))</f>
        <v>1</v>
      </c>
      <c r="BC8" s="452"/>
      <c r="BD8" s="453" t="e">
        <f>IF(ISBLANK(BC2),"",(VLOOKUP(BC2,combo_servicios_Legales,2,FALSE)))</f>
        <v>#N/A</v>
      </c>
    </row>
    <row r="9" spans="1:56" x14ac:dyDescent="0.2">
      <c r="A9" s="1742"/>
      <c r="B9" s="437">
        <v>300</v>
      </c>
      <c r="C9" s="438" t="s">
        <v>23</v>
      </c>
      <c r="D9" s="438" t="s">
        <v>17</v>
      </c>
      <c r="E9" s="438" t="s">
        <v>13</v>
      </c>
      <c r="F9" s="438" t="s">
        <v>24</v>
      </c>
      <c r="G9" s="438" t="s">
        <v>210</v>
      </c>
      <c r="H9" s="438">
        <v>3</v>
      </c>
      <c r="I9" s="438">
        <v>2</v>
      </c>
      <c r="J9" s="438">
        <v>6</v>
      </c>
      <c r="K9" s="438">
        <v>2</v>
      </c>
      <c r="L9" s="438">
        <v>2</v>
      </c>
      <c r="M9" s="438">
        <v>1</v>
      </c>
      <c r="N9" s="438">
        <v>1</v>
      </c>
      <c r="O9" s="1746"/>
      <c r="P9" s="439" t="str">
        <f t="shared" si="2"/>
        <v>03020602020101</v>
      </c>
      <c r="Q9" s="440">
        <f>ROUNDUP('1.Hoja_de_Cotización'!$C$44/1000,0)*3</f>
        <v>0</v>
      </c>
      <c r="R9" s="441"/>
      <c r="S9" s="441"/>
      <c r="T9" s="440">
        <v>10</v>
      </c>
      <c r="U9" s="440">
        <v>8</v>
      </c>
      <c r="V9" s="440">
        <v>8</v>
      </c>
      <c r="W9" s="440">
        <v>31</v>
      </c>
      <c r="X9" s="440">
        <f>ROUNDUP('1.Hoja_de_Cotización'!$C$33/1000,0)*3</f>
        <v>0</v>
      </c>
      <c r="Y9" s="440"/>
      <c r="Z9" s="440"/>
      <c r="AA9" s="440"/>
      <c r="AB9" s="440"/>
      <c r="AC9" s="440"/>
      <c r="AD9" s="440">
        <f t="shared" si="4"/>
        <v>57</v>
      </c>
      <c r="AE9" s="1756"/>
      <c r="AF9" s="442" t="s">
        <v>234</v>
      </c>
      <c r="AG9" s="443">
        <v>12</v>
      </c>
      <c r="AH9" s="444">
        <f t="shared" si="0"/>
        <v>24</v>
      </c>
      <c r="AI9" s="444">
        <v>2</v>
      </c>
      <c r="AJ9" s="444">
        <v>7</v>
      </c>
      <c r="AK9" s="444">
        <f t="shared" si="1"/>
        <v>192</v>
      </c>
      <c r="AL9" s="444">
        <f t="shared" si="5"/>
        <v>2.5</v>
      </c>
      <c r="AM9" s="444"/>
      <c r="AN9" s="444">
        <f>IF('1.Hoja_de_Cotización'!$R$7=5,IF($BB$2=9,0,Hoja_Cambio!$AR$32),IF($BB$2=9,0,Cálculos!$C$107))</f>
        <v>0</v>
      </c>
      <c r="AO9" s="444">
        <v>10</v>
      </c>
      <c r="AP9" s="444">
        <f t="shared" si="3"/>
        <v>237.5</v>
      </c>
      <c r="AQ9" s="1760"/>
      <c r="AR9" s="442" t="s">
        <v>234</v>
      </c>
      <c r="AS9" s="418">
        <f>TabGtos!D2</f>
        <v>0</v>
      </c>
      <c r="AT9" s="445"/>
      <c r="BA9" s="455"/>
      <c r="BB9" s="455"/>
      <c r="BC9" s="456"/>
      <c r="BD9" s="457"/>
    </row>
    <row r="10" spans="1:56" x14ac:dyDescent="0.2">
      <c r="A10" s="1742"/>
      <c r="B10" s="437">
        <v>301</v>
      </c>
      <c r="C10" s="438" t="s">
        <v>211</v>
      </c>
      <c r="D10" s="438" t="s">
        <v>17</v>
      </c>
      <c r="E10" s="438" t="s">
        <v>11</v>
      </c>
      <c r="F10" s="438" t="s">
        <v>24</v>
      </c>
      <c r="G10" s="438" t="s">
        <v>22</v>
      </c>
      <c r="H10" s="438">
        <v>1</v>
      </c>
      <c r="I10" s="438">
        <v>2</v>
      </c>
      <c r="J10" s="438">
        <v>1</v>
      </c>
      <c r="K10" s="438">
        <v>2</v>
      </c>
      <c r="L10" s="438">
        <v>1</v>
      </c>
      <c r="M10" s="438">
        <v>1</v>
      </c>
      <c r="N10" s="438">
        <v>1</v>
      </c>
      <c r="O10" s="1746"/>
      <c r="P10" s="439" t="str">
        <f t="shared" si="2"/>
        <v>01020102010101</v>
      </c>
      <c r="Q10" s="440">
        <f>ROUNDUP('1.Hoja_de_Cotización'!$C$44/1000,0)*3</f>
        <v>0</v>
      </c>
      <c r="R10" s="441"/>
      <c r="S10" s="441"/>
      <c r="T10" s="440">
        <v>10</v>
      </c>
      <c r="U10" s="440">
        <v>8</v>
      </c>
      <c r="V10" s="440">
        <v>8</v>
      </c>
      <c r="W10" s="440">
        <v>31</v>
      </c>
      <c r="X10" s="440">
        <f>ROUNDUP('1.Hoja_de_Cotización'!$C$33/1000,0)*3</f>
        <v>0</v>
      </c>
      <c r="Y10" s="440"/>
      <c r="Z10" s="440"/>
      <c r="AA10" s="440"/>
      <c r="AB10" s="440"/>
      <c r="AC10" s="440"/>
      <c r="AD10" s="440">
        <f t="shared" si="4"/>
        <v>57</v>
      </c>
      <c r="AE10" s="1756"/>
      <c r="AF10" s="442" t="s">
        <v>344</v>
      </c>
      <c r="AG10" s="443">
        <v>12</v>
      </c>
      <c r="AH10" s="444">
        <f t="shared" si="0"/>
        <v>24</v>
      </c>
      <c r="AI10" s="444">
        <v>2</v>
      </c>
      <c r="AJ10" s="444">
        <v>7</v>
      </c>
      <c r="AK10" s="444">
        <f t="shared" si="1"/>
        <v>192</v>
      </c>
      <c r="AL10" s="444">
        <f>ROUND(((AG10-1)*0.1)*2+0.15*2,2)</f>
        <v>2.5</v>
      </c>
      <c r="AM10" s="444"/>
      <c r="AN10" s="444">
        <f>IF('1.Hoja_de_Cotización'!$R$7=5,IF($BB$2=9,0,Hoja_Cambio!$AR$32),IF($BB$2=9,0,Cálculos!$C$107))</f>
        <v>0</v>
      </c>
      <c r="AO10" s="444">
        <v>10</v>
      </c>
      <c r="AP10" s="444">
        <f t="shared" si="3"/>
        <v>237.5</v>
      </c>
      <c r="AQ10" s="1760"/>
      <c r="AR10" s="442" t="s">
        <v>344</v>
      </c>
      <c r="AS10" s="418">
        <f>TabGtos!D2</f>
        <v>0</v>
      </c>
      <c r="AT10" s="445"/>
      <c r="BA10" s="446"/>
      <c r="BB10" s="446"/>
      <c r="BC10" s="458" t="s">
        <v>393</v>
      </c>
      <c r="BD10" s="459" t="s">
        <v>394</v>
      </c>
    </row>
    <row r="11" spans="1:56" x14ac:dyDescent="0.2">
      <c r="A11" s="1742"/>
      <c r="B11" s="437">
        <v>304</v>
      </c>
      <c r="C11" s="460" t="s">
        <v>23</v>
      </c>
      <c r="D11" s="460" t="s">
        <v>17</v>
      </c>
      <c r="E11" s="460" t="s">
        <v>11</v>
      </c>
      <c r="F11" s="460" t="s">
        <v>24</v>
      </c>
      <c r="G11" s="460" t="s">
        <v>210</v>
      </c>
      <c r="H11" s="460">
        <v>3</v>
      </c>
      <c r="I11" s="460">
        <v>2</v>
      </c>
      <c r="J11" s="460">
        <v>1</v>
      </c>
      <c r="K11" s="460">
        <v>2</v>
      </c>
      <c r="L11" s="460">
        <v>2</v>
      </c>
      <c r="M11" s="438">
        <v>1</v>
      </c>
      <c r="N11" s="460">
        <v>1</v>
      </c>
      <c r="O11" s="1746"/>
      <c r="P11" s="439" t="str">
        <f t="shared" si="2"/>
        <v>03020102020101</v>
      </c>
      <c r="Q11" s="461"/>
      <c r="R11" s="460"/>
      <c r="S11" s="460"/>
      <c r="T11" s="461"/>
      <c r="U11" s="461"/>
      <c r="V11" s="461"/>
      <c r="W11" s="461"/>
      <c r="X11" s="461"/>
      <c r="Y11" s="461"/>
      <c r="Z11" s="461"/>
      <c r="AA11" s="461"/>
      <c r="AB11" s="461"/>
      <c r="AC11" s="461"/>
      <c r="AD11" s="461">
        <f t="shared" si="4"/>
        <v>0</v>
      </c>
      <c r="AE11" s="1756"/>
      <c r="AF11" s="460" t="s">
        <v>345</v>
      </c>
      <c r="AG11" s="461"/>
      <c r="AH11" s="461"/>
      <c r="AI11" s="461"/>
      <c r="AJ11" s="461"/>
      <c r="AK11" s="461"/>
      <c r="AL11" s="461"/>
      <c r="AM11" s="461"/>
      <c r="AN11" s="461"/>
      <c r="AO11" s="461"/>
      <c r="AP11" s="461">
        <f t="shared" si="3"/>
        <v>0</v>
      </c>
      <c r="AQ11" s="1760"/>
      <c r="AR11" s="460" t="s">
        <v>345</v>
      </c>
      <c r="AS11" s="461">
        <f>TabGtos!D2</f>
        <v>0</v>
      </c>
      <c r="AT11" s="445"/>
      <c r="BC11" s="458"/>
      <c r="BD11" s="459" t="e">
        <f>IF(ISBLANK(BC2),"",(VLOOKUP(BC2,combo_serv_Fideicomiso,2,FALSE)))</f>
        <v>#N/A</v>
      </c>
    </row>
    <row r="12" spans="1:56" x14ac:dyDescent="0.2">
      <c r="A12" s="1742"/>
      <c r="B12" s="437">
        <v>307</v>
      </c>
      <c r="C12" s="438" t="s">
        <v>212</v>
      </c>
      <c r="D12" s="438" t="s">
        <v>9</v>
      </c>
      <c r="E12" s="438" t="s">
        <v>18</v>
      </c>
      <c r="F12" s="438" t="s">
        <v>24</v>
      </c>
      <c r="G12" s="438" t="s">
        <v>22</v>
      </c>
      <c r="H12" s="438">
        <v>1</v>
      </c>
      <c r="I12" s="438">
        <v>1</v>
      </c>
      <c r="J12" s="438">
        <v>2</v>
      </c>
      <c r="K12" s="438">
        <v>2</v>
      </c>
      <c r="L12" s="438">
        <v>1</v>
      </c>
      <c r="M12" s="438">
        <v>1</v>
      </c>
      <c r="N12" s="438">
        <v>1</v>
      </c>
      <c r="O12" s="1746"/>
      <c r="P12" s="439" t="str">
        <f t="shared" si="2"/>
        <v>01010202010101</v>
      </c>
      <c r="Q12" s="440">
        <f>ROUNDUP('1.Hoja_de_Cotización'!$C$44/1000,0)*3</f>
        <v>0</v>
      </c>
      <c r="R12" s="441"/>
      <c r="S12" s="441"/>
      <c r="T12" s="440">
        <v>10</v>
      </c>
      <c r="U12" s="440">
        <v>8</v>
      </c>
      <c r="V12" s="440">
        <v>8</v>
      </c>
      <c r="W12" s="440"/>
      <c r="X12" s="440">
        <f>ROUNDUP('1.Hoja_de_Cotización'!$C$33/1000,0)*3</f>
        <v>0</v>
      </c>
      <c r="Y12" s="440"/>
      <c r="Z12" s="440"/>
      <c r="AA12" s="440"/>
      <c r="AB12" s="440"/>
      <c r="AC12" s="440"/>
      <c r="AD12" s="440">
        <f t="shared" si="4"/>
        <v>26</v>
      </c>
      <c r="AE12" s="1756"/>
      <c r="AF12" s="442" t="s">
        <v>346</v>
      </c>
      <c r="AG12" s="443">
        <v>13</v>
      </c>
      <c r="AH12" s="444">
        <f t="shared" ref="AH12:AH58" si="6">(AG12*$BB$17)</f>
        <v>26</v>
      </c>
      <c r="AI12" s="444">
        <v>2</v>
      </c>
      <c r="AJ12" s="444">
        <v>7</v>
      </c>
      <c r="AK12" s="444">
        <f t="shared" ref="AK12:AK58" si="7">(AG12*$BB$20)*2</f>
        <v>208</v>
      </c>
      <c r="AL12" s="444">
        <f t="shared" ref="AL12:AL18" si="8">ROUND(((AG12-1)*0.1)*2+0.15*2,2)</f>
        <v>2.7</v>
      </c>
      <c r="AM12" s="444"/>
      <c r="AN12" s="444">
        <f>IF('1.Hoja_de_Cotización'!$R$7=5,IF($BB$2=9,0,Hoja_Cambio!$AR$32),IF($BB$2=9,0,Cálculos!$C$107))</f>
        <v>0</v>
      </c>
      <c r="AO12" s="444">
        <v>10</v>
      </c>
      <c r="AP12" s="444">
        <f t="shared" si="3"/>
        <v>255.7</v>
      </c>
      <c r="AQ12" s="1760"/>
      <c r="AR12" s="442" t="s">
        <v>346</v>
      </c>
      <c r="AS12" s="418">
        <f>TabGtos!I25</f>
        <v>0</v>
      </c>
      <c r="AT12" s="445"/>
    </row>
    <row r="13" spans="1:56" x14ac:dyDescent="0.2">
      <c r="A13" s="1742"/>
      <c r="B13" s="437">
        <v>310</v>
      </c>
      <c r="C13" s="438" t="s">
        <v>212</v>
      </c>
      <c r="D13" s="438" t="s">
        <v>9</v>
      </c>
      <c r="E13" s="438" t="s">
        <v>18</v>
      </c>
      <c r="F13" s="438" t="s">
        <v>24</v>
      </c>
      <c r="G13" s="438" t="s">
        <v>210</v>
      </c>
      <c r="H13" s="438">
        <v>1</v>
      </c>
      <c r="I13" s="438">
        <v>1</v>
      </c>
      <c r="J13" s="438">
        <v>2</v>
      </c>
      <c r="K13" s="438">
        <v>2</v>
      </c>
      <c r="L13" s="438">
        <v>2</v>
      </c>
      <c r="M13" s="438">
        <v>1</v>
      </c>
      <c r="N13" s="438">
        <v>1</v>
      </c>
      <c r="O13" s="1746"/>
      <c r="P13" s="439" t="str">
        <f t="shared" si="2"/>
        <v>01010202020101</v>
      </c>
      <c r="Q13" s="440">
        <f>ROUNDUP('1.Hoja_de_Cotización'!$C$44/1000,0)*3</f>
        <v>0</v>
      </c>
      <c r="R13" s="441"/>
      <c r="S13" s="441"/>
      <c r="T13" s="440">
        <v>10</v>
      </c>
      <c r="U13" s="440">
        <v>8</v>
      </c>
      <c r="V13" s="440">
        <v>8</v>
      </c>
      <c r="W13" s="440"/>
      <c r="X13" s="440">
        <f>ROUNDUP('1.Hoja_de_Cotización'!$C$33/1000,0)*3</f>
        <v>0</v>
      </c>
      <c r="Y13" s="440"/>
      <c r="Z13" s="440"/>
      <c r="AA13" s="440"/>
      <c r="AB13" s="440"/>
      <c r="AC13" s="440"/>
      <c r="AD13" s="440">
        <f t="shared" si="4"/>
        <v>26</v>
      </c>
      <c r="AE13" s="1756"/>
      <c r="AF13" s="442" t="s">
        <v>347</v>
      </c>
      <c r="AG13" s="443">
        <v>13</v>
      </c>
      <c r="AH13" s="444">
        <f t="shared" si="6"/>
        <v>26</v>
      </c>
      <c r="AI13" s="444">
        <v>2</v>
      </c>
      <c r="AJ13" s="444">
        <v>7</v>
      </c>
      <c r="AK13" s="444">
        <f t="shared" si="7"/>
        <v>208</v>
      </c>
      <c r="AL13" s="444">
        <f t="shared" si="8"/>
        <v>2.7</v>
      </c>
      <c r="AM13" s="444"/>
      <c r="AN13" s="444">
        <f>IF('1.Hoja_de_Cotización'!$R$7=5,IF($BB$2=9,0,Hoja_Cambio!$AR$32),IF($BB$2=9,0,Cálculos!$C$107))</f>
        <v>0</v>
      </c>
      <c r="AO13" s="444">
        <v>10</v>
      </c>
      <c r="AP13" s="444">
        <f t="shared" si="3"/>
        <v>255.7</v>
      </c>
      <c r="AQ13" s="1760"/>
      <c r="AR13" s="442" t="s">
        <v>347</v>
      </c>
      <c r="AS13" s="418">
        <f>TabGtos!I25</f>
        <v>0</v>
      </c>
      <c r="AT13" s="445"/>
    </row>
    <row r="14" spans="1:56" x14ac:dyDescent="0.2">
      <c r="A14" s="1742"/>
      <c r="B14" s="437">
        <v>312</v>
      </c>
      <c r="C14" s="438" t="s">
        <v>212</v>
      </c>
      <c r="D14" s="438" t="s">
        <v>17</v>
      </c>
      <c r="E14" s="438" t="s">
        <v>18</v>
      </c>
      <c r="F14" s="438" t="s">
        <v>24</v>
      </c>
      <c r="G14" s="438" t="s">
        <v>22</v>
      </c>
      <c r="H14" s="438">
        <v>1</v>
      </c>
      <c r="I14" s="438">
        <v>2</v>
      </c>
      <c r="J14" s="438">
        <v>2</v>
      </c>
      <c r="K14" s="438">
        <v>2</v>
      </c>
      <c r="L14" s="438">
        <v>1</v>
      </c>
      <c r="M14" s="438">
        <v>1</v>
      </c>
      <c r="N14" s="438">
        <v>1</v>
      </c>
      <c r="O14" s="1746"/>
      <c r="P14" s="439" t="str">
        <f t="shared" si="2"/>
        <v>01020202010101</v>
      </c>
      <c r="Q14" s="440">
        <f>ROUNDUP('1.Hoja_de_Cotización'!$C$44/1000,0)*3</f>
        <v>0</v>
      </c>
      <c r="R14" s="441"/>
      <c r="S14" s="441"/>
      <c r="T14" s="440">
        <v>10</v>
      </c>
      <c r="U14" s="440">
        <v>8</v>
      </c>
      <c r="V14" s="440">
        <v>8</v>
      </c>
      <c r="W14" s="440"/>
      <c r="X14" s="440">
        <f>ROUNDUP('1.Hoja_de_Cotización'!$C$33/1000,0)*3</f>
        <v>0</v>
      </c>
      <c r="Y14" s="440"/>
      <c r="Z14" s="440"/>
      <c r="AA14" s="440"/>
      <c r="AB14" s="440"/>
      <c r="AC14" s="440"/>
      <c r="AD14" s="440">
        <f t="shared" si="4"/>
        <v>26</v>
      </c>
      <c r="AE14" s="1756"/>
      <c r="AF14" s="442" t="s">
        <v>348</v>
      </c>
      <c r="AG14" s="462">
        <v>10</v>
      </c>
      <c r="AH14" s="444">
        <f t="shared" si="6"/>
        <v>20</v>
      </c>
      <c r="AI14" s="444">
        <v>2</v>
      </c>
      <c r="AJ14" s="444">
        <v>7</v>
      </c>
      <c r="AK14" s="444">
        <f t="shared" si="7"/>
        <v>160</v>
      </c>
      <c r="AL14" s="444">
        <f t="shared" si="8"/>
        <v>2.1</v>
      </c>
      <c r="AM14" s="444"/>
      <c r="AN14" s="444">
        <f>IF('1.Hoja_de_Cotización'!$R$7=5,IF($BB$2=9,0,Hoja_Cambio!$AR$32),IF($BB$2=9,0,Cálculos!$C$107))</f>
        <v>0</v>
      </c>
      <c r="AO14" s="444">
        <v>10</v>
      </c>
      <c r="AP14" s="444">
        <f t="shared" si="3"/>
        <v>201.1</v>
      </c>
      <c r="AQ14" s="1760"/>
      <c r="AR14" s="442" t="s">
        <v>348</v>
      </c>
      <c r="AS14" s="418">
        <f>TabGtos!D47</f>
        <v>0</v>
      </c>
      <c r="AT14" s="445"/>
    </row>
    <row r="15" spans="1:56" x14ac:dyDescent="0.2">
      <c r="A15" s="1742"/>
      <c r="B15" s="437">
        <v>315</v>
      </c>
      <c r="C15" s="438" t="s">
        <v>212</v>
      </c>
      <c r="D15" s="438" t="s">
        <v>17</v>
      </c>
      <c r="E15" s="438" t="s">
        <v>18</v>
      </c>
      <c r="F15" s="438" t="s">
        <v>24</v>
      </c>
      <c r="G15" s="438" t="s">
        <v>210</v>
      </c>
      <c r="H15" s="438">
        <v>1</v>
      </c>
      <c r="I15" s="438">
        <v>2</v>
      </c>
      <c r="J15" s="438">
        <v>2</v>
      </c>
      <c r="K15" s="438">
        <v>2</v>
      </c>
      <c r="L15" s="438">
        <v>2</v>
      </c>
      <c r="M15" s="438">
        <v>1</v>
      </c>
      <c r="N15" s="438">
        <v>1</v>
      </c>
      <c r="O15" s="1746"/>
      <c r="P15" s="439" t="str">
        <f t="shared" si="2"/>
        <v>01020202020101</v>
      </c>
      <c r="Q15" s="440">
        <f>ROUNDUP('1.Hoja_de_Cotización'!$C$44/1000,0)*3</f>
        <v>0</v>
      </c>
      <c r="R15" s="441"/>
      <c r="S15" s="441"/>
      <c r="T15" s="440">
        <v>10</v>
      </c>
      <c r="U15" s="440">
        <v>8</v>
      </c>
      <c r="V15" s="440">
        <v>8</v>
      </c>
      <c r="W15" s="440"/>
      <c r="X15" s="440">
        <f>ROUNDUP('1.Hoja_de_Cotización'!$C$33/1000,0)*3</f>
        <v>0</v>
      </c>
      <c r="Y15" s="440"/>
      <c r="Z15" s="440"/>
      <c r="AA15" s="440"/>
      <c r="AB15" s="440"/>
      <c r="AC15" s="440"/>
      <c r="AD15" s="440">
        <f t="shared" si="4"/>
        <v>26</v>
      </c>
      <c r="AE15" s="1756"/>
      <c r="AF15" s="442" t="s">
        <v>349</v>
      </c>
      <c r="AG15" s="462">
        <v>10</v>
      </c>
      <c r="AH15" s="444">
        <f t="shared" si="6"/>
        <v>20</v>
      </c>
      <c r="AI15" s="444">
        <v>2</v>
      </c>
      <c r="AJ15" s="444">
        <v>7</v>
      </c>
      <c r="AK15" s="444">
        <f t="shared" si="7"/>
        <v>160</v>
      </c>
      <c r="AL15" s="444">
        <f t="shared" si="8"/>
        <v>2.1</v>
      </c>
      <c r="AM15" s="444"/>
      <c r="AN15" s="444">
        <f>IF('1.Hoja_de_Cotización'!$R$7=5,IF($BB$2=9,0,Hoja_Cambio!$AR$32),IF($BB$2=9,0,Cálculos!$C$107))</f>
        <v>0</v>
      </c>
      <c r="AO15" s="444">
        <v>10</v>
      </c>
      <c r="AP15" s="444">
        <f t="shared" si="3"/>
        <v>201.1</v>
      </c>
      <c r="AQ15" s="1760"/>
      <c r="AR15" s="442" t="s">
        <v>349</v>
      </c>
      <c r="AS15" s="418">
        <f>TabGtos!D47</f>
        <v>0</v>
      </c>
      <c r="AT15" s="445"/>
      <c r="BA15" s="1754" t="s">
        <v>292</v>
      </c>
      <c r="BB15" s="1754"/>
      <c r="BC15" s="1754"/>
    </row>
    <row r="16" spans="1:56" x14ac:dyDescent="0.2">
      <c r="A16" s="1742"/>
      <c r="B16" s="437">
        <v>318</v>
      </c>
      <c r="C16" s="438" t="s">
        <v>26</v>
      </c>
      <c r="D16" s="438" t="s">
        <v>17</v>
      </c>
      <c r="E16" s="438" t="s">
        <v>11</v>
      </c>
      <c r="F16" s="438" t="s">
        <v>24</v>
      </c>
      <c r="G16" s="438" t="s">
        <v>22</v>
      </c>
      <c r="H16" s="438">
        <v>4</v>
      </c>
      <c r="I16" s="438">
        <v>2</v>
      </c>
      <c r="J16" s="438">
        <v>1</v>
      </c>
      <c r="K16" s="438">
        <v>2</v>
      </c>
      <c r="L16" s="438">
        <v>1</v>
      </c>
      <c r="M16" s="438">
        <v>1</v>
      </c>
      <c r="N16" s="438">
        <v>1</v>
      </c>
      <c r="O16" s="1746"/>
      <c r="P16" s="439" t="str">
        <f t="shared" si="2"/>
        <v>04020102010101</v>
      </c>
      <c r="Q16" s="440">
        <f>ROUNDUP('1.Hoja_de_Cotización'!$C$44/1000,0)*3</f>
        <v>0</v>
      </c>
      <c r="R16" s="441"/>
      <c r="S16" s="441"/>
      <c r="T16" s="440">
        <v>10</v>
      </c>
      <c r="U16" s="440">
        <v>8</v>
      </c>
      <c r="V16" s="440">
        <v>8</v>
      </c>
      <c r="W16" s="440">
        <v>31</v>
      </c>
      <c r="X16" s="440"/>
      <c r="Y16" s="440"/>
      <c r="Z16" s="440"/>
      <c r="AA16" s="440"/>
      <c r="AB16" s="440"/>
      <c r="AC16" s="440"/>
      <c r="AD16" s="440">
        <f t="shared" si="4"/>
        <v>57</v>
      </c>
      <c r="AE16" s="1756"/>
      <c r="AF16" s="442" t="s">
        <v>350</v>
      </c>
      <c r="AG16" s="443">
        <v>8</v>
      </c>
      <c r="AH16" s="444">
        <f t="shared" si="6"/>
        <v>16</v>
      </c>
      <c r="AI16" s="444">
        <v>2</v>
      </c>
      <c r="AJ16" s="444">
        <v>7</v>
      </c>
      <c r="AK16" s="444">
        <f t="shared" si="7"/>
        <v>128</v>
      </c>
      <c r="AL16" s="444">
        <f t="shared" si="8"/>
        <v>1.7</v>
      </c>
      <c r="AM16" s="444"/>
      <c r="AN16" s="444">
        <f>IF('1.Hoja_de_Cotización'!$R$7=5,IF($BB$2=9,0,Hoja_Cambio!$AR$32),IF($BB$2=9,0,Cálculos!$C$107))</f>
        <v>0</v>
      </c>
      <c r="AO16" s="444"/>
      <c r="AP16" s="444">
        <f t="shared" si="3"/>
        <v>154.69999999999999</v>
      </c>
      <c r="AQ16" s="1760"/>
      <c r="AR16" s="442" t="s">
        <v>350</v>
      </c>
      <c r="AS16" s="418">
        <f>TabGtos!N25</f>
        <v>0</v>
      </c>
      <c r="AT16" s="445"/>
      <c r="BA16" s="463"/>
      <c r="BB16" s="464" t="s">
        <v>283</v>
      </c>
      <c r="BC16" s="464" t="s">
        <v>284</v>
      </c>
    </row>
    <row r="17" spans="1:55" x14ac:dyDescent="0.2">
      <c r="A17" s="1742"/>
      <c r="B17" s="437">
        <v>321</v>
      </c>
      <c r="C17" s="438" t="s">
        <v>26</v>
      </c>
      <c r="D17" s="438" t="s">
        <v>17</v>
      </c>
      <c r="E17" s="438" t="s">
        <v>11</v>
      </c>
      <c r="F17" s="438" t="s">
        <v>24</v>
      </c>
      <c r="G17" s="438" t="s">
        <v>210</v>
      </c>
      <c r="H17" s="438">
        <v>4</v>
      </c>
      <c r="I17" s="438">
        <v>2</v>
      </c>
      <c r="J17" s="438">
        <v>1</v>
      </c>
      <c r="K17" s="438">
        <v>2</v>
      </c>
      <c r="L17" s="438">
        <v>2</v>
      </c>
      <c r="M17" s="438">
        <v>1</v>
      </c>
      <c r="N17" s="438">
        <v>1</v>
      </c>
      <c r="O17" s="1746"/>
      <c r="P17" s="439" t="str">
        <f t="shared" si="2"/>
        <v>04020102020101</v>
      </c>
      <c r="Q17" s="440">
        <f>ROUNDUP('1.Hoja_de_Cotización'!$C$44/1000,0)*3</f>
        <v>0</v>
      </c>
      <c r="R17" s="441"/>
      <c r="S17" s="441"/>
      <c r="T17" s="440">
        <v>10</v>
      </c>
      <c r="U17" s="440">
        <v>8</v>
      </c>
      <c r="V17" s="440">
        <v>8</v>
      </c>
      <c r="W17" s="440">
        <v>31</v>
      </c>
      <c r="X17" s="440"/>
      <c r="Y17" s="440"/>
      <c r="Z17" s="440"/>
      <c r="AA17" s="440"/>
      <c r="AB17" s="440"/>
      <c r="AC17" s="440"/>
      <c r="AD17" s="440">
        <f t="shared" si="4"/>
        <v>57</v>
      </c>
      <c r="AE17" s="1756"/>
      <c r="AF17" s="442" t="s">
        <v>351</v>
      </c>
      <c r="AG17" s="443">
        <v>8</v>
      </c>
      <c r="AH17" s="444">
        <f t="shared" si="6"/>
        <v>16</v>
      </c>
      <c r="AI17" s="444">
        <v>2</v>
      </c>
      <c r="AJ17" s="444">
        <v>7</v>
      </c>
      <c r="AK17" s="444">
        <f t="shared" si="7"/>
        <v>128</v>
      </c>
      <c r="AL17" s="444">
        <f t="shared" si="8"/>
        <v>1.7</v>
      </c>
      <c r="AM17" s="444"/>
      <c r="AN17" s="444">
        <f>IF('1.Hoja_de_Cotización'!$R$7=5,IF($BB$2=9,0,Hoja_Cambio!$AR$32),IF($BB$2=9,0,Cálculos!$C$107))</f>
        <v>0</v>
      </c>
      <c r="AO17" s="444"/>
      <c r="AP17" s="444">
        <f t="shared" si="3"/>
        <v>154.69999999999999</v>
      </c>
      <c r="AQ17" s="1760"/>
      <c r="AR17" s="442" t="s">
        <v>351</v>
      </c>
      <c r="AS17" s="418">
        <f>TabGtos!N25</f>
        <v>0</v>
      </c>
      <c r="AT17" s="445"/>
      <c r="BA17" s="465" t="s">
        <v>285</v>
      </c>
      <c r="BB17" s="465">
        <v>2</v>
      </c>
      <c r="BC17" s="465"/>
    </row>
    <row r="18" spans="1:55" ht="36" x14ac:dyDescent="0.2">
      <c r="A18" s="1742"/>
      <c r="B18" s="437">
        <v>324</v>
      </c>
      <c r="C18" s="438" t="s">
        <v>16</v>
      </c>
      <c r="D18" s="438" t="s">
        <v>17</v>
      </c>
      <c r="E18" s="438" t="s">
        <v>27</v>
      </c>
      <c r="F18" s="438" t="s">
        <v>24</v>
      </c>
      <c r="G18" s="438" t="s">
        <v>22</v>
      </c>
      <c r="H18" s="438">
        <v>2</v>
      </c>
      <c r="I18" s="438">
        <v>2</v>
      </c>
      <c r="J18" s="438">
        <v>4</v>
      </c>
      <c r="K18" s="438">
        <v>2</v>
      </c>
      <c r="L18" s="438">
        <v>1</v>
      </c>
      <c r="M18" s="438">
        <v>1</v>
      </c>
      <c r="N18" s="438">
        <v>1</v>
      </c>
      <c r="O18" s="1746"/>
      <c r="P18" s="439" t="str">
        <f t="shared" si="2"/>
        <v>02020402010101</v>
      </c>
      <c r="Q18" s="440">
        <f>ROUNDUP('1.Hoja_de_Cotización'!$C$43/1000,0)*3</f>
        <v>0</v>
      </c>
      <c r="R18" s="441"/>
      <c r="S18" s="441"/>
      <c r="T18" s="440">
        <v>10</v>
      </c>
      <c r="U18" s="440">
        <v>8</v>
      </c>
      <c r="V18" s="440">
        <v>8</v>
      </c>
      <c r="W18" s="440">
        <v>31</v>
      </c>
      <c r="X18" s="440"/>
      <c r="Y18" s="440"/>
      <c r="Z18" s="440"/>
      <c r="AA18" s="440"/>
      <c r="AB18" s="440"/>
      <c r="AC18" s="440"/>
      <c r="AD18" s="440">
        <f t="shared" si="4"/>
        <v>57</v>
      </c>
      <c r="AE18" s="1756"/>
      <c r="AF18" s="442" t="s">
        <v>352</v>
      </c>
      <c r="AG18" s="443">
        <v>8</v>
      </c>
      <c r="AH18" s="444">
        <f t="shared" si="6"/>
        <v>16</v>
      </c>
      <c r="AI18" s="444">
        <v>2</v>
      </c>
      <c r="AJ18" s="444">
        <v>7</v>
      </c>
      <c r="AK18" s="444">
        <f t="shared" si="7"/>
        <v>128</v>
      </c>
      <c r="AL18" s="444">
        <f t="shared" si="8"/>
        <v>1.7</v>
      </c>
      <c r="AM18" s="444"/>
      <c r="AN18" s="444">
        <f>IF('1.Hoja_de_Cotización'!$R$7=5,IF($BB$2=9,0,Hoja_Cambio!$AR$32),IF($BB$2=9,0,Cálculos!$C$107))</f>
        <v>0</v>
      </c>
      <c r="AO18" s="444"/>
      <c r="AP18" s="444">
        <f t="shared" si="3"/>
        <v>154.69999999999999</v>
      </c>
      <c r="AQ18" s="1760"/>
      <c r="AR18" s="442" t="s">
        <v>352</v>
      </c>
      <c r="AS18" s="418">
        <f>TabGtos!D25</f>
        <v>0</v>
      </c>
      <c r="AT18" s="445"/>
      <c r="BA18" s="466" t="s">
        <v>286</v>
      </c>
      <c r="BB18" s="466"/>
      <c r="BC18" s="466">
        <v>2</v>
      </c>
    </row>
    <row r="19" spans="1:55" ht="24" x14ac:dyDescent="0.2">
      <c r="A19" s="1742"/>
      <c r="B19" s="437">
        <v>325</v>
      </c>
      <c r="C19" s="438" t="s">
        <v>16</v>
      </c>
      <c r="D19" s="438" t="s">
        <v>17</v>
      </c>
      <c r="E19" s="438" t="s">
        <v>27</v>
      </c>
      <c r="F19" s="438" t="s">
        <v>24</v>
      </c>
      <c r="G19" s="438" t="s">
        <v>210</v>
      </c>
      <c r="H19" s="438">
        <v>2</v>
      </c>
      <c r="I19" s="438">
        <v>2</v>
      </c>
      <c r="J19" s="438">
        <v>4</v>
      </c>
      <c r="K19" s="438">
        <v>2</v>
      </c>
      <c r="L19" s="438">
        <v>2</v>
      </c>
      <c r="M19" s="438">
        <v>1</v>
      </c>
      <c r="N19" s="438">
        <v>1</v>
      </c>
      <c r="O19" s="1746"/>
      <c r="P19" s="439" t="str">
        <f t="shared" si="2"/>
        <v>02020402020101</v>
      </c>
      <c r="Q19" s="440">
        <f>ROUNDUP('1.Hoja_de_Cotización'!$C$43/1000,0)*3</f>
        <v>0</v>
      </c>
      <c r="R19" s="441"/>
      <c r="S19" s="441"/>
      <c r="T19" s="440">
        <v>10</v>
      </c>
      <c r="U19" s="440">
        <v>8</v>
      </c>
      <c r="V19" s="440">
        <v>8</v>
      </c>
      <c r="W19" s="440">
        <v>31</v>
      </c>
      <c r="X19" s="440"/>
      <c r="Y19" s="440"/>
      <c r="Z19" s="440"/>
      <c r="AA19" s="440"/>
      <c r="AB19" s="440"/>
      <c r="AC19" s="440"/>
      <c r="AD19" s="440">
        <f t="shared" si="4"/>
        <v>57</v>
      </c>
      <c r="AE19" s="1756"/>
      <c r="AF19" s="442" t="s">
        <v>353</v>
      </c>
      <c r="AG19" s="443">
        <v>8</v>
      </c>
      <c r="AH19" s="444">
        <f t="shared" si="6"/>
        <v>16</v>
      </c>
      <c r="AI19" s="444">
        <v>2</v>
      </c>
      <c r="AJ19" s="444">
        <v>7</v>
      </c>
      <c r="AK19" s="444">
        <f t="shared" si="7"/>
        <v>128</v>
      </c>
      <c r="AL19" s="444">
        <f t="shared" ref="AL19:AL28" si="9">ROUND(((AG19-1)*0.1)*2+0.15*2,2)</f>
        <v>1.7</v>
      </c>
      <c r="AM19" s="444"/>
      <c r="AN19" s="444">
        <f>IF('1.Hoja_de_Cotización'!$R$7=5,IF($BB$2=9,0,Hoja_Cambio!$AR$32),IF($BB$2=9,0,Cálculos!$C$107))</f>
        <v>0</v>
      </c>
      <c r="AO19" s="444"/>
      <c r="AP19" s="444">
        <f t="shared" si="3"/>
        <v>154.69999999999999</v>
      </c>
      <c r="AQ19" s="1760"/>
      <c r="AR19" s="442" t="s">
        <v>353</v>
      </c>
      <c r="AS19" s="418">
        <f>TabGtos!D25</f>
        <v>0</v>
      </c>
      <c r="AT19" s="445"/>
      <c r="BA19" s="466" t="s">
        <v>287</v>
      </c>
      <c r="BB19" s="466"/>
      <c r="BC19" s="466">
        <v>7</v>
      </c>
    </row>
    <row r="20" spans="1:55" x14ac:dyDescent="0.2">
      <c r="A20" s="1742"/>
      <c r="B20" s="437">
        <v>326</v>
      </c>
      <c r="C20" s="438" t="s">
        <v>16</v>
      </c>
      <c r="D20" s="438" t="s">
        <v>17</v>
      </c>
      <c r="E20" s="438" t="s">
        <v>20</v>
      </c>
      <c r="F20" s="438" t="s">
        <v>24</v>
      </c>
      <c r="G20" s="438" t="s">
        <v>22</v>
      </c>
      <c r="H20" s="438">
        <v>2</v>
      </c>
      <c r="I20" s="438">
        <v>2</v>
      </c>
      <c r="J20" s="438">
        <v>5</v>
      </c>
      <c r="K20" s="438">
        <v>2</v>
      </c>
      <c r="L20" s="438">
        <v>1</v>
      </c>
      <c r="M20" s="438">
        <v>1</v>
      </c>
      <c r="N20" s="438">
        <v>1</v>
      </c>
      <c r="O20" s="1746"/>
      <c r="P20" s="439" t="str">
        <f t="shared" si="2"/>
        <v>02020502010101</v>
      </c>
      <c r="Q20" s="440">
        <f>ROUNDUP('1.Hoja_de_Cotización'!$C$43/1000,0)*3</f>
        <v>0</v>
      </c>
      <c r="R20" s="441"/>
      <c r="S20" s="441"/>
      <c r="T20" s="440">
        <v>10</v>
      </c>
      <c r="U20" s="440">
        <v>8</v>
      </c>
      <c r="V20" s="440">
        <v>8</v>
      </c>
      <c r="W20" s="440"/>
      <c r="X20" s="440"/>
      <c r="Y20" s="440"/>
      <c r="Z20" s="440"/>
      <c r="AA20" s="440"/>
      <c r="AB20" s="440"/>
      <c r="AC20" s="440"/>
      <c r="AD20" s="440">
        <f t="shared" si="4"/>
        <v>26</v>
      </c>
      <c r="AE20" s="1756"/>
      <c r="AF20" s="442" t="s">
        <v>354</v>
      </c>
      <c r="AG20" s="443">
        <v>8</v>
      </c>
      <c r="AH20" s="444">
        <f t="shared" si="6"/>
        <v>16</v>
      </c>
      <c r="AI20" s="444">
        <v>2</v>
      </c>
      <c r="AJ20" s="444">
        <v>7</v>
      </c>
      <c r="AK20" s="444">
        <f t="shared" si="7"/>
        <v>128</v>
      </c>
      <c r="AL20" s="444">
        <f t="shared" si="9"/>
        <v>1.7</v>
      </c>
      <c r="AM20" s="444"/>
      <c r="AN20" s="444">
        <f>IF('1.Hoja_de_Cotización'!$R$7=5,IF($BB$2=9,0,Hoja_Cambio!$AR$32),IF($BB$2=9,0,Cálculos!$C$107))</f>
        <v>0</v>
      </c>
      <c r="AO20" s="444"/>
      <c r="AP20" s="444">
        <f t="shared" si="3"/>
        <v>154.69999999999999</v>
      </c>
      <c r="AQ20" s="1760"/>
      <c r="AR20" s="442" t="s">
        <v>354</v>
      </c>
      <c r="AS20" s="418">
        <f>TabGtos!D25</f>
        <v>0</v>
      </c>
      <c r="AT20" s="445"/>
      <c r="BA20" s="466" t="s">
        <v>288</v>
      </c>
      <c r="BB20" s="466">
        <v>8</v>
      </c>
      <c r="BC20" s="466"/>
    </row>
    <row r="21" spans="1:55" x14ac:dyDescent="0.2">
      <c r="A21" s="1742"/>
      <c r="B21" s="437">
        <v>327</v>
      </c>
      <c r="C21" s="438" t="s">
        <v>16</v>
      </c>
      <c r="D21" s="438" t="s">
        <v>17</v>
      </c>
      <c r="E21" s="438" t="s">
        <v>20</v>
      </c>
      <c r="F21" s="438" t="s">
        <v>24</v>
      </c>
      <c r="G21" s="438" t="s">
        <v>210</v>
      </c>
      <c r="H21" s="438">
        <v>2</v>
      </c>
      <c r="I21" s="438">
        <v>2</v>
      </c>
      <c r="J21" s="438">
        <v>5</v>
      </c>
      <c r="K21" s="438">
        <v>2</v>
      </c>
      <c r="L21" s="438">
        <v>2</v>
      </c>
      <c r="M21" s="438">
        <v>1</v>
      </c>
      <c r="N21" s="438">
        <v>1</v>
      </c>
      <c r="O21" s="1746"/>
      <c r="P21" s="439" t="str">
        <f t="shared" si="2"/>
        <v>02020502020101</v>
      </c>
      <c r="Q21" s="440">
        <f>ROUNDUP('1.Hoja_de_Cotización'!$C$43/1000,0)*3</f>
        <v>0</v>
      </c>
      <c r="R21" s="441"/>
      <c r="S21" s="441"/>
      <c r="T21" s="440">
        <v>10</v>
      </c>
      <c r="U21" s="440">
        <v>8</v>
      </c>
      <c r="V21" s="440">
        <v>8</v>
      </c>
      <c r="W21" s="440"/>
      <c r="X21" s="440"/>
      <c r="Y21" s="440"/>
      <c r="Z21" s="440"/>
      <c r="AA21" s="440"/>
      <c r="AB21" s="440"/>
      <c r="AC21" s="440"/>
      <c r="AD21" s="440">
        <f t="shared" si="4"/>
        <v>26</v>
      </c>
      <c r="AE21" s="1756"/>
      <c r="AF21" s="442" t="s">
        <v>355</v>
      </c>
      <c r="AG21" s="443">
        <v>8</v>
      </c>
      <c r="AH21" s="444">
        <f t="shared" si="6"/>
        <v>16</v>
      </c>
      <c r="AI21" s="444">
        <v>2</v>
      </c>
      <c r="AJ21" s="444">
        <v>7</v>
      </c>
      <c r="AK21" s="444">
        <f t="shared" si="7"/>
        <v>128</v>
      </c>
      <c r="AL21" s="444">
        <f t="shared" si="9"/>
        <v>1.7</v>
      </c>
      <c r="AM21" s="444"/>
      <c r="AN21" s="444">
        <f>IF('1.Hoja_de_Cotización'!$R$7=5,IF($BB$2=9,0,Hoja_Cambio!$AR$32),IF($BB$2=9,0,Cálculos!$C$107))</f>
        <v>0</v>
      </c>
      <c r="AO21" s="444"/>
      <c r="AP21" s="444">
        <f t="shared" si="3"/>
        <v>154.69999999999999</v>
      </c>
      <c r="AQ21" s="1760"/>
      <c r="AR21" s="442" t="s">
        <v>355</v>
      </c>
      <c r="AS21" s="418">
        <f>TabGtos!D25</f>
        <v>0</v>
      </c>
      <c r="AT21" s="445"/>
      <c r="BA21" s="466" t="s">
        <v>289</v>
      </c>
      <c r="BB21" s="466">
        <v>0.1</v>
      </c>
      <c r="BC21" s="466"/>
    </row>
    <row r="22" spans="1:55" ht="48" x14ac:dyDescent="0.2">
      <c r="A22" s="1742"/>
      <c r="B22" s="437">
        <v>328</v>
      </c>
      <c r="C22" s="438" t="s">
        <v>16</v>
      </c>
      <c r="D22" s="438" t="s">
        <v>17</v>
      </c>
      <c r="E22" s="438" t="s">
        <v>11</v>
      </c>
      <c r="F22" s="438" t="s">
        <v>24</v>
      </c>
      <c r="G22" s="438" t="s">
        <v>22</v>
      </c>
      <c r="H22" s="438">
        <v>2</v>
      </c>
      <c r="I22" s="438">
        <v>2</v>
      </c>
      <c r="J22" s="438">
        <v>1</v>
      </c>
      <c r="K22" s="438">
        <v>2</v>
      </c>
      <c r="L22" s="438">
        <v>1</v>
      </c>
      <c r="M22" s="438">
        <v>1</v>
      </c>
      <c r="N22" s="438">
        <v>1</v>
      </c>
      <c r="O22" s="1746"/>
      <c r="P22" s="439" t="str">
        <f t="shared" si="2"/>
        <v>02020102010101</v>
      </c>
      <c r="Q22" s="440">
        <f>ROUNDUP('1.Hoja_de_Cotización'!$C$43/1000,0)*3</f>
        <v>0</v>
      </c>
      <c r="R22" s="441"/>
      <c r="S22" s="441"/>
      <c r="T22" s="440">
        <v>10</v>
      </c>
      <c r="U22" s="440">
        <v>8</v>
      </c>
      <c r="V22" s="440">
        <v>8</v>
      </c>
      <c r="W22" s="440"/>
      <c r="X22" s="440"/>
      <c r="Y22" s="440"/>
      <c r="Z22" s="440"/>
      <c r="AA22" s="440"/>
      <c r="AB22" s="440"/>
      <c r="AC22" s="440"/>
      <c r="AD22" s="440">
        <f t="shared" si="4"/>
        <v>26</v>
      </c>
      <c r="AE22" s="1756"/>
      <c r="AF22" s="442" t="s">
        <v>356</v>
      </c>
      <c r="AG22" s="443">
        <v>8</v>
      </c>
      <c r="AH22" s="444">
        <f t="shared" si="6"/>
        <v>16</v>
      </c>
      <c r="AI22" s="444">
        <v>2</v>
      </c>
      <c r="AJ22" s="444">
        <v>7</v>
      </c>
      <c r="AK22" s="444">
        <f t="shared" si="7"/>
        <v>128</v>
      </c>
      <c r="AL22" s="444">
        <f t="shared" si="9"/>
        <v>1.7</v>
      </c>
      <c r="AM22" s="444"/>
      <c r="AN22" s="444">
        <f>IF('1.Hoja_de_Cotización'!$R$7=5,IF($BB$2=9,0,Hoja_Cambio!$AR$32),IF($BB$2=9,0,Cálculos!$C$107))</f>
        <v>0</v>
      </c>
      <c r="AO22" s="444"/>
      <c r="AP22" s="444">
        <f t="shared" si="3"/>
        <v>154.69999999999999</v>
      </c>
      <c r="AQ22" s="1760"/>
      <c r="AR22" s="442" t="s">
        <v>356</v>
      </c>
      <c r="AS22" s="418">
        <f>TabGtos!D25</f>
        <v>0</v>
      </c>
      <c r="AT22" s="445"/>
      <c r="BA22" s="466" t="s">
        <v>290</v>
      </c>
      <c r="BB22" s="466"/>
      <c r="BC22" s="466">
        <v>10</v>
      </c>
    </row>
    <row r="23" spans="1:55" ht="36" x14ac:dyDescent="0.2">
      <c r="A23" s="1742"/>
      <c r="B23" s="437">
        <v>329</v>
      </c>
      <c r="C23" s="438" t="s">
        <v>16</v>
      </c>
      <c r="D23" s="438" t="s">
        <v>17</v>
      </c>
      <c r="E23" s="438" t="s">
        <v>11</v>
      </c>
      <c r="F23" s="438" t="s">
        <v>24</v>
      </c>
      <c r="G23" s="438" t="s">
        <v>210</v>
      </c>
      <c r="H23" s="438">
        <v>2</v>
      </c>
      <c r="I23" s="438">
        <v>2</v>
      </c>
      <c r="J23" s="438">
        <v>1</v>
      </c>
      <c r="K23" s="438">
        <v>2</v>
      </c>
      <c r="L23" s="438">
        <v>2</v>
      </c>
      <c r="M23" s="438">
        <v>1</v>
      </c>
      <c r="N23" s="438">
        <v>1</v>
      </c>
      <c r="O23" s="1746"/>
      <c r="P23" s="439" t="str">
        <f t="shared" si="2"/>
        <v>02020102020101</v>
      </c>
      <c r="Q23" s="440">
        <f>ROUNDUP('1.Hoja_de_Cotización'!$C$43/1000,0)*3</f>
        <v>0</v>
      </c>
      <c r="R23" s="441"/>
      <c r="S23" s="441"/>
      <c r="T23" s="440">
        <v>10</v>
      </c>
      <c r="U23" s="440">
        <v>8</v>
      </c>
      <c r="V23" s="440">
        <v>8</v>
      </c>
      <c r="W23" s="440"/>
      <c r="X23" s="440"/>
      <c r="Y23" s="440"/>
      <c r="Z23" s="440"/>
      <c r="AA23" s="440"/>
      <c r="AB23" s="440"/>
      <c r="AC23" s="440"/>
      <c r="AD23" s="440">
        <f t="shared" si="4"/>
        <v>26</v>
      </c>
      <c r="AE23" s="1756"/>
      <c r="AF23" s="442" t="s">
        <v>235</v>
      </c>
      <c r="AG23" s="443">
        <v>8</v>
      </c>
      <c r="AH23" s="444">
        <f t="shared" si="6"/>
        <v>16</v>
      </c>
      <c r="AI23" s="444">
        <v>2</v>
      </c>
      <c r="AJ23" s="444">
        <v>7</v>
      </c>
      <c r="AK23" s="444">
        <f t="shared" si="7"/>
        <v>128</v>
      </c>
      <c r="AL23" s="444">
        <f t="shared" si="9"/>
        <v>1.7</v>
      </c>
      <c r="AM23" s="444"/>
      <c r="AN23" s="444">
        <f>IF('1.Hoja_de_Cotización'!$R$7=5,IF($BB$2=9,0,Hoja_Cambio!$AR$32),IF($BB$2=9,0,Cálculos!$C$107))</f>
        <v>0</v>
      </c>
      <c r="AO23" s="444"/>
      <c r="AP23" s="444">
        <f t="shared" si="3"/>
        <v>154.69999999999999</v>
      </c>
      <c r="AQ23" s="1760"/>
      <c r="AR23" s="442" t="s">
        <v>235</v>
      </c>
      <c r="AS23" s="418">
        <f>TabGtos!D25</f>
        <v>0</v>
      </c>
      <c r="AT23" s="445"/>
      <c r="BA23" s="466" t="s">
        <v>291</v>
      </c>
      <c r="BB23" s="466"/>
      <c r="BC23" s="466"/>
    </row>
    <row r="24" spans="1:55" x14ac:dyDescent="0.2">
      <c r="A24" s="1742"/>
      <c r="B24" s="437">
        <v>330</v>
      </c>
      <c r="C24" s="438" t="s">
        <v>213</v>
      </c>
      <c r="D24" s="438" t="s">
        <v>9</v>
      </c>
      <c r="E24" s="438" t="s">
        <v>11</v>
      </c>
      <c r="F24" s="438" t="s">
        <v>24</v>
      </c>
      <c r="G24" s="438" t="s">
        <v>22</v>
      </c>
      <c r="H24" s="438">
        <v>6</v>
      </c>
      <c r="I24" s="438">
        <v>1</v>
      </c>
      <c r="J24" s="438">
        <v>1</v>
      </c>
      <c r="K24" s="438">
        <v>2</v>
      </c>
      <c r="L24" s="438">
        <v>1</v>
      </c>
      <c r="M24" s="438">
        <v>1</v>
      </c>
      <c r="N24" s="438">
        <v>1</v>
      </c>
      <c r="O24" s="1746"/>
      <c r="P24" s="439" t="str">
        <f t="shared" si="2"/>
        <v>06010102010101</v>
      </c>
      <c r="Q24" s="440"/>
      <c r="R24" s="440">
        <v>35</v>
      </c>
      <c r="S24" s="441"/>
      <c r="T24" s="440">
        <v>10</v>
      </c>
      <c r="U24" s="440">
        <v>8</v>
      </c>
      <c r="V24" s="440">
        <v>8</v>
      </c>
      <c r="W24" s="440"/>
      <c r="X24" s="440"/>
      <c r="Y24" s="440"/>
      <c r="Z24" s="440"/>
      <c r="AA24" s="440"/>
      <c r="AB24" s="440"/>
      <c r="AC24" s="440"/>
      <c r="AD24" s="440">
        <f t="shared" si="4"/>
        <v>61</v>
      </c>
      <c r="AE24" s="1756"/>
      <c r="AF24" s="442" t="s">
        <v>357</v>
      </c>
      <c r="AG24" s="443">
        <v>5</v>
      </c>
      <c r="AH24" s="444">
        <f t="shared" si="6"/>
        <v>10</v>
      </c>
      <c r="AI24" s="444">
        <v>2</v>
      </c>
      <c r="AJ24" s="444">
        <v>7</v>
      </c>
      <c r="AK24" s="444">
        <f t="shared" si="7"/>
        <v>80</v>
      </c>
      <c r="AL24" s="444">
        <f t="shared" si="9"/>
        <v>1.1000000000000001</v>
      </c>
      <c r="AM24" s="444"/>
      <c r="AN24" s="444">
        <f>IF('1.Hoja_de_Cotización'!$R$7=5,IF($BB$2=9,0,Hoja_Cambio!$AR$32),IF($BB$2=9,0,Cálculos!$C$107))</f>
        <v>0</v>
      </c>
      <c r="AO24" s="444">
        <v>10</v>
      </c>
      <c r="AP24" s="444">
        <f t="shared" si="3"/>
        <v>110.1</v>
      </c>
      <c r="AQ24" s="1760"/>
      <c r="AR24" s="442" t="s">
        <v>357</v>
      </c>
      <c r="AS24" s="418">
        <f>TabGtos!I31</f>
        <v>400</v>
      </c>
      <c r="AT24" s="445"/>
    </row>
    <row r="25" spans="1:55" x14ac:dyDescent="0.2">
      <c r="A25" s="1742"/>
      <c r="B25" s="437">
        <v>331</v>
      </c>
      <c r="C25" s="438" t="s">
        <v>213</v>
      </c>
      <c r="D25" s="438" t="s">
        <v>9</v>
      </c>
      <c r="E25" s="438" t="s">
        <v>11</v>
      </c>
      <c r="F25" s="438" t="s">
        <v>24</v>
      </c>
      <c r="G25" s="438" t="s">
        <v>210</v>
      </c>
      <c r="H25" s="438">
        <v>6</v>
      </c>
      <c r="I25" s="438">
        <v>1</v>
      </c>
      <c r="J25" s="438">
        <v>1</v>
      </c>
      <c r="K25" s="438">
        <v>2</v>
      </c>
      <c r="L25" s="438">
        <v>2</v>
      </c>
      <c r="M25" s="438">
        <v>1</v>
      </c>
      <c r="N25" s="438">
        <v>1</v>
      </c>
      <c r="O25" s="1746"/>
      <c r="P25" s="439" t="str">
        <f t="shared" si="2"/>
        <v>06010102020101</v>
      </c>
      <c r="Q25" s="440"/>
      <c r="R25" s="440">
        <v>35</v>
      </c>
      <c r="S25" s="441"/>
      <c r="T25" s="440">
        <v>10</v>
      </c>
      <c r="U25" s="440">
        <v>8</v>
      </c>
      <c r="V25" s="440">
        <v>8</v>
      </c>
      <c r="W25" s="440"/>
      <c r="X25" s="440"/>
      <c r="Y25" s="440"/>
      <c r="Z25" s="440"/>
      <c r="AA25" s="440"/>
      <c r="AB25" s="440"/>
      <c r="AC25" s="440"/>
      <c r="AD25" s="440">
        <f t="shared" si="4"/>
        <v>61</v>
      </c>
      <c r="AE25" s="1756"/>
      <c r="AF25" s="442" t="s">
        <v>241</v>
      </c>
      <c r="AG25" s="443">
        <v>5</v>
      </c>
      <c r="AH25" s="444">
        <f t="shared" si="6"/>
        <v>10</v>
      </c>
      <c r="AI25" s="444">
        <v>2</v>
      </c>
      <c r="AJ25" s="444">
        <v>7</v>
      </c>
      <c r="AK25" s="444">
        <f t="shared" si="7"/>
        <v>80</v>
      </c>
      <c r="AL25" s="444">
        <f t="shared" si="9"/>
        <v>1.1000000000000001</v>
      </c>
      <c r="AM25" s="444"/>
      <c r="AN25" s="444">
        <f>IF('1.Hoja_de_Cotización'!$R$7=5,IF($BB$2=9,0,Hoja_Cambio!$AR$32),IF($BB$2=9,0,Cálculos!$C$107))</f>
        <v>0</v>
      </c>
      <c r="AO25" s="444">
        <v>10</v>
      </c>
      <c r="AP25" s="444">
        <f t="shared" si="3"/>
        <v>110.1</v>
      </c>
      <c r="AQ25" s="1760"/>
      <c r="AR25" s="442" t="s">
        <v>241</v>
      </c>
      <c r="AS25" s="418">
        <f>TabGtos!I31</f>
        <v>400</v>
      </c>
      <c r="AT25" s="445"/>
    </row>
    <row r="26" spans="1:55" x14ac:dyDescent="0.2">
      <c r="A26" s="1742"/>
      <c r="B26" s="437">
        <v>332</v>
      </c>
      <c r="C26" s="438" t="s">
        <v>213</v>
      </c>
      <c r="D26" s="438" t="s">
        <v>17</v>
      </c>
      <c r="E26" s="438" t="s">
        <v>11</v>
      </c>
      <c r="F26" s="438" t="s">
        <v>24</v>
      </c>
      <c r="G26" s="438" t="s">
        <v>22</v>
      </c>
      <c r="H26" s="438">
        <v>6</v>
      </c>
      <c r="I26" s="438">
        <v>2</v>
      </c>
      <c r="J26" s="438">
        <v>1</v>
      </c>
      <c r="K26" s="438">
        <v>2</v>
      </c>
      <c r="L26" s="438">
        <v>1</v>
      </c>
      <c r="M26" s="438">
        <v>1</v>
      </c>
      <c r="N26" s="438">
        <v>1</v>
      </c>
      <c r="O26" s="1746"/>
      <c r="P26" s="439" t="str">
        <f t="shared" si="2"/>
        <v>06020102010101</v>
      </c>
      <c r="Q26" s="440"/>
      <c r="R26" s="440">
        <v>35</v>
      </c>
      <c r="S26" s="441"/>
      <c r="T26" s="440">
        <v>10</v>
      </c>
      <c r="U26" s="440">
        <v>8</v>
      </c>
      <c r="V26" s="440">
        <v>8</v>
      </c>
      <c r="W26" s="440"/>
      <c r="X26" s="440"/>
      <c r="Y26" s="440"/>
      <c r="Z26" s="440"/>
      <c r="AA26" s="440"/>
      <c r="AB26" s="440"/>
      <c r="AC26" s="440"/>
      <c r="AD26" s="440">
        <f t="shared" si="4"/>
        <v>61</v>
      </c>
      <c r="AE26" s="1756"/>
      <c r="AF26" s="442" t="s">
        <v>358</v>
      </c>
      <c r="AG26" s="443">
        <v>5</v>
      </c>
      <c r="AH26" s="444">
        <f t="shared" si="6"/>
        <v>10</v>
      </c>
      <c r="AI26" s="444">
        <v>2</v>
      </c>
      <c r="AJ26" s="444">
        <v>7</v>
      </c>
      <c r="AK26" s="444">
        <f t="shared" si="7"/>
        <v>80</v>
      </c>
      <c r="AL26" s="444">
        <f t="shared" si="9"/>
        <v>1.1000000000000001</v>
      </c>
      <c r="AM26" s="444"/>
      <c r="AN26" s="444">
        <f>IF('1.Hoja_de_Cotización'!$R$7=5,IF($BB$2=9,0,Hoja_Cambio!$AR$32),IF($BB$2=9,0,Cálculos!$C$107))</f>
        <v>0</v>
      </c>
      <c r="AO26" s="444">
        <v>10</v>
      </c>
      <c r="AP26" s="444">
        <f t="shared" si="3"/>
        <v>110.1</v>
      </c>
      <c r="AQ26" s="1760"/>
      <c r="AR26" s="442" t="s">
        <v>358</v>
      </c>
      <c r="AS26" s="418">
        <f>TabGtos!I31</f>
        <v>400</v>
      </c>
      <c r="AT26" s="445"/>
    </row>
    <row r="27" spans="1:55" x14ac:dyDescent="0.2">
      <c r="A27" s="1742"/>
      <c r="B27" s="437">
        <v>333</v>
      </c>
      <c r="C27" s="438" t="s">
        <v>213</v>
      </c>
      <c r="D27" s="438" t="s">
        <v>17</v>
      </c>
      <c r="E27" s="438" t="s">
        <v>11</v>
      </c>
      <c r="F27" s="438" t="s">
        <v>24</v>
      </c>
      <c r="G27" s="438" t="s">
        <v>210</v>
      </c>
      <c r="H27" s="438">
        <v>6</v>
      </c>
      <c r="I27" s="438">
        <v>2</v>
      </c>
      <c r="J27" s="438">
        <v>1</v>
      </c>
      <c r="K27" s="438">
        <v>2</v>
      </c>
      <c r="L27" s="438">
        <v>2</v>
      </c>
      <c r="M27" s="438">
        <v>1</v>
      </c>
      <c r="N27" s="438">
        <v>1</v>
      </c>
      <c r="O27" s="1746"/>
      <c r="P27" s="439" t="str">
        <f t="shared" si="2"/>
        <v>06020102020101</v>
      </c>
      <c r="Q27" s="440"/>
      <c r="R27" s="440">
        <v>35</v>
      </c>
      <c r="S27" s="441"/>
      <c r="T27" s="440">
        <v>10</v>
      </c>
      <c r="U27" s="440">
        <v>8</v>
      </c>
      <c r="V27" s="440">
        <v>8</v>
      </c>
      <c r="W27" s="440"/>
      <c r="X27" s="440"/>
      <c r="Y27" s="440"/>
      <c r="Z27" s="440"/>
      <c r="AA27" s="440"/>
      <c r="AB27" s="440"/>
      <c r="AC27" s="440"/>
      <c r="AD27" s="440">
        <f t="shared" si="4"/>
        <v>61</v>
      </c>
      <c r="AE27" s="1756"/>
      <c r="AF27" s="442" t="s">
        <v>242</v>
      </c>
      <c r="AG27" s="443">
        <v>5</v>
      </c>
      <c r="AH27" s="444">
        <f t="shared" si="6"/>
        <v>10</v>
      </c>
      <c r="AI27" s="444">
        <v>2</v>
      </c>
      <c r="AJ27" s="444">
        <v>7</v>
      </c>
      <c r="AK27" s="444">
        <f t="shared" si="7"/>
        <v>80</v>
      </c>
      <c r="AL27" s="444">
        <f t="shared" si="9"/>
        <v>1.1000000000000001</v>
      </c>
      <c r="AM27" s="444"/>
      <c r="AN27" s="444">
        <f>IF('1.Hoja_de_Cotización'!$R$7=5,IF($BB$2=9,0,Hoja_Cambio!$AR$32),IF($BB$2=9,0,Cálculos!$C$107))</f>
        <v>0</v>
      </c>
      <c r="AO27" s="444">
        <v>10</v>
      </c>
      <c r="AP27" s="444">
        <f t="shared" si="3"/>
        <v>110.1</v>
      </c>
      <c r="AQ27" s="1760"/>
      <c r="AR27" s="442" t="s">
        <v>242</v>
      </c>
      <c r="AS27" s="418">
        <f>TabGtos!I31</f>
        <v>400</v>
      </c>
      <c r="AT27" s="445"/>
    </row>
    <row r="28" spans="1:55" x14ac:dyDescent="0.2">
      <c r="A28" s="1742"/>
      <c r="B28" s="437">
        <v>334</v>
      </c>
      <c r="C28" s="438" t="s">
        <v>214</v>
      </c>
      <c r="D28" s="438" t="s">
        <v>9</v>
      </c>
      <c r="E28" s="438" t="s">
        <v>11</v>
      </c>
      <c r="F28" s="438" t="s">
        <v>24</v>
      </c>
      <c r="G28" s="438" t="s">
        <v>22</v>
      </c>
      <c r="H28" s="438">
        <v>10</v>
      </c>
      <c r="I28" s="438">
        <v>1</v>
      </c>
      <c r="J28" s="438">
        <v>1</v>
      </c>
      <c r="K28" s="438">
        <v>2</v>
      </c>
      <c r="L28" s="438">
        <v>1</v>
      </c>
      <c r="M28" s="438">
        <v>1</v>
      </c>
      <c r="N28" s="438">
        <v>1</v>
      </c>
      <c r="O28" s="1746"/>
      <c r="P28" s="439" t="str">
        <f t="shared" si="2"/>
        <v>10010102010101</v>
      </c>
      <c r="Q28" s="440"/>
      <c r="R28" s="440">
        <v>35</v>
      </c>
      <c r="S28" s="441"/>
      <c r="T28" s="440">
        <v>10</v>
      </c>
      <c r="U28" s="440">
        <v>8</v>
      </c>
      <c r="V28" s="440">
        <v>8</v>
      </c>
      <c r="W28" s="440"/>
      <c r="X28" s="440"/>
      <c r="Y28" s="440"/>
      <c r="Z28" s="440"/>
      <c r="AA28" s="440"/>
      <c r="AB28" s="440"/>
      <c r="AC28" s="440"/>
      <c r="AD28" s="440">
        <f t="shared" si="4"/>
        <v>61</v>
      </c>
      <c r="AE28" s="1756"/>
      <c r="AF28" s="442" t="s">
        <v>359</v>
      </c>
      <c r="AG28" s="462">
        <v>5</v>
      </c>
      <c r="AH28" s="444">
        <f t="shared" si="6"/>
        <v>10</v>
      </c>
      <c r="AI28" s="444">
        <v>2</v>
      </c>
      <c r="AJ28" s="444">
        <v>7</v>
      </c>
      <c r="AK28" s="444">
        <f t="shared" si="7"/>
        <v>80</v>
      </c>
      <c r="AL28" s="444">
        <f t="shared" si="9"/>
        <v>1.1000000000000001</v>
      </c>
      <c r="AM28" s="444"/>
      <c r="AN28" s="444">
        <f>IF('1.Hoja_de_Cotización'!$R$7=5,IF($BB$2=9,0,Hoja_Cambio!$AR$32),IF($BB$2=9,0,Cálculos!$C$107))</f>
        <v>0</v>
      </c>
      <c r="AO28" s="444"/>
      <c r="AP28" s="444">
        <f t="shared" si="3"/>
        <v>100.1</v>
      </c>
      <c r="AQ28" s="1760"/>
      <c r="AR28" s="442" t="s">
        <v>359</v>
      </c>
      <c r="AS28" s="418">
        <f>TabGtos!I31</f>
        <v>400</v>
      </c>
      <c r="AT28" s="445"/>
    </row>
    <row r="29" spans="1:55" x14ac:dyDescent="0.2">
      <c r="A29" s="1742"/>
      <c r="B29" s="437">
        <v>335</v>
      </c>
      <c r="C29" s="438" t="s">
        <v>214</v>
      </c>
      <c r="D29" s="438" t="s">
        <v>9</v>
      </c>
      <c r="E29" s="438" t="s">
        <v>11</v>
      </c>
      <c r="F29" s="438" t="s">
        <v>24</v>
      </c>
      <c r="G29" s="438" t="s">
        <v>210</v>
      </c>
      <c r="H29" s="438">
        <v>10</v>
      </c>
      <c r="I29" s="438">
        <v>1</v>
      </c>
      <c r="J29" s="438">
        <v>1</v>
      </c>
      <c r="K29" s="438">
        <v>2</v>
      </c>
      <c r="L29" s="438">
        <v>2</v>
      </c>
      <c r="M29" s="438">
        <v>1</v>
      </c>
      <c r="N29" s="438">
        <v>1</v>
      </c>
      <c r="O29" s="1746"/>
      <c r="P29" s="439" t="str">
        <f t="shared" si="2"/>
        <v>10010102020101</v>
      </c>
      <c r="Q29" s="440"/>
      <c r="R29" s="440">
        <v>35</v>
      </c>
      <c r="S29" s="441"/>
      <c r="T29" s="440">
        <v>10</v>
      </c>
      <c r="U29" s="440">
        <v>8</v>
      </c>
      <c r="V29" s="440">
        <v>8</v>
      </c>
      <c r="W29" s="440"/>
      <c r="X29" s="440"/>
      <c r="Y29" s="440"/>
      <c r="Z29" s="440"/>
      <c r="AA29" s="440"/>
      <c r="AB29" s="440"/>
      <c r="AC29" s="440"/>
      <c r="AD29" s="440">
        <f t="shared" si="4"/>
        <v>61</v>
      </c>
      <c r="AE29" s="1756"/>
      <c r="AF29" s="442" t="s">
        <v>245</v>
      </c>
      <c r="AG29" s="462">
        <v>5</v>
      </c>
      <c r="AH29" s="444">
        <f t="shared" si="6"/>
        <v>10</v>
      </c>
      <c r="AI29" s="444">
        <v>2</v>
      </c>
      <c r="AJ29" s="444">
        <v>7</v>
      </c>
      <c r="AK29" s="444">
        <f t="shared" si="7"/>
        <v>80</v>
      </c>
      <c r="AL29" s="444">
        <f t="shared" ref="AL29:AL35" si="10">ROUND(((AG29-1)*0.1)*2+0.15*2,2)</f>
        <v>1.1000000000000001</v>
      </c>
      <c r="AM29" s="444"/>
      <c r="AN29" s="444">
        <f>IF('1.Hoja_de_Cotización'!$R$7=5,IF($BB$2=9,0,Hoja_Cambio!$AR$32),IF($BB$2=9,0,Cálculos!$C$107))</f>
        <v>0</v>
      </c>
      <c r="AO29" s="444"/>
      <c r="AP29" s="444">
        <f t="shared" si="3"/>
        <v>100.1</v>
      </c>
      <c r="AQ29" s="1760"/>
      <c r="AR29" s="442" t="s">
        <v>245</v>
      </c>
      <c r="AS29" s="418">
        <f>TabGtos!I31</f>
        <v>400</v>
      </c>
      <c r="AT29" s="445"/>
    </row>
    <row r="30" spans="1:55" x14ac:dyDescent="0.2">
      <c r="A30" s="1742"/>
      <c r="B30" s="437">
        <v>336</v>
      </c>
      <c r="C30" s="438" t="s">
        <v>214</v>
      </c>
      <c r="D30" s="438" t="s">
        <v>17</v>
      </c>
      <c r="E30" s="438" t="s">
        <v>11</v>
      </c>
      <c r="F30" s="438" t="s">
        <v>24</v>
      </c>
      <c r="G30" s="438" t="s">
        <v>22</v>
      </c>
      <c r="H30" s="438">
        <v>10</v>
      </c>
      <c r="I30" s="438">
        <v>2</v>
      </c>
      <c r="J30" s="438">
        <v>1</v>
      </c>
      <c r="K30" s="438">
        <v>2</v>
      </c>
      <c r="L30" s="438">
        <v>1</v>
      </c>
      <c r="M30" s="438">
        <v>1</v>
      </c>
      <c r="N30" s="438">
        <v>1</v>
      </c>
      <c r="O30" s="1746"/>
      <c r="P30" s="439" t="str">
        <f t="shared" si="2"/>
        <v>10020102010101</v>
      </c>
      <c r="Q30" s="440"/>
      <c r="R30" s="440">
        <v>35</v>
      </c>
      <c r="S30" s="441"/>
      <c r="T30" s="440">
        <v>10</v>
      </c>
      <c r="U30" s="440">
        <v>8</v>
      </c>
      <c r="V30" s="440">
        <v>8</v>
      </c>
      <c r="W30" s="440"/>
      <c r="X30" s="440"/>
      <c r="Y30" s="440"/>
      <c r="Z30" s="440"/>
      <c r="AA30" s="440"/>
      <c r="AB30" s="440"/>
      <c r="AC30" s="440"/>
      <c r="AD30" s="440">
        <f t="shared" si="4"/>
        <v>61</v>
      </c>
      <c r="AE30" s="1756"/>
      <c r="AF30" s="442" t="s">
        <v>360</v>
      </c>
      <c r="AG30" s="462">
        <v>5</v>
      </c>
      <c r="AH30" s="444">
        <f t="shared" si="6"/>
        <v>10</v>
      </c>
      <c r="AI30" s="444">
        <v>2</v>
      </c>
      <c r="AJ30" s="444">
        <v>7</v>
      </c>
      <c r="AK30" s="444">
        <f t="shared" si="7"/>
        <v>80</v>
      </c>
      <c r="AL30" s="444">
        <f t="shared" si="10"/>
        <v>1.1000000000000001</v>
      </c>
      <c r="AM30" s="444"/>
      <c r="AN30" s="444">
        <f>IF('1.Hoja_de_Cotización'!$R$7=5,IF($BB$2=9,0,Hoja_Cambio!$AR$32),IF($BB$2=9,0,Cálculos!$C$107))</f>
        <v>0</v>
      </c>
      <c r="AO30" s="444"/>
      <c r="AP30" s="444">
        <f t="shared" si="3"/>
        <v>100.1</v>
      </c>
      <c r="AQ30" s="1760"/>
      <c r="AR30" s="442" t="s">
        <v>360</v>
      </c>
      <c r="AS30" s="418">
        <f>TabGtos!I31</f>
        <v>400</v>
      </c>
      <c r="AT30" s="445"/>
    </row>
    <row r="31" spans="1:55" x14ac:dyDescent="0.2">
      <c r="A31" s="1742"/>
      <c r="B31" s="437">
        <v>337</v>
      </c>
      <c r="C31" s="438" t="s">
        <v>214</v>
      </c>
      <c r="D31" s="438" t="s">
        <v>17</v>
      </c>
      <c r="E31" s="438" t="s">
        <v>11</v>
      </c>
      <c r="F31" s="438" t="s">
        <v>24</v>
      </c>
      <c r="G31" s="438" t="s">
        <v>210</v>
      </c>
      <c r="H31" s="438">
        <v>10</v>
      </c>
      <c r="I31" s="438">
        <v>2</v>
      </c>
      <c r="J31" s="438">
        <v>1</v>
      </c>
      <c r="K31" s="438">
        <v>2</v>
      </c>
      <c r="L31" s="438">
        <v>2</v>
      </c>
      <c r="M31" s="438">
        <v>1</v>
      </c>
      <c r="N31" s="438">
        <v>1</v>
      </c>
      <c r="O31" s="1746"/>
      <c r="P31" s="439" t="str">
        <f t="shared" si="2"/>
        <v>10020102020101</v>
      </c>
      <c r="Q31" s="440"/>
      <c r="R31" s="440">
        <v>35</v>
      </c>
      <c r="S31" s="441"/>
      <c r="T31" s="440">
        <v>10</v>
      </c>
      <c r="U31" s="440">
        <v>8</v>
      </c>
      <c r="V31" s="440">
        <v>8</v>
      </c>
      <c r="W31" s="440"/>
      <c r="X31" s="440"/>
      <c r="Y31" s="440"/>
      <c r="Z31" s="440"/>
      <c r="AA31" s="440"/>
      <c r="AB31" s="440"/>
      <c r="AC31" s="440"/>
      <c r="AD31" s="440">
        <f t="shared" si="4"/>
        <v>61</v>
      </c>
      <c r="AE31" s="1756"/>
      <c r="AF31" s="442" t="s">
        <v>246</v>
      </c>
      <c r="AG31" s="462">
        <v>5</v>
      </c>
      <c r="AH31" s="444">
        <f t="shared" si="6"/>
        <v>10</v>
      </c>
      <c r="AI31" s="444">
        <v>2</v>
      </c>
      <c r="AJ31" s="444">
        <v>7</v>
      </c>
      <c r="AK31" s="444">
        <f t="shared" si="7"/>
        <v>80</v>
      </c>
      <c r="AL31" s="444">
        <f t="shared" si="10"/>
        <v>1.1000000000000001</v>
      </c>
      <c r="AM31" s="444"/>
      <c r="AN31" s="444">
        <f>IF('1.Hoja_de_Cotización'!$R$7=5,IF($BB$2=9,0,Hoja_Cambio!$AR$32),IF($BB$2=9,0,Cálculos!$C$107))</f>
        <v>0</v>
      </c>
      <c r="AO31" s="444"/>
      <c r="AP31" s="444">
        <f t="shared" si="3"/>
        <v>100.1</v>
      </c>
      <c r="AQ31" s="1760"/>
      <c r="AR31" s="442" t="s">
        <v>246</v>
      </c>
      <c r="AS31" s="418">
        <f>TabGtos!I31</f>
        <v>400</v>
      </c>
      <c r="AT31" s="445"/>
    </row>
    <row r="32" spans="1:55" x14ac:dyDescent="0.2">
      <c r="A32" s="1742"/>
      <c r="B32" s="437">
        <v>338</v>
      </c>
      <c r="C32" s="438" t="s">
        <v>215</v>
      </c>
      <c r="D32" s="438" t="s">
        <v>9</v>
      </c>
      <c r="E32" s="438" t="s">
        <v>11</v>
      </c>
      <c r="F32" s="438" t="s">
        <v>24</v>
      </c>
      <c r="G32" s="438" t="s">
        <v>22</v>
      </c>
      <c r="H32" s="438">
        <v>7</v>
      </c>
      <c r="I32" s="438">
        <v>1</v>
      </c>
      <c r="J32" s="438">
        <v>1</v>
      </c>
      <c r="K32" s="438">
        <v>2</v>
      </c>
      <c r="L32" s="438">
        <v>1</v>
      </c>
      <c r="M32" s="438">
        <v>1</v>
      </c>
      <c r="N32" s="438">
        <v>1</v>
      </c>
      <c r="O32" s="1746"/>
      <c r="P32" s="439" t="str">
        <f t="shared" si="2"/>
        <v>07010102010101</v>
      </c>
      <c r="Q32" s="440"/>
      <c r="R32" s="441"/>
      <c r="S32" s="440">
        <v>35</v>
      </c>
      <c r="T32" s="440">
        <v>10</v>
      </c>
      <c r="U32" s="440">
        <v>8</v>
      </c>
      <c r="V32" s="440">
        <v>8</v>
      </c>
      <c r="W32" s="440"/>
      <c r="X32" s="440"/>
      <c r="Y32" s="440"/>
      <c r="Z32" s="440"/>
      <c r="AA32" s="440"/>
      <c r="AB32" s="440"/>
      <c r="AC32" s="440"/>
      <c r="AD32" s="440">
        <f t="shared" si="4"/>
        <v>61</v>
      </c>
      <c r="AE32" s="1756"/>
      <c r="AF32" s="442" t="s">
        <v>361</v>
      </c>
      <c r="AG32" s="462">
        <v>5</v>
      </c>
      <c r="AH32" s="444">
        <f t="shared" si="6"/>
        <v>10</v>
      </c>
      <c r="AI32" s="444">
        <v>2</v>
      </c>
      <c r="AJ32" s="444">
        <v>7</v>
      </c>
      <c r="AK32" s="444">
        <f t="shared" si="7"/>
        <v>80</v>
      </c>
      <c r="AL32" s="444">
        <f t="shared" si="10"/>
        <v>1.1000000000000001</v>
      </c>
      <c r="AM32" s="444"/>
      <c r="AN32" s="444">
        <f>IF('1.Hoja_de_Cotización'!$R$7=5,IF($BB$2=9,0,Hoja_Cambio!$AR$32),IF($BB$2=9,0,Cálculos!$C$107))</f>
        <v>0</v>
      </c>
      <c r="AO32" s="444"/>
      <c r="AP32" s="444">
        <f t="shared" si="3"/>
        <v>100.1</v>
      </c>
      <c r="AQ32" s="1760"/>
      <c r="AR32" s="442" t="s">
        <v>361</v>
      </c>
      <c r="AS32" s="418">
        <f>TabGtos!D77</f>
        <v>0</v>
      </c>
      <c r="AT32" s="445"/>
    </row>
    <row r="33" spans="1:46" x14ac:dyDescent="0.2">
      <c r="A33" s="1742"/>
      <c r="B33" s="437">
        <v>339</v>
      </c>
      <c r="C33" s="438" t="s">
        <v>215</v>
      </c>
      <c r="D33" s="438" t="s">
        <v>9</v>
      </c>
      <c r="E33" s="438" t="s">
        <v>11</v>
      </c>
      <c r="F33" s="438" t="s">
        <v>24</v>
      </c>
      <c r="G33" s="438" t="s">
        <v>210</v>
      </c>
      <c r="H33" s="438">
        <v>7</v>
      </c>
      <c r="I33" s="438">
        <v>1</v>
      </c>
      <c r="J33" s="438">
        <v>1</v>
      </c>
      <c r="K33" s="438">
        <v>2</v>
      </c>
      <c r="L33" s="438">
        <v>2</v>
      </c>
      <c r="M33" s="438">
        <v>1</v>
      </c>
      <c r="N33" s="438">
        <v>1</v>
      </c>
      <c r="O33" s="1746"/>
      <c r="P33" s="439" t="str">
        <f t="shared" si="2"/>
        <v>07010102020101</v>
      </c>
      <c r="Q33" s="440"/>
      <c r="R33" s="441"/>
      <c r="S33" s="440">
        <v>35</v>
      </c>
      <c r="T33" s="440">
        <v>10</v>
      </c>
      <c r="U33" s="440">
        <v>8</v>
      </c>
      <c r="V33" s="440">
        <v>8</v>
      </c>
      <c r="W33" s="440"/>
      <c r="X33" s="440"/>
      <c r="Y33" s="440"/>
      <c r="Z33" s="440"/>
      <c r="AA33" s="440"/>
      <c r="AB33" s="440"/>
      <c r="AC33" s="440"/>
      <c r="AD33" s="440">
        <f t="shared" si="4"/>
        <v>61</v>
      </c>
      <c r="AE33" s="1756"/>
      <c r="AF33" s="442" t="s">
        <v>237</v>
      </c>
      <c r="AG33" s="462">
        <v>5</v>
      </c>
      <c r="AH33" s="444">
        <f t="shared" si="6"/>
        <v>10</v>
      </c>
      <c r="AI33" s="444">
        <v>2</v>
      </c>
      <c r="AJ33" s="444">
        <v>7</v>
      </c>
      <c r="AK33" s="444">
        <f t="shared" si="7"/>
        <v>80</v>
      </c>
      <c r="AL33" s="444">
        <f t="shared" si="10"/>
        <v>1.1000000000000001</v>
      </c>
      <c r="AM33" s="444"/>
      <c r="AN33" s="444">
        <f>IF('1.Hoja_de_Cotización'!$R$7=5,IF($BB$2=9,0,Hoja_Cambio!$AR$32),IF($BB$2=9,0,Cálculos!$C$107))</f>
        <v>0</v>
      </c>
      <c r="AO33" s="444"/>
      <c r="AP33" s="444">
        <f t="shared" si="3"/>
        <v>100.1</v>
      </c>
      <c r="AQ33" s="1760"/>
      <c r="AR33" s="442" t="s">
        <v>237</v>
      </c>
      <c r="AS33" s="418">
        <f>TabGtos!D77</f>
        <v>0</v>
      </c>
      <c r="AT33" s="445"/>
    </row>
    <row r="34" spans="1:46" x14ac:dyDescent="0.2">
      <c r="A34" s="1742"/>
      <c r="B34" s="437">
        <v>340</v>
      </c>
      <c r="C34" s="438" t="s">
        <v>215</v>
      </c>
      <c r="D34" s="438" t="s">
        <v>17</v>
      </c>
      <c r="E34" s="438" t="s">
        <v>11</v>
      </c>
      <c r="F34" s="438" t="s">
        <v>24</v>
      </c>
      <c r="G34" s="438" t="s">
        <v>22</v>
      </c>
      <c r="H34" s="438">
        <v>7</v>
      </c>
      <c r="I34" s="438">
        <v>2</v>
      </c>
      <c r="J34" s="438">
        <v>1</v>
      </c>
      <c r="K34" s="438">
        <v>2</v>
      </c>
      <c r="L34" s="438">
        <v>1</v>
      </c>
      <c r="M34" s="438">
        <v>1</v>
      </c>
      <c r="N34" s="438">
        <v>1</v>
      </c>
      <c r="O34" s="1746"/>
      <c r="P34" s="439" t="str">
        <f t="shared" si="2"/>
        <v>07020102010101</v>
      </c>
      <c r="Q34" s="440"/>
      <c r="R34" s="441"/>
      <c r="S34" s="440">
        <v>35</v>
      </c>
      <c r="T34" s="440">
        <v>10</v>
      </c>
      <c r="U34" s="440">
        <v>8</v>
      </c>
      <c r="V34" s="440">
        <v>8</v>
      </c>
      <c r="W34" s="440"/>
      <c r="X34" s="440"/>
      <c r="Y34" s="440"/>
      <c r="Z34" s="440"/>
      <c r="AA34" s="440"/>
      <c r="AB34" s="440"/>
      <c r="AC34" s="440"/>
      <c r="AD34" s="440">
        <f t="shared" si="4"/>
        <v>61</v>
      </c>
      <c r="AE34" s="1756"/>
      <c r="AF34" s="442" t="s">
        <v>362</v>
      </c>
      <c r="AG34" s="462">
        <v>5</v>
      </c>
      <c r="AH34" s="444">
        <f t="shared" si="6"/>
        <v>10</v>
      </c>
      <c r="AI34" s="444">
        <v>2</v>
      </c>
      <c r="AJ34" s="444">
        <v>7</v>
      </c>
      <c r="AK34" s="444">
        <f t="shared" si="7"/>
        <v>80</v>
      </c>
      <c r="AL34" s="444">
        <f t="shared" si="10"/>
        <v>1.1000000000000001</v>
      </c>
      <c r="AM34" s="444"/>
      <c r="AN34" s="444">
        <f>IF('1.Hoja_de_Cotización'!$R$7=5,IF($BB$2=9,0,Hoja_Cambio!$AR$32),IF($BB$2=9,0,Cálculos!$C$107))</f>
        <v>0</v>
      </c>
      <c r="AO34" s="444"/>
      <c r="AP34" s="444">
        <f t="shared" si="3"/>
        <v>100.1</v>
      </c>
      <c r="AQ34" s="1760"/>
      <c r="AR34" s="442" t="s">
        <v>362</v>
      </c>
      <c r="AS34" s="418">
        <f>TabGtos!D77</f>
        <v>0</v>
      </c>
      <c r="AT34" s="445"/>
    </row>
    <row r="35" spans="1:46" x14ac:dyDescent="0.2">
      <c r="A35" s="1742"/>
      <c r="B35" s="437">
        <v>341</v>
      </c>
      <c r="C35" s="438" t="s">
        <v>215</v>
      </c>
      <c r="D35" s="438" t="s">
        <v>17</v>
      </c>
      <c r="E35" s="438" t="s">
        <v>11</v>
      </c>
      <c r="F35" s="438" t="s">
        <v>24</v>
      </c>
      <c r="G35" s="438" t="s">
        <v>210</v>
      </c>
      <c r="H35" s="438">
        <v>7</v>
      </c>
      <c r="I35" s="438">
        <v>2</v>
      </c>
      <c r="J35" s="438">
        <v>1</v>
      </c>
      <c r="K35" s="438">
        <v>2</v>
      </c>
      <c r="L35" s="438">
        <v>2</v>
      </c>
      <c r="M35" s="438">
        <v>1</v>
      </c>
      <c r="N35" s="438">
        <v>1</v>
      </c>
      <c r="O35" s="1746"/>
      <c r="P35" s="439" t="str">
        <f t="shared" si="2"/>
        <v>07020102020101</v>
      </c>
      <c r="Q35" s="440"/>
      <c r="R35" s="441"/>
      <c r="S35" s="440">
        <v>35</v>
      </c>
      <c r="T35" s="440">
        <v>10</v>
      </c>
      <c r="U35" s="440">
        <v>8</v>
      </c>
      <c r="V35" s="440">
        <v>8</v>
      </c>
      <c r="W35" s="440"/>
      <c r="X35" s="440"/>
      <c r="Y35" s="440"/>
      <c r="Z35" s="440"/>
      <c r="AA35" s="440"/>
      <c r="AB35" s="440"/>
      <c r="AC35" s="440"/>
      <c r="AD35" s="440">
        <f t="shared" si="4"/>
        <v>61</v>
      </c>
      <c r="AE35" s="1756"/>
      <c r="AF35" s="442" t="s">
        <v>238</v>
      </c>
      <c r="AG35" s="462">
        <v>5</v>
      </c>
      <c r="AH35" s="444">
        <f t="shared" si="6"/>
        <v>10</v>
      </c>
      <c r="AI35" s="444">
        <v>2</v>
      </c>
      <c r="AJ35" s="444">
        <v>7</v>
      </c>
      <c r="AK35" s="444">
        <f t="shared" si="7"/>
        <v>80</v>
      </c>
      <c r="AL35" s="444">
        <f t="shared" si="10"/>
        <v>1.1000000000000001</v>
      </c>
      <c r="AM35" s="444"/>
      <c r="AN35" s="444">
        <f>IF('1.Hoja_de_Cotización'!$R$7=5,IF($BB$2=9,0,Hoja_Cambio!$AR$32),IF($BB$2=9,0,Cálculos!$C$107))</f>
        <v>0</v>
      </c>
      <c r="AO35" s="444"/>
      <c r="AP35" s="444">
        <f t="shared" si="3"/>
        <v>100.1</v>
      </c>
      <c r="AQ35" s="1760"/>
      <c r="AR35" s="442" t="s">
        <v>238</v>
      </c>
      <c r="AS35" s="418">
        <f>TabGtos!D77</f>
        <v>0</v>
      </c>
      <c r="AT35" s="445"/>
    </row>
    <row r="36" spans="1:46" x14ac:dyDescent="0.2">
      <c r="A36" s="1742"/>
      <c r="B36" s="437">
        <v>427</v>
      </c>
      <c r="C36" s="438" t="s">
        <v>31</v>
      </c>
      <c r="D36" s="438" t="s">
        <v>9</v>
      </c>
      <c r="E36" s="438" t="s">
        <v>11</v>
      </c>
      <c r="F36" s="438" t="s">
        <v>24</v>
      </c>
      <c r="G36" s="438" t="s">
        <v>22</v>
      </c>
      <c r="H36" s="438">
        <v>11</v>
      </c>
      <c r="I36" s="438">
        <v>1</v>
      </c>
      <c r="J36" s="438">
        <v>1</v>
      </c>
      <c r="K36" s="438">
        <v>2</v>
      </c>
      <c r="L36" s="438">
        <v>1</v>
      </c>
      <c r="M36" s="438">
        <v>1</v>
      </c>
      <c r="N36" s="438">
        <v>1</v>
      </c>
      <c r="O36" s="1746"/>
      <c r="P36" s="439" t="str">
        <f t="shared" si="2"/>
        <v>11010102010101</v>
      </c>
      <c r="Q36" s="440"/>
      <c r="R36" s="441"/>
      <c r="S36" s="441"/>
      <c r="T36" s="440">
        <v>10</v>
      </c>
      <c r="U36" s="440">
        <v>8</v>
      </c>
      <c r="V36" s="440">
        <v>8</v>
      </c>
      <c r="W36" s="440"/>
      <c r="X36" s="440"/>
      <c r="Y36" s="440"/>
      <c r="Z36" s="440"/>
      <c r="AA36" s="440"/>
      <c r="AB36" s="440"/>
      <c r="AC36" s="440"/>
      <c r="AD36" s="440">
        <f t="shared" si="4"/>
        <v>26</v>
      </c>
      <c r="AE36" s="1756"/>
      <c r="AF36" s="442" t="s">
        <v>363</v>
      </c>
      <c r="AG36" s="443">
        <v>5</v>
      </c>
      <c r="AH36" s="444">
        <f t="shared" si="6"/>
        <v>10</v>
      </c>
      <c r="AI36" s="444">
        <v>2</v>
      </c>
      <c r="AJ36" s="444">
        <v>7</v>
      </c>
      <c r="AK36" s="444">
        <f t="shared" si="7"/>
        <v>80</v>
      </c>
      <c r="AL36" s="444">
        <f>ROUND(((AG36-1)*0.1)*2+0.15*2,2)</f>
        <v>1.1000000000000001</v>
      </c>
      <c r="AM36" s="444"/>
      <c r="AN36" s="444">
        <f>IF('1.Hoja_de_Cotización'!$R$7=5,IF($BB$2=9,0,Hoja_Cambio!$AR$32),IF($BB$2=9,0,Cálculos!$C$107))</f>
        <v>0</v>
      </c>
      <c r="AO36" s="444"/>
      <c r="AP36" s="444">
        <f t="shared" si="3"/>
        <v>100.1</v>
      </c>
      <c r="AQ36" s="1760"/>
      <c r="AR36" s="442" t="s">
        <v>363</v>
      </c>
      <c r="AS36" s="418">
        <f>TabGtos!I31</f>
        <v>400</v>
      </c>
      <c r="AT36" s="445"/>
    </row>
    <row r="37" spans="1:46" x14ac:dyDescent="0.2">
      <c r="A37" s="1742"/>
      <c r="B37" s="437">
        <v>428</v>
      </c>
      <c r="C37" s="438" t="s">
        <v>31</v>
      </c>
      <c r="D37" s="438" t="s">
        <v>17</v>
      </c>
      <c r="E37" s="438" t="s">
        <v>11</v>
      </c>
      <c r="F37" s="438" t="s">
        <v>24</v>
      </c>
      <c r="G37" s="438" t="s">
        <v>22</v>
      </c>
      <c r="H37" s="438">
        <v>11</v>
      </c>
      <c r="I37" s="438">
        <v>2</v>
      </c>
      <c r="J37" s="438">
        <v>1</v>
      </c>
      <c r="K37" s="438">
        <v>2</v>
      </c>
      <c r="L37" s="438">
        <v>1</v>
      </c>
      <c r="M37" s="438">
        <v>1</v>
      </c>
      <c r="N37" s="438">
        <v>1</v>
      </c>
      <c r="O37" s="1746"/>
      <c r="P37" s="439" t="str">
        <f t="shared" si="2"/>
        <v>11020102010101</v>
      </c>
      <c r="Q37" s="440"/>
      <c r="R37" s="441"/>
      <c r="S37" s="441"/>
      <c r="T37" s="440">
        <v>10</v>
      </c>
      <c r="U37" s="440">
        <v>8</v>
      </c>
      <c r="V37" s="440">
        <v>8</v>
      </c>
      <c r="W37" s="440"/>
      <c r="X37" s="440"/>
      <c r="Y37" s="440"/>
      <c r="Z37" s="440"/>
      <c r="AA37" s="440"/>
      <c r="AB37" s="440"/>
      <c r="AC37" s="440"/>
      <c r="AD37" s="440">
        <f t="shared" si="4"/>
        <v>26</v>
      </c>
      <c r="AE37" s="1756"/>
      <c r="AF37" s="442" t="s">
        <v>364</v>
      </c>
      <c r="AG37" s="443">
        <v>5</v>
      </c>
      <c r="AH37" s="444">
        <f t="shared" si="6"/>
        <v>10</v>
      </c>
      <c r="AI37" s="444">
        <v>2</v>
      </c>
      <c r="AJ37" s="444">
        <v>7</v>
      </c>
      <c r="AK37" s="444">
        <f t="shared" si="7"/>
        <v>80</v>
      </c>
      <c r="AL37" s="444">
        <f t="shared" ref="AL37:AL45" si="11">ROUND(((AG37-1)*0.1)*2+0.15*2,2)</f>
        <v>1.1000000000000001</v>
      </c>
      <c r="AM37" s="444"/>
      <c r="AN37" s="444">
        <f>IF('1.Hoja_de_Cotización'!$R$7=5,IF($BB$2=9,0,Hoja_Cambio!$AR$32),IF($BB$2=9,0,Cálculos!$C$107))</f>
        <v>0</v>
      </c>
      <c r="AO37" s="444"/>
      <c r="AP37" s="444">
        <f t="shared" si="3"/>
        <v>100.1</v>
      </c>
      <c r="AQ37" s="1760"/>
      <c r="AR37" s="442" t="s">
        <v>364</v>
      </c>
      <c r="AS37" s="418">
        <f>TabGtos!I31</f>
        <v>400</v>
      </c>
      <c r="AT37" s="445"/>
    </row>
    <row r="38" spans="1:46" x14ac:dyDescent="0.2">
      <c r="A38" s="1742"/>
      <c r="B38" s="437">
        <v>445</v>
      </c>
      <c r="C38" s="438" t="s">
        <v>31</v>
      </c>
      <c r="D38" s="438" t="s">
        <v>9</v>
      </c>
      <c r="E38" s="438" t="s">
        <v>11</v>
      </c>
      <c r="F38" s="438" t="s">
        <v>24</v>
      </c>
      <c r="G38" s="438" t="s">
        <v>210</v>
      </c>
      <c r="H38" s="438">
        <v>11</v>
      </c>
      <c r="I38" s="438">
        <v>1</v>
      </c>
      <c r="J38" s="438">
        <v>1</v>
      </c>
      <c r="K38" s="438">
        <v>2</v>
      </c>
      <c r="L38" s="438">
        <v>2</v>
      </c>
      <c r="M38" s="438">
        <v>1</v>
      </c>
      <c r="N38" s="438">
        <v>1</v>
      </c>
      <c r="O38" s="1746"/>
      <c r="P38" s="439" t="str">
        <f t="shared" si="2"/>
        <v>11010102020101</v>
      </c>
      <c r="Q38" s="440"/>
      <c r="R38" s="441"/>
      <c r="S38" s="441"/>
      <c r="T38" s="440">
        <v>10</v>
      </c>
      <c r="U38" s="440">
        <v>8</v>
      </c>
      <c r="V38" s="440">
        <v>8</v>
      </c>
      <c r="W38" s="440"/>
      <c r="X38" s="440"/>
      <c r="Y38" s="440"/>
      <c r="Z38" s="440"/>
      <c r="AA38" s="440"/>
      <c r="AB38" s="440"/>
      <c r="AC38" s="440"/>
      <c r="AD38" s="440">
        <f t="shared" si="4"/>
        <v>26</v>
      </c>
      <c r="AE38" s="1756"/>
      <c r="AF38" s="442" t="s">
        <v>239</v>
      </c>
      <c r="AG38" s="443">
        <v>5</v>
      </c>
      <c r="AH38" s="444">
        <f t="shared" si="6"/>
        <v>10</v>
      </c>
      <c r="AI38" s="444">
        <v>2</v>
      </c>
      <c r="AJ38" s="444">
        <v>7</v>
      </c>
      <c r="AK38" s="444">
        <f t="shared" si="7"/>
        <v>80</v>
      </c>
      <c r="AL38" s="444">
        <f t="shared" si="11"/>
        <v>1.1000000000000001</v>
      </c>
      <c r="AM38" s="444"/>
      <c r="AN38" s="444">
        <f>IF('1.Hoja_de_Cotización'!$R$7=5,IF($BB$2=9,0,Hoja_Cambio!$AR$32),IF($BB$2=9,0,Cálculos!$C$107))</f>
        <v>0</v>
      </c>
      <c r="AO38" s="444"/>
      <c r="AP38" s="444">
        <f t="shared" si="3"/>
        <v>100.1</v>
      </c>
      <c r="AQ38" s="1760"/>
      <c r="AR38" s="442" t="s">
        <v>239</v>
      </c>
      <c r="AS38" s="418">
        <f>TabGtos!I31</f>
        <v>400</v>
      </c>
      <c r="AT38" s="445"/>
    </row>
    <row r="39" spans="1:46" x14ac:dyDescent="0.2">
      <c r="A39" s="1742"/>
      <c r="B39" s="437">
        <v>446</v>
      </c>
      <c r="C39" s="438" t="s">
        <v>31</v>
      </c>
      <c r="D39" s="438" t="s">
        <v>17</v>
      </c>
      <c r="E39" s="438" t="s">
        <v>11</v>
      </c>
      <c r="F39" s="438" t="s">
        <v>24</v>
      </c>
      <c r="G39" s="438" t="s">
        <v>210</v>
      </c>
      <c r="H39" s="438">
        <v>11</v>
      </c>
      <c r="I39" s="438">
        <v>2</v>
      </c>
      <c r="J39" s="438">
        <v>1</v>
      </c>
      <c r="K39" s="438">
        <v>2</v>
      </c>
      <c r="L39" s="438">
        <v>2</v>
      </c>
      <c r="M39" s="438">
        <v>1</v>
      </c>
      <c r="N39" s="438">
        <v>1</v>
      </c>
      <c r="O39" s="1746"/>
      <c r="P39" s="439" t="str">
        <f t="shared" si="2"/>
        <v>11020102020101</v>
      </c>
      <c r="Q39" s="440"/>
      <c r="R39" s="441"/>
      <c r="S39" s="441"/>
      <c r="T39" s="440">
        <v>10</v>
      </c>
      <c r="U39" s="440">
        <v>8</v>
      </c>
      <c r="V39" s="440">
        <v>8</v>
      </c>
      <c r="W39" s="440"/>
      <c r="X39" s="440"/>
      <c r="Y39" s="440"/>
      <c r="Z39" s="440"/>
      <c r="AA39" s="440"/>
      <c r="AB39" s="440"/>
      <c r="AC39" s="440"/>
      <c r="AD39" s="440">
        <f t="shared" si="4"/>
        <v>26</v>
      </c>
      <c r="AE39" s="1756"/>
      <c r="AF39" s="442" t="s">
        <v>240</v>
      </c>
      <c r="AG39" s="443">
        <v>5</v>
      </c>
      <c r="AH39" s="444">
        <f t="shared" si="6"/>
        <v>10</v>
      </c>
      <c r="AI39" s="444">
        <v>2</v>
      </c>
      <c r="AJ39" s="444">
        <v>7</v>
      </c>
      <c r="AK39" s="444">
        <f t="shared" si="7"/>
        <v>80</v>
      </c>
      <c r="AL39" s="444">
        <f t="shared" si="11"/>
        <v>1.1000000000000001</v>
      </c>
      <c r="AM39" s="444"/>
      <c r="AN39" s="444">
        <f>IF('1.Hoja_de_Cotización'!$R$7=5,IF($BB$2=9,0,Hoja_Cambio!$AR$32),IF($BB$2=9,0,Cálculos!$C$107))</f>
        <v>0</v>
      </c>
      <c r="AO39" s="444"/>
      <c r="AP39" s="444">
        <f t="shared" si="3"/>
        <v>100.1</v>
      </c>
      <c r="AQ39" s="1760"/>
      <c r="AR39" s="442" t="s">
        <v>240</v>
      </c>
      <c r="AS39" s="418">
        <f>TabGtos!I31</f>
        <v>400</v>
      </c>
      <c r="AT39" s="445"/>
    </row>
    <row r="40" spans="1:46" x14ac:dyDescent="0.2">
      <c r="A40" s="1742"/>
      <c r="B40" s="437">
        <v>447</v>
      </c>
      <c r="C40" s="438" t="s">
        <v>12</v>
      </c>
      <c r="D40" s="438" t="s">
        <v>9</v>
      </c>
      <c r="E40" s="438" t="s">
        <v>19</v>
      </c>
      <c r="F40" s="438" t="s">
        <v>21</v>
      </c>
      <c r="G40" s="438" t="s">
        <v>210</v>
      </c>
      <c r="H40" s="438">
        <v>8</v>
      </c>
      <c r="I40" s="438">
        <v>1</v>
      </c>
      <c r="J40" s="438">
        <v>3</v>
      </c>
      <c r="K40" s="438">
        <v>1</v>
      </c>
      <c r="L40" s="438">
        <v>2</v>
      </c>
      <c r="M40" s="438">
        <v>1</v>
      </c>
      <c r="N40" s="438">
        <v>1</v>
      </c>
      <c r="O40" s="1746"/>
      <c r="P40" s="439" t="str">
        <f t="shared" si="2"/>
        <v>08010301020101</v>
      </c>
      <c r="Q40" s="440">
        <f>ROUNDUP('1.Hoja_de_Cotización'!$C$44/1000,0)*3</f>
        <v>0</v>
      </c>
      <c r="R40" s="441"/>
      <c r="S40" s="441"/>
      <c r="T40" s="440">
        <v>10</v>
      </c>
      <c r="U40" s="440">
        <v>8</v>
      </c>
      <c r="V40" s="440">
        <v>8</v>
      </c>
      <c r="W40" s="440"/>
      <c r="X40" s="440"/>
      <c r="Y40" s="440"/>
      <c r="Z40" s="440"/>
      <c r="AA40" s="440"/>
      <c r="AB40" s="440"/>
      <c r="AC40" s="440"/>
      <c r="AD40" s="440">
        <f t="shared" si="4"/>
        <v>26</v>
      </c>
      <c r="AE40" s="1756"/>
      <c r="AF40" s="442" t="s">
        <v>365</v>
      </c>
      <c r="AG40" s="443">
        <v>10</v>
      </c>
      <c r="AH40" s="444">
        <f t="shared" si="6"/>
        <v>20</v>
      </c>
      <c r="AI40" s="444">
        <v>2</v>
      </c>
      <c r="AJ40" s="444">
        <v>7</v>
      </c>
      <c r="AK40" s="444">
        <f t="shared" si="7"/>
        <v>160</v>
      </c>
      <c r="AL40" s="444">
        <f t="shared" si="11"/>
        <v>2.1</v>
      </c>
      <c r="AM40" s="444"/>
      <c r="AN40" s="444">
        <f>IF('1.Hoja_de_Cotización'!$R$7=5,IF($BB$2=9,0,Hoja_Cambio!$AR$32),IF($BB$2=9,0,Cálculos!$C$107))</f>
        <v>0</v>
      </c>
      <c r="AO40" s="444"/>
      <c r="AP40" s="444">
        <f t="shared" si="3"/>
        <v>191.1</v>
      </c>
      <c r="AQ40" s="1760"/>
      <c r="AR40" s="442" t="s">
        <v>365</v>
      </c>
      <c r="AS40" s="418">
        <f>TabGtos!D63</f>
        <v>0</v>
      </c>
      <c r="AT40" s="445"/>
    </row>
    <row r="41" spans="1:46" x14ac:dyDescent="0.2">
      <c r="A41" s="1742"/>
      <c r="B41" s="437">
        <v>448</v>
      </c>
      <c r="C41" s="438" t="s">
        <v>12</v>
      </c>
      <c r="D41" s="438" t="s">
        <v>9</v>
      </c>
      <c r="E41" s="438" t="s">
        <v>19</v>
      </c>
      <c r="F41" s="438" t="s">
        <v>21</v>
      </c>
      <c r="G41" s="438" t="s">
        <v>22</v>
      </c>
      <c r="H41" s="438">
        <v>8</v>
      </c>
      <c r="I41" s="438">
        <v>1</v>
      </c>
      <c r="J41" s="438">
        <v>3</v>
      </c>
      <c r="K41" s="438">
        <v>1</v>
      </c>
      <c r="L41" s="438">
        <v>1</v>
      </c>
      <c r="M41" s="438">
        <v>1</v>
      </c>
      <c r="N41" s="438">
        <v>1</v>
      </c>
      <c r="O41" s="1746"/>
      <c r="P41" s="439" t="str">
        <f t="shared" si="2"/>
        <v>08010301010101</v>
      </c>
      <c r="Q41" s="440">
        <f>ROUNDUP('1.Hoja_de_Cotización'!$C$44/1000,0)*3</f>
        <v>0</v>
      </c>
      <c r="R41" s="441"/>
      <c r="S41" s="441"/>
      <c r="T41" s="440">
        <v>10</v>
      </c>
      <c r="U41" s="440">
        <v>8</v>
      </c>
      <c r="V41" s="440">
        <v>8</v>
      </c>
      <c r="W41" s="440"/>
      <c r="X41" s="440"/>
      <c r="Y41" s="440"/>
      <c r="Z41" s="440"/>
      <c r="AA41" s="440"/>
      <c r="AB41" s="440"/>
      <c r="AC41" s="440"/>
      <c r="AD41" s="440">
        <f t="shared" si="4"/>
        <v>26</v>
      </c>
      <c r="AE41" s="1756"/>
      <c r="AF41" s="442" t="s">
        <v>366</v>
      </c>
      <c r="AG41" s="443">
        <v>10</v>
      </c>
      <c r="AH41" s="444">
        <f t="shared" si="6"/>
        <v>20</v>
      </c>
      <c r="AI41" s="444">
        <v>2</v>
      </c>
      <c r="AJ41" s="444">
        <v>7</v>
      </c>
      <c r="AK41" s="444">
        <f t="shared" si="7"/>
        <v>160</v>
      </c>
      <c r="AL41" s="444">
        <f t="shared" si="11"/>
        <v>2.1</v>
      </c>
      <c r="AM41" s="444"/>
      <c r="AN41" s="444">
        <f>IF('1.Hoja_de_Cotización'!$R$7=5,IF($BB$2=9,0,Hoja_Cambio!$AR$32),IF($BB$2=9,0,Cálculos!$C$107))</f>
        <v>0</v>
      </c>
      <c r="AO41" s="444"/>
      <c r="AP41" s="444">
        <f t="shared" si="3"/>
        <v>191.1</v>
      </c>
      <c r="AQ41" s="1760"/>
      <c r="AR41" s="442" t="s">
        <v>366</v>
      </c>
      <c r="AS41" s="418">
        <f>TabGtos!D63</f>
        <v>0</v>
      </c>
      <c r="AT41" s="445"/>
    </row>
    <row r="42" spans="1:46" x14ac:dyDescent="0.2">
      <c r="A42" s="1742"/>
      <c r="B42" s="437">
        <v>449</v>
      </c>
      <c r="C42" s="438" t="s">
        <v>12</v>
      </c>
      <c r="D42" s="438" t="s">
        <v>17</v>
      </c>
      <c r="E42" s="438" t="s">
        <v>19</v>
      </c>
      <c r="F42" s="438" t="s">
        <v>21</v>
      </c>
      <c r="G42" s="438" t="s">
        <v>210</v>
      </c>
      <c r="H42" s="438">
        <v>8</v>
      </c>
      <c r="I42" s="438">
        <v>2</v>
      </c>
      <c r="J42" s="438">
        <v>3</v>
      </c>
      <c r="K42" s="438">
        <v>1</v>
      </c>
      <c r="L42" s="438">
        <v>2</v>
      </c>
      <c r="M42" s="438">
        <v>1</v>
      </c>
      <c r="N42" s="438">
        <v>1</v>
      </c>
      <c r="O42" s="1746"/>
      <c r="P42" s="439" t="str">
        <f t="shared" si="2"/>
        <v>08020301020101</v>
      </c>
      <c r="Q42" s="440">
        <f>ROUNDUP('1.Hoja_de_Cotización'!$C$44/1000,0)*3</f>
        <v>0</v>
      </c>
      <c r="R42" s="441"/>
      <c r="S42" s="441"/>
      <c r="T42" s="440">
        <v>10</v>
      </c>
      <c r="U42" s="440">
        <v>8</v>
      </c>
      <c r="V42" s="440">
        <v>8</v>
      </c>
      <c r="W42" s="440"/>
      <c r="X42" s="440"/>
      <c r="Y42" s="440"/>
      <c r="Z42" s="440"/>
      <c r="AA42" s="440"/>
      <c r="AB42" s="440"/>
      <c r="AC42" s="440"/>
      <c r="AD42" s="440">
        <f t="shared" si="4"/>
        <v>26</v>
      </c>
      <c r="AE42" s="1756"/>
      <c r="AF42" s="442" t="s">
        <v>367</v>
      </c>
      <c r="AG42" s="443">
        <v>10</v>
      </c>
      <c r="AH42" s="444">
        <f t="shared" si="6"/>
        <v>20</v>
      </c>
      <c r="AI42" s="444">
        <v>2</v>
      </c>
      <c r="AJ42" s="444">
        <v>7</v>
      </c>
      <c r="AK42" s="444">
        <f t="shared" si="7"/>
        <v>160</v>
      </c>
      <c r="AL42" s="444">
        <f t="shared" si="11"/>
        <v>2.1</v>
      </c>
      <c r="AM42" s="444"/>
      <c r="AN42" s="444">
        <f>IF('1.Hoja_de_Cotización'!$R$7=5,IF($BB$2=9,0,Hoja_Cambio!$AR$32),IF($BB$2=9,0,Cálculos!$C$107))</f>
        <v>0</v>
      </c>
      <c r="AO42" s="444"/>
      <c r="AP42" s="444">
        <f t="shared" si="3"/>
        <v>191.1</v>
      </c>
      <c r="AQ42" s="1760"/>
      <c r="AR42" s="442" t="s">
        <v>367</v>
      </c>
      <c r="AS42" s="418">
        <f>TabGtos!N2</f>
        <v>0</v>
      </c>
      <c r="AT42" s="445"/>
    </row>
    <row r="43" spans="1:46" x14ac:dyDescent="0.2">
      <c r="A43" s="1742"/>
      <c r="B43" s="437">
        <v>450</v>
      </c>
      <c r="C43" s="438" t="s">
        <v>12</v>
      </c>
      <c r="D43" s="438" t="s">
        <v>17</v>
      </c>
      <c r="E43" s="438" t="s">
        <v>19</v>
      </c>
      <c r="F43" s="438" t="s">
        <v>21</v>
      </c>
      <c r="G43" s="438" t="s">
        <v>22</v>
      </c>
      <c r="H43" s="438">
        <v>8</v>
      </c>
      <c r="I43" s="438">
        <v>2</v>
      </c>
      <c r="J43" s="438">
        <v>3</v>
      </c>
      <c r="K43" s="438">
        <v>1</v>
      </c>
      <c r="L43" s="438">
        <v>1</v>
      </c>
      <c r="M43" s="438">
        <v>1</v>
      </c>
      <c r="N43" s="438">
        <v>1</v>
      </c>
      <c r="O43" s="1746"/>
      <c r="P43" s="439" t="str">
        <f t="shared" si="2"/>
        <v>08020301010101</v>
      </c>
      <c r="Q43" s="440">
        <f>ROUNDUP('1.Hoja_de_Cotización'!$C$44/1000,0)*3</f>
        <v>0</v>
      </c>
      <c r="R43" s="441"/>
      <c r="S43" s="441"/>
      <c r="T43" s="440">
        <v>10</v>
      </c>
      <c r="U43" s="440">
        <v>8</v>
      </c>
      <c r="V43" s="440">
        <v>8</v>
      </c>
      <c r="W43" s="440"/>
      <c r="X43" s="440"/>
      <c r="Y43" s="440"/>
      <c r="Z43" s="440"/>
      <c r="AA43" s="440"/>
      <c r="AB43" s="440"/>
      <c r="AC43" s="440"/>
      <c r="AD43" s="440">
        <f t="shared" si="4"/>
        <v>26</v>
      </c>
      <c r="AE43" s="1756"/>
      <c r="AF43" s="442" t="s">
        <v>368</v>
      </c>
      <c r="AG43" s="443">
        <v>10</v>
      </c>
      <c r="AH43" s="444">
        <f t="shared" si="6"/>
        <v>20</v>
      </c>
      <c r="AI43" s="444">
        <v>2</v>
      </c>
      <c r="AJ43" s="444">
        <v>7</v>
      </c>
      <c r="AK43" s="444">
        <f t="shared" si="7"/>
        <v>160</v>
      </c>
      <c r="AL43" s="444">
        <f t="shared" si="11"/>
        <v>2.1</v>
      </c>
      <c r="AM43" s="444"/>
      <c r="AN43" s="444">
        <f>IF('1.Hoja_de_Cotización'!$R$7=5,IF($BB$2=9,0,Hoja_Cambio!$AR$32),IF($BB$2=9,0,Cálculos!$C$107))</f>
        <v>0</v>
      </c>
      <c r="AO43" s="444"/>
      <c r="AP43" s="444">
        <f t="shared" si="3"/>
        <v>191.1</v>
      </c>
      <c r="AQ43" s="1760"/>
      <c r="AR43" s="442" t="s">
        <v>368</v>
      </c>
      <c r="AS43" s="418">
        <f>TabGtos!N2</f>
        <v>0</v>
      </c>
      <c r="AT43" s="445"/>
    </row>
    <row r="44" spans="1:46" x14ac:dyDescent="0.2">
      <c r="A44" s="1742"/>
      <c r="B44" s="437">
        <v>451</v>
      </c>
      <c r="C44" s="438" t="s">
        <v>216</v>
      </c>
      <c r="D44" s="438" t="s">
        <v>9</v>
      </c>
      <c r="E44" s="438" t="s">
        <v>11</v>
      </c>
      <c r="F44" s="438" t="s">
        <v>24</v>
      </c>
      <c r="G44" s="438" t="s">
        <v>22</v>
      </c>
      <c r="H44" s="438">
        <v>5</v>
      </c>
      <c r="I44" s="438">
        <v>1</v>
      </c>
      <c r="J44" s="438">
        <v>1</v>
      </c>
      <c r="K44" s="438">
        <v>2</v>
      </c>
      <c r="L44" s="438">
        <v>1</v>
      </c>
      <c r="M44" s="438">
        <v>1</v>
      </c>
      <c r="N44" s="438">
        <v>1</v>
      </c>
      <c r="O44" s="1746"/>
      <c r="P44" s="439" t="str">
        <f t="shared" si="2"/>
        <v>05010102010101</v>
      </c>
      <c r="Q44" s="440">
        <f>ROUNDUP('1.Hoja_de_Cotización'!$C$44/1000,0)*3</f>
        <v>0</v>
      </c>
      <c r="R44" s="441"/>
      <c r="S44" s="441"/>
      <c r="T44" s="440">
        <v>10</v>
      </c>
      <c r="U44" s="440">
        <v>8</v>
      </c>
      <c r="V44" s="440">
        <v>8</v>
      </c>
      <c r="W44" s="440"/>
      <c r="X44" s="440">
        <f>ROUNDUP('1.Hoja_de_Cotización'!$C$33/1000,0)*3</f>
        <v>0</v>
      </c>
      <c r="Y44" s="440"/>
      <c r="Z44" s="440"/>
      <c r="AA44" s="440"/>
      <c r="AB44" s="440"/>
      <c r="AC44" s="440"/>
      <c r="AD44" s="440">
        <f t="shared" si="4"/>
        <v>26</v>
      </c>
      <c r="AE44" s="1756"/>
      <c r="AF44" s="442" t="s">
        <v>369</v>
      </c>
      <c r="AG44" s="443">
        <v>13</v>
      </c>
      <c r="AH44" s="444">
        <f t="shared" si="6"/>
        <v>26</v>
      </c>
      <c r="AI44" s="444">
        <v>2</v>
      </c>
      <c r="AJ44" s="444">
        <v>7</v>
      </c>
      <c r="AK44" s="444">
        <f t="shared" si="7"/>
        <v>208</v>
      </c>
      <c r="AL44" s="444">
        <f t="shared" si="11"/>
        <v>2.7</v>
      </c>
      <c r="AM44" s="444">
        <v>10</v>
      </c>
      <c r="AN44" s="444">
        <f>IF('1.Hoja_de_Cotización'!$R$7=5,IF($BB$2=9,0,Hoja_Cambio!$AR$32),IF($BB$2=9,0,Cálculos!$C$107))</f>
        <v>0</v>
      </c>
      <c r="AO44" s="444">
        <v>10</v>
      </c>
      <c r="AP44" s="444">
        <f t="shared" si="3"/>
        <v>265.7</v>
      </c>
      <c r="AQ44" s="1760"/>
      <c r="AR44" s="442" t="s">
        <v>369</v>
      </c>
      <c r="AS44" s="418">
        <f>TabGtos!I2</f>
        <v>0</v>
      </c>
      <c r="AT44" s="445"/>
    </row>
    <row r="45" spans="1:46" x14ac:dyDescent="0.2">
      <c r="A45" s="1742"/>
      <c r="B45" s="437">
        <v>454</v>
      </c>
      <c r="C45" s="438" t="s">
        <v>216</v>
      </c>
      <c r="D45" s="438" t="s">
        <v>9</v>
      </c>
      <c r="E45" s="438" t="s">
        <v>11</v>
      </c>
      <c r="F45" s="438" t="s">
        <v>24</v>
      </c>
      <c r="G45" s="438" t="s">
        <v>210</v>
      </c>
      <c r="H45" s="438">
        <v>5</v>
      </c>
      <c r="I45" s="438">
        <v>1</v>
      </c>
      <c r="J45" s="438">
        <v>1</v>
      </c>
      <c r="K45" s="438">
        <v>2</v>
      </c>
      <c r="L45" s="438">
        <v>2</v>
      </c>
      <c r="M45" s="438">
        <v>1</v>
      </c>
      <c r="N45" s="438">
        <v>1</v>
      </c>
      <c r="O45" s="1746"/>
      <c r="P45" s="439" t="str">
        <f t="shared" si="2"/>
        <v>05010102020101</v>
      </c>
      <c r="Q45" s="440">
        <f>ROUNDUP('1.Hoja_de_Cotización'!$C$44/1000,0)*3</f>
        <v>0</v>
      </c>
      <c r="R45" s="441"/>
      <c r="S45" s="441"/>
      <c r="T45" s="440">
        <v>10</v>
      </c>
      <c r="U45" s="440">
        <v>8</v>
      </c>
      <c r="V45" s="440">
        <v>8</v>
      </c>
      <c r="W45" s="440"/>
      <c r="X45" s="440">
        <f>ROUNDUP('1.Hoja_de_Cotización'!$C$33/1000,0)*3</f>
        <v>0</v>
      </c>
      <c r="Y45" s="440"/>
      <c r="Z45" s="440"/>
      <c r="AA45" s="440"/>
      <c r="AB45" s="440"/>
      <c r="AC45" s="440"/>
      <c r="AD45" s="440">
        <f t="shared" si="4"/>
        <v>26</v>
      </c>
      <c r="AE45" s="1756"/>
      <c r="AF45" s="442" t="s">
        <v>243</v>
      </c>
      <c r="AG45" s="443">
        <v>13</v>
      </c>
      <c r="AH45" s="444">
        <f t="shared" si="6"/>
        <v>26</v>
      </c>
      <c r="AI45" s="444">
        <v>2</v>
      </c>
      <c r="AJ45" s="444">
        <v>7</v>
      </c>
      <c r="AK45" s="444">
        <f t="shared" si="7"/>
        <v>208</v>
      </c>
      <c r="AL45" s="444">
        <f t="shared" si="11"/>
        <v>2.7</v>
      </c>
      <c r="AM45" s="444">
        <v>10</v>
      </c>
      <c r="AN45" s="444">
        <f>IF('1.Hoja_de_Cotización'!$R$7=5,IF($BB$2=9,0,Hoja_Cambio!$AR$32),IF($BB$2=9,0,Cálculos!$C$107))</f>
        <v>0</v>
      </c>
      <c r="AO45" s="444">
        <v>10</v>
      </c>
      <c r="AP45" s="444">
        <f t="shared" si="3"/>
        <v>265.7</v>
      </c>
      <c r="AQ45" s="1760"/>
      <c r="AR45" s="442" t="s">
        <v>243</v>
      </c>
      <c r="AS45" s="418">
        <f>TabGtos!I2</f>
        <v>0</v>
      </c>
      <c r="AT45" s="445"/>
    </row>
    <row r="46" spans="1:46" x14ac:dyDescent="0.2">
      <c r="A46" s="1742"/>
      <c r="B46" s="437">
        <v>475</v>
      </c>
      <c r="C46" s="438" t="s">
        <v>30</v>
      </c>
      <c r="D46" s="438" t="s">
        <v>9</v>
      </c>
      <c r="E46" s="438" t="s">
        <v>11</v>
      </c>
      <c r="F46" s="438" t="s">
        <v>24</v>
      </c>
      <c r="G46" s="438" t="s">
        <v>22</v>
      </c>
      <c r="H46" s="438">
        <v>9</v>
      </c>
      <c r="I46" s="438">
        <v>1</v>
      </c>
      <c r="J46" s="438">
        <v>1</v>
      </c>
      <c r="K46" s="438">
        <v>2</v>
      </c>
      <c r="L46" s="438">
        <v>1</v>
      </c>
      <c r="M46" s="438">
        <v>1</v>
      </c>
      <c r="N46" s="438">
        <v>1</v>
      </c>
      <c r="O46" s="1746"/>
      <c r="P46" s="439" t="str">
        <f t="shared" si="2"/>
        <v>09010102010101</v>
      </c>
      <c r="Q46" s="440"/>
      <c r="R46" s="440">
        <v>35</v>
      </c>
      <c r="S46" s="441"/>
      <c r="T46" s="440">
        <v>10</v>
      </c>
      <c r="U46" s="440">
        <v>8</v>
      </c>
      <c r="V46" s="440">
        <v>8</v>
      </c>
      <c r="W46" s="440"/>
      <c r="X46" s="440"/>
      <c r="Y46" s="440"/>
      <c r="Z46" s="440"/>
      <c r="AA46" s="440"/>
      <c r="AB46" s="440"/>
      <c r="AC46" s="440"/>
      <c r="AD46" s="440">
        <f t="shared" si="4"/>
        <v>61</v>
      </c>
      <c r="AE46" s="1756"/>
      <c r="AF46" s="442" t="s">
        <v>370</v>
      </c>
      <c r="AG46" s="443">
        <v>5</v>
      </c>
      <c r="AH46" s="444">
        <f t="shared" si="6"/>
        <v>10</v>
      </c>
      <c r="AI46" s="444">
        <v>2</v>
      </c>
      <c r="AJ46" s="444">
        <v>7</v>
      </c>
      <c r="AK46" s="444">
        <f t="shared" si="7"/>
        <v>80</v>
      </c>
      <c r="AL46" s="444">
        <f t="shared" ref="AL46:AL50" si="12">ROUND(((AG46-1)*0.1)*2+0.15*2,2)</f>
        <v>1.1000000000000001</v>
      </c>
      <c r="AM46" s="444"/>
      <c r="AN46" s="444">
        <f>IF('1.Hoja_de_Cotización'!$R$7=5,IF($BB$2=9,0,Hoja_Cambio!$AR$32),IF($BB$2=9,0,Cálculos!$C$107))</f>
        <v>0</v>
      </c>
      <c r="AO46" s="444">
        <v>10</v>
      </c>
      <c r="AP46" s="444">
        <f t="shared" si="3"/>
        <v>110.1</v>
      </c>
      <c r="AQ46" s="1760"/>
      <c r="AR46" s="442" t="s">
        <v>370</v>
      </c>
      <c r="AS46" s="418">
        <f>TabGtos!I31</f>
        <v>400</v>
      </c>
      <c r="AT46" s="445"/>
    </row>
    <row r="47" spans="1:46" x14ac:dyDescent="0.2">
      <c r="A47" s="1742"/>
      <c r="B47" s="437">
        <v>476</v>
      </c>
      <c r="C47" s="438" t="s">
        <v>30</v>
      </c>
      <c r="D47" s="438" t="s">
        <v>9</v>
      </c>
      <c r="E47" s="438" t="s">
        <v>11</v>
      </c>
      <c r="F47" s="438" t="s">
        <v>24</v>
      </c>
      <c r="G47" s="438" t="s">
        <v>210</v>
      </c>
      <c r="H47" s="438">
        <v>9</v>
      </c>
      <c r="I47" s="438">
        <v>1</v>
      </c>
      <c r="J47" s="438">
        <v>1</v>
      </c>
      <c r="K47" s="438">
        <v>2</v>
      </c>
      <c r="L47" s="438">
        <v>2</v>
      </c>
      <c r="M47" s="438">
        <v>1</v>
      </c>
      <c r="N47" s="438">
        <v>1</v>
      </c>
      <c r="O47" s="1746"/>
      <c r="P47" s="439" t="str">
        <f t="shared" si="2"/>
        <v>09010102020101</v>
      </c>
      <c r="Q47" s="440"/>
      <c r="R47" s="440">
        <v>35</v>
      </c>
      <c r="S47" s="441"/>
      <c r="T47" s="440">
        <v>10</v>
      </c>
      <c r="U47" s="440">
        <v>8</v>
      </c>
      <c r="V47" s="440">
        <v>8</v>
      </c>
      <c r="W47" s="440"/>
      <c r="X47" s="440"/>
      <c r="Y47" s="440"/>
      <c r="Z47" s="440"/>
      <c r="AA47" s="440"/>
      <c r="AB47" s="440"/>
      <c r="AC47" s="440"/>
      <c r="AD47" s="440">
        <f t="shared" si="4"/>
        <v>61</v>
      </c>
      <c r="AE47" s="1756"/>
      <c r="AF47" s="442" t="s">
        <v>371</v>
      </c>
      <c r="AG47" s="443">
        <v>5</v>
      </c>
      <c r="AH47" s="444">
        <f t="shared" si="6"/>
        <v>10</v>
      </c>
      <c r="AI47" s="444">
        <v>2</v>
      </c>
      <c r="AJ47" s="444">
        <v>7</v>
      </c>
      <c r="AK47" s="444">
        <f t="shared" si="7"/>
        <v>80</v>
      </c>
      <c r="AL47" s="444">
        <f t="shared" si="12"/>
        <v>1.1000000000000001</v>
      </c>
      <c r="AM47" s="444"/>
      <c r="AN47" s="444">
        <f>IF('1.Hoja_de_Cotización'!$R$7=5,IF($BB$2=9,0,Hoja_Cambio!$AR$32),IF($BB$2=9,0,Cálculos!$C$107))</f>
        <v>0</v>
      </c>
      <c r="AO47" s="444">
        <v>10</v>
      </c>
      <c r="AP47" s="444">
        <f t="shared" si="3"/>
        <v>110.1</v>
      </c>
      <c r="AQ47" s="1760"/>
      <c r="AR47" s="442" t="s">
        <v>371</v>
      </c>
      <c r="AS47" s="418">
        <f>TabGtos!I31</f>
        <v>400</v>
      </c>
      <c r="AT47" s="445"/>
    </row>
    <row r="48" spans="1:46" x14ac:dyDescent="0.2">
      <c r="A48" s="1742"/>
      <c r="B48" s="437">
        <v>477</v>
      </c>
      <c r="C48" s="438" t="s">
        <v>30</v>
      </c>
      <c r="D48" s="438" t="s">
        <v>17</v>
      </c>
      <c r="E48" s="438" t="s">
        <v>11</v>
      </c>
      <c r="F48" s="438" t="s">
        <v>24</v>
      </c>
      <c r="G48" s="438" t="s">
        <v>22</v>
      </c>
      <c r="H48" s="438">
        <v>9</v>
      </c>
      <c r="I48" s="438">
        <v>2</v>
      </c>
      <c r="J48" s="438">
        <v>1</v>
      </c>
      <c r="K48" s="438">
        <v>2</v>
      </c>
      <c r="L48" s="438">
        <v>1</v>
      </c>
      <c r="M48" s="438">
        <v>1</v>
      </c>
      <c r="N48" s="438">
        <v>1</v>
      </c>
      <c r="O48" s="1746"/>
      <c r="P48" s="439" t="str">
        <f t="shared" si="2"/>
        <v>09020102010101</v>
      </c>
      <c r="Q48" s="440"/>
      <c r="R48" s="440">
        <v>35</v>
      </c>
      <c r="S48" s="441"/>
      <c r="T48" s="440">
        <v>10</v>
      </c>
      <c r="U48" s="440">
        <v>8</v>
      </c>
      <c r="V48" s="440">
        <v>8</v>
      </c>
      <c r="W48" s="440"/>
      <c r="X48" s="440"/>
      <c r="Y48" s="440"/>
      <c r="Z48" s="440"/>
      <c r="AA48" s="440"/>
      <c r="AB48" s="440"/>
      <c r="AC48" s="440"/>
      <c r="AD48" s="440">
        <f t="shared" si="4"/>
        <v>61</v>
      </c>
      <c r="AE48" s="1756"/>
      <c r="AF48" s="442" t="s">
        <v>372</v>
      </c>
      <c r="AG48" s="443">
        <v>5</v>
      </c>
      <c r="AH48" s="444">
        <f t="shared" si="6"/>
        <v>10</v>
      </c>
      <c r="AI48" s="444">
        <v>2</v>
      </c>
      <c r="AJ48" s="444">
        <v>7</v>
      </c>
      <c r="AK48" s="444">
        <f t="shared" si="7"/>
        <v>80</v>
      </c>
      <c r="AL48" s="444">
        <f t="shared" si="12"/>
        <v>1.1000000000000001</v>
      </c>
      <c r="AM48" s="444"/>
      <c r="AN48" s="444">
        <f>IF('1.Hoja_de_Cotización'!$R$7=5,IF($BB$2=9,0,Hoja_Cambio!$AR$32),IF($BB$2=9,0,Cálculos!$C$107))</f>
        <v>0</v>
      </c>
      <c r="AO48" s="444">
        <v>10</v>
      </c>
      <c r="AP48" s="444">
        <f t="shared" si="3"/>
        <v>110.1</v>
      </c>
      <c r="AQ48" s="1760"/>
      <c r="AR48" s="442" t="s">
        <v>372</v>
      </c>
      <c r="AS48" s="418">
        <f>TabGtos!I31</f>
        <v>400</v>
      </c>
      <c r="AT48" s="445"/>
    </row>
    <row r="49" spans="1:46" x14ac:dyDescent="0.2">
      <c r="A49" s="1742"/>
      <c r="B49" s="437">
        <v>478</v>
      </c>
      <c r="C49" s="438" t="s">
        <v>30</v>
      </c>
      <c r="D49" s="438" t="s">
        <v>17</v>
      </c>
      <c r="E49" s="438" t="s">
        <v>11</v>
      </c>
      <c r="F49" s="438" t="s">
        <v>24</v>
      </c>
      <c r="G49" s="438" t="s">
        <v>210</v>
      </c>
      <c r="H49" s="438">
        <v>9</v>
      </c>
      <c r="I49" s="438">
        <v>2</v>
      </c>
      <c r="J49" s="438">
        <v>1</v>
      </c>
      <c r="K49" s="438">
        <v>2</v>
      </c>
      <c r="L49" s="438">
        <v>2</v>
      </c>
      <c r="M49" s="438">
        <v>1</v>
      </c>
      <c r="N49" s="438">
        <v>1</v>
      </c>
      <c r="O49" s="1746"/>
      <c r="P49" s="439" t="str">
        <f t="shared" si="2"/>
        <v>09020102020101</v>
      </c>
      <c r="Q49" s="440"/>
      <c r="R49" s="440">
        <v>35</v>
      </c>
      <c r="S49" s="441"/>
      <c r="T49" s="440">
        <v>10</v>
      </c>
      <c r="U49" s="440">
        <v>8</v>
      </c>
      <c r="V49" s="440">
        <v>8</v>
      </c>
      <c r="W49" s="440"/>
      <c r="X49" s="440"/>
      <c r="Y49" s="440"/>
      <c r="Z49" s="440"/>
      <c r="AA49" s="440"/>
      <c r="AB49" s="440"/>
      <c r="AC49" s="440"/>
      <c r="AD49" s="440">
        <f t="shared" si="4"/>
        <v>61</v>
      </c>
      <c r="AE49" s="1756"/>
      <c r="AF49" s="442" t="s">
        <v>236</v>
      </c>
      <c r="AG49" s="443">
        <v>5</v>
      </c>
      <c r="AH49" s="444">
        <f t="shared" si="6"/>
        <v>10</v>
      </c>
      <c r="AI49" s="444">
        <v>2</v>
      </c>
      <c r="AJ49" s="444">
        <v>7</v>
      </c>
      <c r="AK49" s="444">
        <f t="shared" si="7"/>
        <v>80</v>
      </c>
      <c r="AL49" s="444">
        <f t="shared" si="12"/>
        <v>1.1000000000000001</v>
      </c>
      <c r="AM49" s="444"/>
      <c r="AN49" s="444">
        <f>IF('1.Hoja_de_Cotización'!$R$7=5,IF($BB$2=9,0,Hoja_Cambio!$AR$32),IF($BB$2=9,0,Cálculos!$C$107))</f>
        <v>0</v>
      </c>
      <c r="AO49" s="444">
        <v>10</v>
      </c>
      <c r="AP49" s="444">
        <f t="shared" si="3"/>
        <v>110.1</v>
      </c>
      <c r="AQ49" s="1760"/>
      <c r="AR49" s="442" t="s">
        <v>236</v>
      </c>
      <c r="AS49" s="418">
        <f>TabGtos!I31</f>
        <v>400</v>
      </c>
      <c r="AT49" s="445"/>
    </row>
    <row r="50" spans="1:46" x14ac:dyDescent="0.2">
      <c r="A50" s="1742"/>
      <c r="B50" s="437">
        <v>361</v>
      </c>
      <c r="C50" s="438" t="s">
        <v>209</v>
      </c>
      <c r="D50" s="438" t="s">
        <v>17</v>
      </c>
      <c r="E50" s="438" t="s">
        <v>11</v>
      </c>
      <c r="F50" s="438" t="s">
        <v>24</v>
      </c>
      <c r="G50" s="438" t="s">
        <v>210</v>
      </c>
      <c r="H50" s="438">
        <v>1</v>
      </c>
      <c r="I50" s="438">
        <v>2</v>
      </c>
      <c r="J50" s="438">
        <v>1</v>
      </c>
      <c r="K50" s="438">
        <v>2</v>
      </c>
      <c r="L50" s="438">
        <v>2</v>
      </c>
      <c r="M50" s="438">
        <v>1</v>
      </c>
      <c r="N50" s="438">
        <v>1</v>
      </c>
      <c r="O50" s="1746"/>
      <c r="P50" s="439" t="str">
        <f t="shared" si="2"/>
        <v>01020102020101</v>
      </c>
      <c r="Q50" s="440">
        <f>ROUNDUP('1.Hoja_de_Cotización'!$C$44/1000,0)*3</f>
        <v>0</v>
      </c>
      <c r="R50" s="441"/>
      <c r="S50" s="441"/>
      <c r="T50" s="440">
        <v>10</v>
      </c>
      <c r="U50" s="440">
        <v>8</v>
      </c>
      <c r="V50" s="440">
        <v>8</v>
      </c>
      <c r="W50" s="440">
        <v>31</v>
      </c>
      <c r="X50" s="440">
        <f>ROUNDUP('1.Hoja_de_Cotización'!$C$33/1000,0)*3</f>
        <v>0</v>
      </c>
      <c r="Y50" s="440"/>
      <c r="Z50" s="440"/>
      <c r="AA50" s="440"/>
      <c r="AB50" s="440"/>
      <c r="AC50" s="440"/>
      <c r="AD50" s="440">
        <f t="shared" si="4"/>
        <v>57</v>
      </c>
      <c r="AE50" s="1756"/>
      <c r="AF50" s="442" t="s">
        <v>373</v>
      </c>
      <c r="AG50" s="443">
        <v>12</v>
      </c>
      <c r="AH50" s="444">
        <f t="shared" si="6"/>
        <v>24</v>
      </c>
      <c r="AI50" s="444">
        <v>2</v>
      </c>
      <c r="AJ50" s="444">
        <v>7</v>
      </c>
      <c r="AK50" s="444">
        <f t="shared" si="7"/>
        <v>192</v>
      </c>
      <c r="AL50" s="444">
        <f t="shared" si="12"/>
        <v>2.5</v>
      </c>
      <c r="AM50" s="467"/>
      <c r="AN50" s="444">
        <f>IF('1.Hoja_de_Cotización'!$R$7=5,IF($BB$2=9,0,Hoja_Cambio!$AR$32),IF($BB$2=9,0,Cálculos!$C$107))</f>
        <v>0</v>
      </c>
      <c r="AO50" s="444">
        <v>10</v>
      </c>
      <c r="AP50" s="444">
        <f t="shared" si="3"/>
        <v>237.5</v>
      </c>
      <c r="AQ50" s="1760"/>
      <c r="AR50" s="442" t="s">
        <v>373</v>
      </c>
      <c r="AS50" s="418">
        <f>TabGtos!D2</f>
        <v>0</v>
      </c>
      <c r="AT50" s="445"/>
    </row>
    <row r="51" spans="1:46" x14ac:dyDescent="0.2">
      <c r="A51" s="1749" t="s">
        <v>1368</v>
      </c>
      <c r="B51" s="1030"/>
      <c r="C51" s="1032" t="s">
        <v>1365</v>
      </c>
      <c r="D51" s="1032" t="s">
        <v>762</v>
      </c>
      <c r="E51" s="1032" t="s">
        <v>11</v>
      </c>
      <c r="F51" s="1032" t="s">
        <v>21</v>
      </c>
      <c r="G51" s="1032" t="s">
        <v>25</v>
      </c>
      <c r="H51" s="1031">
        <v>12</v>
      </c>
      <c r="I51" s="1031">
        <v>3</v>
      </c>
      <c r="J51" s="1031">
        <v>1</v>
      </c>
      <c r="K51" s="1031">
        <v>1</v>
      </c>
      <c r="L51" s="1031">
        <v>2</v>
      </c>
      <c r="M51" s="1032">
        <v>1</v>
      </c>
      <c r="N51" s="1032">
        <v>1</v>
      </c>
      <c r="O51" s="1752" t="s">
        <v>1369</v>
      </c>
      <c r="P51" s="439" t="str">
        <f t="shared" si="2"/>
        <v>12030101020101</v>
      </c>
      <c r="Q51" s="440">
        <f>ROUNDUP('1.Hoja_de_Cotización'!$C$44/1000,0)*3</f>
        <v>0</v>
      </c>
      <c r="R51" s="1034"/>
      <c r="S51" s="1034"/>
      <c r="T51" s="1033">
        <v>10</v>
      </c>
      <c r="U51" s="1033">
        <v>8</v>
      </c>
      <c r="V51" s="1033">
        <v>8</v>
      </c>
      <c r="W51" s="1033"/>
      <c r="X51" s="1033"/>
      <c r="Y51" s="1033"/>
      <c r="Z51" s="1033"/>
      <c r="AA51" s="1033"/>
      <c r="AB51" s="1033">
        <v>25</v>
      </c>
      <c r="AC51" s="1033"/>
      <c r="AD51" s="440">
        <f t="shared" si="4"/>
        <v>51</v>
      </c>
      <c r="AE51" s="1035"/>
      <c r="AF51" s="1029" t="s">
        <v>1370</v>
      </c>
      <c r="AG51" s="1036">
        <v>16</v>
      </c>
      <c r="AH51" s="1037">
        <f t="shared" si="6"/>
        <v>32</v>
      </c>
      <c r="AI51" s="1037">
        <v>3</v>
      </c>
      <c r="AJ51" s="1037"/>
      <c r="AK51" s="1037">
        <f t="shared" si="7"/>
        <v>256</v>
      </c>
      <c r="AL51" s="1037">
        <f t="shared" ref="AL51:AL58" si="13">ROUND(((AG51-1)*0.1)*1+0.15*1,2)</f>
        <v>1.65</v>
      </c>
      <c r="AM51" s="1038"/>
      <c r="AN51" s="444">
        <f>IF('1.Hoja_de_Cotización'!$R$7=5,IF($BB$2=9,0,Hoja_Cambio!$AR$32),IF($BB$2=9,0,Cálculos!$C$107))</f>
        <v>0</v>
      </c>
      <c r="AO51" s="1037"/>
      <c r="AP51" s="444">
        <f t="shared" si="3"/>
        <v>292.64999999999998</v>
      </c>
      <c r="AQ51" s="1039"/>
      <c r="AR51" s="1029" t="s">
        <v>1370</v>
      </c>
      <c r="AS51" s="418">
        <f>TabGtos!$D$2</f>
        <v>0</v>
      </c>
      <c r="AT51" s="445"/>
    </row>
    <row r="52" spans="1:46" x14ac:dyDescent="0.2">
      <c r="A52" s="1750"/>
      <c r="B52" s="1030"/>
      <c r="C52" s="1032" t="s">
        <v>1365</v>
      </c>
      <c r="D52" s="1032" t="s">
        <v>762</v>
      </c>
      <c r="E52" s="1032" t="s">
        <v>11</v>
      </c>
      <c r="F52" s="1032" t="s">
        <v>21</v>
      </c>
      <c r="G52" s="1032" t="s">
        <v>22</v>
      </c>
      <c r="H52" s="1031">
        <v>12</v>
      </c>
      <c r="I52" s="1031">
        <v>3</v>
      </c>
      <c r="J52" s="1031">
        <v>1</v>
      </c>
      <c r="K52" s="1031">
        <v>1</v>
      </c>
      <c r="L52" s="1031">
        <v>1</v>
      </c>
      <c r="M52" s="1032">
        <v>1</v>
      </c>
      <c r="N52" s="1032">
        <v>1</v>
      </c>
      <c r="O52" s="1753"/>
      <c r="P52" s="439" t="str">
        <f t="shared" si="2"/>
        <v>12030101010101</v>
      </c>
      <c r="Q52" s="440">
        <f>ROUNDUP('1.Hoja_de_Cotización'!$C$44/1000,0)*3</f>
        <v>0</v>
      </c>
      <c r="R52" s="1034"/>
      <c r="S52" s="1034"/>
      <c r="T52" s="1033">
        <v>10</v>
      </c>
      <c r="U52" s="1033">
        <v>8</v>
      </c>
      <c r="V52" s="1033">
        <v>8</v>
      </c>
      <c r="W52" s="1033"/>
      <c r="X52" s="1033"/>
      <c r="Y52" s="1033"/>
      <c r="Z52" s="1033"/>
      <c r="AA52" s="1033"/>
      <c r="AB52" s="1033">
        <v>25</v>
      </c>
      <c r="AC52" s="1033"/>
      <c r="AD52" s="440">
        <f t="shared" si="4"/>
        <v>51</v>
      </c>
      <c r="AE52" s="1035"/>
      <c r="AF52" s="1029" t="s">
        <v>1371</v>
      </c>
      <c r="AG52" s="1036">
        <v>16</v>
      </c>
      <c r="AH52" s="1037">
        <f t="shared" si="6"/>
        <v>32</v>
      </c>
      <c r="AI52" s="1037">
        <v>3</v>
      </c>
      <c r="AJ52" s="1037"/>
      <c r="AK52" s="1037">
        <f t="shared" si="7"/>
        <v>256</v>
      </c>
      <c r="AL52" s="1037">
        <f t="shared" si="13"/>
        <v>1.65</v>
      </c>
      <c r="AM52" s="1038"/>
      <c r="AN52" s="444">
        <f>IF('1.Hoja_de_Cotización'!$R$7=5,IF($BB$2=9,0,Hoja_Cambio!$AR$32),IF($BB$2=9,0,Cálculos!$C$107))</f>
        <v>0</v>
      </c>
      <c r="AO52" s="1037"/>
      <c r="AP52" s="444">
        <f t="shared" si="3"/>
        <v>292.64999999999998</v>
      </c>
      <c r="AQ52" s="1039"/>
      <c r="AR52" s="1029" t="s">
        <v>1371</v>
      </c>
      <c r="AS52" s="418">
        <f>TabGtos!$D$2</f>
        <v>0</v>
      </c>
      <c r="AT52" s="445"/>
    </row>
    <row r="53" spans="1:46" x14ac:dyDescent="0.2">
      <c r="A53" s="1750"/>
      <c r="B53" s="1030"/>
      <c r="C53" s="1032" t="s">
        <v>1365</v>
      </c>
      <c r="D53" s="1032" t="s">
        <v>17</v>
      </c>
      <c r="E53" s="1032" t="s">
        <v>11</v>
      </c>
      <c r="F53" s="1032" t="s">
        <v>21</v>
      </c>
      <c r="G53" s="1032" t="s">
        <v>25</v>
      </c>
      <c r="H53" s="1031">
        <v>12</v>
      </c>
      <c r="I53" s="1031">
        <v>2</v>
      </c>
      <c r="J53" s="1031">
        <v>1</v>
      </c>
      <c r="K53" s="1031">
        <v>1</v>
      </c>
      <c r="L53" s="1031">
        <v>2</v>
      </c>
      <c r="M53" s="1032">
        <v>1</v>
      </c>
      <c r="N53" s="1032">
        <v>1</v>
      </c>
      <c r="O53" s="1753"/>
      <c r="P53" s="439" t="str">
        <f t="shared" si="2"/>
        <v>12020101020101</v>
      </c>
      <c r="Q53" s="440">
        <f>ROUNDUP('1.Hoja_de_Cotización'!$C$44/1000,0)*3</f>
        <v>0</v>
      </c>
      <c r="R53" s="1034"/>
      <c r="S53" s="1034"/>
      <c r="T53" s="1033">
        <v>10</v>
      </c>
      <c r="U53" s="1033">
        <v>8</v>
      </c>
      <c r="V53" s="1033">
        <v>8</v>
      </c>
      <c r="W53" s="1033"/>
      <c r="X53" s="1033"/>
      <c r="Y53" s="1033"/>
      <c r="Z53" s="1033"/>
      <c r="AA53" s="1033"/>
      <c r="AB53" s="1033">
        <v>25</v>
      </c>
      <c r="AC53" s="1033"/>
      <c r="AD53" s="440">
        <f t="shared" si="4"/>
        <v>51</v>
      </c>
      <c r="AE53" s="1035"/>
      <c r="AF53" s="1029" t="s">
        <v>1372</v>
      </c>
      <c r="AG53" s="1036">
        <v>16</v>
      </c>
      <c r="AH53" s="1037">
        <f t="shared" si="6"/>
        <v>32</v>
      </c>
      <c r="AI53" s="1037">
        <v>3</v>
      </c>
      <c r="AJ53" s="1037"/>
      <c r="AK53" s="1037">
        <f t="shared" si="7"/>
        <v>256</v>
      </c>
      <c r="AL53" s="1037">
        <f t="shared" si="13"/>
        <v>1.65</v>
      </c>
      <c r="AM53" s="1038"/>
      <c r="AN53" s="444">
        <f>IF('1.Hoja_de_Cotización'!$R$7=5,IF($BB$2=9,0,Hoja_Cambio!$AR$32),IF($BB$2=9,0,Cálculos!$C$107))</f>
        <v>0</v>
      </c>
      <c r="AO53" s="1037"/>
      <c r="AP53" s="444">
        <f t="shared" si="3"/>
        <v>292.64999999999998</v>
      </c>
      <c r="AQ53" s="1039"/>
      <c r="AR53" s="1029" t="s">
        <v>1372</v>
      </c>
      <c r="AS53" s="418">
        <f>TabGtos!$D$2</f>
        <v>0</v>
      </c>
      <c r="AT53" s="445"/>
    </row>
    <row r="54" spans="1:46" x14ac:dyDescent="0.2">
      <c r="A54" s="1750"/>
      <c r="B54" s="1030"/>
      <c r="C54" s="1032" t="s">
        <v>1365</v>
      </c>
      <c r="D54" s="1032" t="s">
        <v>17</v>
      </c>
      <c r="E54" s="1032" t="s">
        <v>11</v>
      </c>
      <c r="F54" s="1032" t="s">
        <v>21</v>
      </c>
      <c r="G54" s="1032" t="s">
        <v>22</v>
      </c>
      <c r="H54" s="1031">
        <v>12</v>
      </c>
      <c r="I54" s="1031">
        <v>2</v>
      </c>
      <c r="J54" s="1031">
        <v>1</v>
      </c>
      <c r="K54" s="1031">
        <v>1</v>
      </c>
      <c r="L54" s="1031">
        <v>1</v>
      </c>
      <c r="M54" s="1032">
        <v>1</v>
      </c>
      <c r="N54" s="1032">
        <v>1</v>
      </c>
      <c r="O54" s="1753"/>
      <c r="P54" s="439" t="str">
        <f t="shared" si="2"/>
        <v>12020101010101</v>
      </c>
      <c r="Q54" s="440">
        <f>ROUNDUP('1.Hoja_de_Cotización'!$C$44/1000,0)*3</f>
        <v>0</v>
      </c>
      <c r="R54" s="1034"/>
      <c r="S54" s="1034"/>
      <c r="T54" s="1033">
        <v>10</v>
      </c>
      <c r="U54" s="1033">
        <v>8</v>
      </c>
      <c r="V54" s="1033">
        <v>8</v>
      </c>
      <c r="W54" s="1033"/>
      <c r="X54" s="1033"/>
      <c r="Y54" s="1033"/>
      <c r="Z54" s="1033"/>
      <c r="AA54" s="1033"/>
      <c r="AB54" s="1033">
        <v>25</v>
      </c>
      <c r="AC54" s="1033"/>
      <c r="AD54" s="440">
        <f t="shared" si="4"/>
        <v>51</v>
      </c>
      <c r="AE54" s="1035"/>
      <c r="AF54" s="1029" t="s">
        <v>1373</v>
      </c>
      <c r="AG54" s="1036">
        <v>16</v>
      </c>
      <c r="AH54" s="1037">
        <f t="shared" si="6"/>
        <v>32</v>
      </c>
      <c r="AI54" s="1037">
        <v>3</v>
      </c>
      <c r="AJ54" s="1037"/>
      <c r="AK54" s="1037">
        <f t="shared" si="7"/>
        <v>256</v>
      </c>
      <c r="AL54" s="1037">
        <f t="shared" si="13"/>
        <v>1.65</v>
      </c>
      <c r="AM54" s="1038"/>
      <c r="AN54" s="444">
        <f>IF('1.Hoja_de_Cotización'!$R$7=5,IF($BB$2=9,0,Hoja_Cambio!$AR$32),IF($BB$2=9,0,Cálculos!$C$107))</f>
        <v>0</v>
      </c>
      <c r="AO54" s="1037"/>
      <c r="AP54" s="444">
        <f t="shared" si="3"/>
        <v>292.64999999999998</v>
      </c>
      <c r="AQ54" s="1039"/>
      <c r="AR54" s="1029" t="s">
        <v>1373</v>
      </c>
      <c r="AS54" s="418">
        <f>TabGtos!$D$2</f>
        <v>0</v>
      </c>
      <c r="AT54" s="445"/>
    </row>
    <row r="55" spans="1:46" x14ac:dyDescent="0.2">
      <c r="A55" s="1750"/>
      <c r="B55" s="1030"/>
      <c r="C55" s="1032" t="s">
        <v>1365</v>
      </c>
      <c r="D55" s="1032" t="s">
        <v>762</v>
      </c>
      <c r="E55" s="1032" t="s">
        <v>11</v>
      </c>
      <c r="F55" s="1032" t="s">
        <v>24</v>
      </c>
      <c r="G55" s="1032" t="s">
        <v>25</v>
      </c>
      <c r="H55" s="1031">
        <v>12</v>
      </c>
      <c r="I55" s="1031">
        <v>3</v>
      </c>
      <c r="J55" s="1031">
        <v>1</v>
      </c>
      <c r="K55" s="1031">
        <v>2</v>
      </c>
      <c r="L55" s="1031">
        <v>2</v>
      </c>
      <c r="M55" s="1032">
        <v>1</v>
      </c>
      <c r="N55" s="1032">
        <v>1</v>
      </c>
      <c r="O55" s="1753"/>
      <c r="P55" s="439" t="str">
        <f t="shared" si="2"/>
        <v>12030102020101</v>
      </c>
      <c r="Q55" s="440">
        <f>ROUNDUP('1.Hoja_de_Cotización'!$C$44/1000,0)*3</f>
        <v>0</v>
      </c>
      <c r="R55" s="1034"/>
      <c r="S55" s="1034"/>
      <c r="T55" s="1033">
        <v>10</v>
      </c>
      <c r="U55" s="1033">
        <v>8</v>
      </c>
      <c r="V55" s="1033">
        <v>8</v>
      </c>
      <c r="W55" s="1033"/>
      <c r="X55" s="1033"/>
      <c r="Y55" s="1033"/>
      <c r="Z55" s="1033"/>
      <c r="AA55" s="1033"/>
      <c r="AB55" s="1033">
        <v>25</v>
      </c>
      <c r="AC55" s="1033"/>
      <c r="AD55" s="440">
        <f t="shared" si="4"/>
        <v>51</v>
      </c>
      <c r="AE55" s="1035"/>
      <c r="AF55" s="1029" t="s">
        <v>1374</v>
      </c>
      <c r="AG55" s="1036">
        <v>16</v>
      </c>
      <c r="AH55" s="1037">
        <f t="shared" si="6"/>
        <v>32</v>
      </c>
      <c r="AI55" s="1037">
        <v>3</v>
      </c>
      <c r="AJ55" s="1037"/>
      <c r="AK55" s="1037">
        <f t="shared" si="7"/>
        <v>256</v>
      </c>
      <c r="AL55" s="1037">
        <f t="shared" si="13"/>
        <v>1.65</v>
      </c>
      <c r="AM55" s="1038"/>
      <c r="AN55" s="444">
        <f>IF('1.Hoja_de_Cotización'!$R$7=5,IF($BB$2=9,0,Hoja_Cambio!$AR$32),IF($BB$2=9,0,Cálculos!$C$107))</f>
        <v>0</v>
      </c>
      <c r="AO55" s="1037"/>
      <c r="AP55" s="444">
        <f t="shared" si="3"/>
        <v>292.64999999999998</v>
      </c>
      <c r="AQ55" s="1039"/>
      <c r="AR55" s="1029" t="s">
        <v>1374</v>
      </c>
      <c r="AS55" s="418">
        <f>TabGtos!$D$2</f>
        <v>0</v>
      </c>
      <c r="AT55" s="445"/>
    </row>
    <row r="56" spans="1:46" x14ac:dyDescent="0.2">
      <c r="A56" s="1750"/>
      <c r="B56" s="1030"/>
      <c r="C56" s="1032" t="s">
        <v>1365</v>
      </c>
      <c r="D56" s="1032" t="s">
        <v>762</v>
      </c>
      <c r="E56" s="1032" t="s">
        <v>11</v>
      </c>
      <c r="F56" s="1032" t="s">
        <v>24</v>
      </c>
      <c r="G56" s="1032" t="s">
        <v>22</v>
      </c>
      <c r="H56" s="1031">
        <v>12</v>
      </c>
      <c r="I56" s="1031">
        <v>3</v>
      </c>
      <c r="J56" s="1031">
        <v>1</v>
      </c>
      <c r="K56" s="1031">
        <v>2</v>
      </c>
      <c r="L56" s="1031">
        <v>1</v>
      </c>
      <c r="M56" s="1032">
        <v>1</v>
      </c>
      <c r="N56" s="1032">
        <v>1</v>
      </c>
      <c r="O56" s="1753"/>
      <c r="P56" s="439" t="str">
        <f t="shared" si="2"/>
        <v>12030102010101</v>
      </c>
      <c r="Q56" s="440">
        <f>ROUNDUP('1.Hoja_de_Cotización'!$C$44/1000,0)*3</f>
        <v>0</v>
      </c>
      <c r="R56" s="1034"/>
      <c r="S56" s="1034"/>
      <c r="T56" s="1033">
        <v>10</v>
      </c>
      <c r="U56" s="1033">
        <v>8</v>
      </c>
      <c r="V56" s="1033">
        <v>8</v>
      </c>
      <c r="W56" s="1033"/>
      <c r="X56" s="1033"/>
      <c r="Y56" s="1033"/>
      <c r="Z56" s="1033"/>
      <c r="AA56" s="1033"/>
      <c r="AB56" s="1033">
        <v>25</v>
      </c>
      <c r="AC56" s="1033"/>
      <c r="AD56" s="440">
        <f t="shared" si="4"/>
        <v>51</v>
      </c>
      <c r="AE56" s="1035"/>
      <c r="AF56" s="1029" t="s">
        <v>1375</v>
      </c>
      <c r="AG56" s="1036">
        <v>16</v>
      </c>
      <c r="AH56" s="1037">
        <f t="shared" si="6"/>
        <v>32</v>
      </c>
      <c r="AI56" s="1037">
        <v>3</v>
      </c>
      <c r="AJ56" s="1037"/>
      <c r="AK56" s="1037">
        <f t="shared" si="7"/>
        <v>256</v>
      </c>
      <c r="AL56" s="1037">
        <f t="shared" si="13"/>
        <v>1.65</v>
      </c>
      <c r="AM56" s="1038"/>
      <c r="AN56" s="444">
        <f>IF('1.Hoja_de_Cotización'!$R$7=5,IF($BB$2=9,0,Hoja_Cambio!$AR$32),IF($BB$2=9,0,Cálculos!$C$107))</f>
        <v>0</v>
      </c>
      <c r="AO56" s="1037"/>
      <c r="AP56" s="444">
        <f t="shared" si="3"/>
        <v>292.64999999999998</v>
      </c>
      <c r="AQ56" s="1039"/>
      <c r="AR56" s="1029" t="s">
        <v>1375</v>
      </c>
      <c r="AS56" s="418">
        <f>TabGtos!$D$2</f>
        <v>0</v>
      </c>
      <c r="AT56" s="445"/>
    </row>
    <row r="57" spans="1:46" x14ac:dyDescent="0.2">
      <c r="A57" s="1750"/>
      <c r="B57" s="1030"/>
      <c r="C57" s="1032" t="s">
        <v>1365</v>
      </c>
      <c r="D57" s="1032" t="s">
        <v>17</v>
      </c>
      <c r="E57" s="1032" t="s">
        <v>11</v>
      </c>
      <c r="F57" s="1032" t="s">
        <v>24</v>
      </c>
      <c r="G57" s="1032" t="s">
        <v>25</v>
      </c>
      <c r="H57" s="1031">
        <v>12</v>
      </c>
      <c r="I57" s="1031">
        <v>2</v>
      </c>
      <c r="J57" s="1031">
        <v>1</v>
      </c>
      <c r="K57" s="1031">
        <v>2</v>
      </c>
      <c r="L57" s="1031">
        <v>2</v>
      </c>
      <c r="M57" s="1032">
        <v>1</v>
      </c>
      <c r="N57" s="1032">
        <v>1</v>
      </c>
      <c r="O57" s="1753"/>
      <c r="P57" s="439" t="str">
        <f t="shared" si="2"/>
        <v>12020102020101</v>
      </c>
      <c r="Q57" s="440">
        <f>ROUNDUP('1.Hoja_de_Cotización'!$C$44/1000,0)*3</f>
        <v>0</v>
      </c>
      <c r="R57" s="1034"/>
      <c r="S57" s="1034"/>
      <c r="T57" s="1033">
        <v>10</v>
      </c>
      <c r="U57" s="1033">
        <v>8</v>
      </c>
      <c r="V57" s="1033">
        <v>8</v>
      </c>
      <c r="W57" s="1033"/>
      <c r="X57" s="1033"/>
      <c r="Y57" s="1033"/>
      <c r="Z57" s="1033"/>
      <c r="AA57" s="1033"/>
      <c r="AB57" s="1033">
        <v>25</v>
      </c>
      <c r="AC57" s="1033"/>
      <c r="AD57" s="440">
        <f t="shared" si="4"/>
        <v>51</v>
      </c>
      <c r="AE57" s="1035"/>
      <c r="AF57" s="1029" t="s">
        <v>1376</v>
      </c>
      <c r="AG57" s="1036">
        <v>16</v>
      </c>
      <c r="AH57" s="1037">
        <f t="shared" si="6"/>
        <v>32</v>
      </c>
      <c r="AI57" s="1037">
        <v>3</v>
      </c>
      <c r="AJ57" s="1037"/>
      <c r="AK57" s="1037">
        <f t="shared" si="7"/>
        <v>256</v>
      </c>
      <c r="AL57" s="1037">
        <f t="shared" si="13"/>
        <v>1.65</v>
      </c>
      <c r="AM57" s="1038"/>
      <c r="AN57" s="444">
        <f>IF('1.Hoja_de_Cotización'!$R$7=5,IF($BB$2=9,0,Hoja_Cambio!$AR$32),IF($BB$2=9,0,Cálculos!$C$107))</f>
        <v>0</v>
      </c>
      <c r="AO57" s="1037"/>
      <c r="AP57" s="444">
        <f t="shared" si="3"/>
        <v>292.64999999999998</v>
      </c>
      <c r="AQ57" s="1039"/>
      <c r="AR57" s="1029" t="s">
        <v>1376</v>
      </c>
      <c r="AS57" s="418">
        <f>TabGtos!$D$2</f>
        <v>0</v>
      </c>
      <c r="AT57" s="445"/>
    </row>
    <row r="58" spans="1:46" x14ac:dyDescent="0.2">
      <c r="A58" s="1751"/>
      <c r="B58" s="1030"/>
      <c r="C58" s="1032" t="s">
        <v>1365</v>
      </c>
      <c r="D58" s="1032" t="s">
        <v>17</v>
      </c>
      <c r="E58" s="1032" t="s">
        <v>11</v>
      </c>
      <c r="F58" s="1032" t="s">
        <v>24</v>
      </c>
      <c r="G58" s="1032" t="s">
        <v>22</v>
      </c>
      <c r="H58" s="1031">
        <v>12</v>
      </c>
      <c r="I58" s="1031">
        <v>2</v>
      </c>
      <c r="J58" s="1031">
        <v>1</v>
      </c>
      <c r="K58" s="1031">
        <v>2</v>
      </c>
      <c r="L58" s="1031">
        <v>1</v>
      </c>
      <c r="M58" s="1032">
        <v>1</v>
      </c>
      <c r="N58" s="1032">
        <v>1</v>
      </c>
      <c r="O58" s="1753"/>
      <c r="P58" s="439" t="str">
        <f t="shared" si="2"/>
        <v>12020102010101</v>
      </c>
      <c r="Q58" s="440">
        <f>ROUNDUP('1.Hoja_de_Cotización'!$C$44/1000,0)*3</f>
        <v>0</v>
      </c>
      <c r="R58" s="1034"/>
      <c r="S58" s="1034"/>
      <c r="T58" s="1033">
        <v>10</v>
      </c>
      <c r="U58" s="1033">
        <v>8</v>
      </c>
      <c r="V58" s="1033">
        <v>8</v>
      </c>
      <c r="W58" s="1033"/>
      <c r="X58" s="1033"/>
      <c r="Y58" s="1033"/>
      <c r="Z58" s="1033"/>
      <c r="AA58" s="1033"/>
      <c r="AB58" s="1033">
        <v>25</v>
      </c>
      <c r="AC58" s="1033"/>
      <c r="AD58" s="440">
        <f t="shared" si="4"/>
        <v>51</v>
      </c>
      <c r="AE58" s="1035"/>
      <c r="AF58" s="1029" t="s">
        <v>1377</v>
      </c>
      <c r="AG58" s="1036">
        <v>16</v>
      </c>
      <c r="AH58" s="1037">
        <f t="shared" si="6"/>
        <v>32</v>
      </c>
      <c r="AI58" s="1037">
        <v>3</v>
      </c>
      <c r="AJ58" s="1037"/>
      <c r="AK58" s="1037">
        <f t="shared" si="7"/>
        <v>256</v>
      </c>
      <c r="AL58" s="1037">
        <f t="shared" si="13"/>
        <v>1.65</v>
      </c>
      <c r="AM58" s="1038"/>
      <c r="AN58" s="444">
        <f>IF('1.Hoja_de_Cotización'!$R$7=5,IF($BB$2=9,0,Hoja_Cambio!$AR$32),IF($BB$2=9,0,Cálculos!$C$107))</f>
        <v>0</v>
      </c>
      <c r="AO58" s="1037"/>
      <c r="AP58" s="444">
        <f t="shared" si="3"/>
        <v>292.64999999999998</v>
      </c>
      <c r="AQ58" s="1039"/>
      <c r="AR58" s="1029" t="s">
        <v>1377</v>
      </c>
      <c r="AS58" s="418">
        <f>TabGtos!$D$2</f>
        <v>0</v>
      </c>
      <c r="AT58" s="445"/>
    </row>
    <row r="59" spans="1:46" x14ac:dyDescent="0.2">
      <c r="A59" s="1743" t="s">
        <v>221</v>
      </c>
      <c r="B59" s="468">
        <v>600</v>
      </c>
      <c r="C59" s="469" t="s">
        <v>209</v>
      </c>
      <c r="D59" s="469" t="s">
        <v>9</v>
      </c>
      <c r="E59" s="469" t="s">
        <v>11</v>
      </c>
      <c r="F59" s="469" t="s">
        <v>21</v>
      </c>
      <c r="G59" s="469" t="s">
        <v>22</v>
      </c>
      <c r="H59" s="469">
        <v>1</v>
      </c>
      <c r="I59" s="469">
        <v>1</v>
      </c>
      <c r="J59" s="469">
        <v>1</v>
      </c>
      <c r="K59" s="469">
        <v>1</v>
      </c>
      <c r="L59" s="469">
        <v>1</v>
      </c>
      <c r="M59" s="420">
        <v>2</v>
      </c>
      <c r="N59" s="438">
        <v>1</v>
      </c>
      <c r="O59" s="1747" t="s">
        <v>272</v>
      </c>
      <c r="P59" s="470" t="str">
        <f t="shared" si="2"/>
        <v>01010101010201</v>
      </c>
      <c r="Q59" s="471"/>
      <c r="R59" s="472"/>
      <c r="S59" s="472"/>
      <c r="T59" s="471"/>
      <c r="U59" s="471"/>
      <c r="V59" s="471"/>
      <c r="W59" s="471"/>
      <c r="X59" s="471"/>
      <c r="Y59" s="471"/>
      <c r="Z59" s="471"/>
      <c r="AA59" s="471"/>
      <c r="AB59" s="471"/>
      <c r="AC59" s="471"/>
      <c r="AD59" s="471">
        <v>0</v>
      </c>
      <c r="AE59" s="1757" t="s">
        <v>272</v>
      </c>
      <c r="AF59" s="442" t="s">
        <v>374</v>
      </c>
      <c r="AG59" s="473"/>
      <c r="AH59" s="473"/>
      <c r="AI59" s="473"/>
      <c r="AJ59" s="473"/>
      <c r="AK59" s="473"/>
      <c r="AL59" s="473"/>
      <c r="AM59" s="473"/>
      <c r="AN59" s="474">
        <f>IF('1.Hoja_de_Cotización'!$R$7=5,IF($BB$2=9,0,Hoja_Cambio!$AR$32),IF($BB$2=9,0,Cálculos!$C$107))</f>
        <v>0</v>
      </c>
      <c r="AO59" s="473"/>
      <c r="AP59" s="474">
        <f t="shared" si="3"/>
        <v>0</v>
      </c>
      <c r="AQ59" s="1761" t="s">
        <v>272</v>
      </c>
      <c r="AR59" s="442" t="s">
        <v>374</v>
      </c>
      <c r="AS59" s="475">
        <f>TabGtos!I83</f>
        <v>0</v>
      </c>
      <c r="AT59" s="445"/>
    </row>
    <row r="60" spans="1:46" ht="21" customHeight="1" x14ac:dyDescent="0.2">
      <c r="A60" s="1744"/>
      <c r="B60" s="419">
        <v>605</v>
      </c>
      <c r="C60" s="420" t="s">
        <v>209</v>
      </c>
      <c r="D60" s="420" t="s">
        <v>9</v>
      </c>
      <c r="E60" s="420" t="s">
        <v>11</v>
      </c>
      <c r="F60" s="420" t="s">
        <v>21</v>
      </c>
      <c r="G60" s="420" t="s">
        <v>210</v>
      </c>
      <c r="H60" s="420">
        <v>1</v>
      </c>
      <c r="I60" s="420">
        <v>1</v>
      </c>
      <c r="J60" s="420">
        <v>1</v>
      </c>
      <c r="K60" s="420">
        <v>1</v>
      </c>
      <c r="L60" s="420">
        <v>2</v>
      </c>
      <c r="M60" s="420">
        <v>2</v>
      </c>
      <c r="N60" s="438">
        <v>1</v>
      </c>
      <c r="O60" s="1747"/>
      <c r="P60" s="470" t="str">
        <f t="shared" si="2"/>
        <v>01010101020201</v>
      </c>
      <c r="Q60" s="470"/>
      <c r="R60" s="470"/>
      <c r="S60" s="470"/>
      <c r="T60" s="470"/>
      <c r="U60" s="470"/>
      <c r="V60" s="470"/>
      <c r="W60" s="470"/>
      <c r="X60" s="470"/>
      <c r="Y60" s="470"/>
      <c r="Z60" s="470"/>
      <c r="AA60" s="470"/>
      <c r="AB60" s="470"/>
      <c r="AC60" s="470"/>
      <c r="AD60" s="476">
        <v>0</v>
      </c>
      <c r="AE60" s="1757"/>
      <c r="AF60" s="442" t="s">
        <v>375</v>
      </c>
      <c r="AG60" s="442"/>
      <c r="AH60" s="442"/>
      <c r="AI60" s="442"/>
      <c r="AJ60" s="442"/>
      <c r="AK60" s="442"/>
      <c r="AL60" s="442"/>
      <c r="AM60" s="442"/>
      <c r="AN60" s="477">
        <f>IF('1.Hoja_de_Cotización'!$R$7=5,IF($BB$2=9,0,Hoja_Cambio!$AR$32),IF($BB$2=9,0,Cálculos!$C$107))</f>
        <v>0</v>
      </c>
      <c r="AO60" s="442"/>
      <c r="AP60" s="477">
        <f t="shared" si="3"/>
        <v>0</v>
      </c>
      <c r="AQ60" s="1761"/>
      <c r="AR60" s="442" t="s">
        <v>375</v>
      </c>
      <c r="AS60" s="478">
        <f>TabGtos!I83</f>
        <v>0</v>
      </c>
      <c r="AT60" s="445"/>
    </row>
    <row r="61" spans="1:46" ht="21" customHeight="1" x14ac:dyDescent="0.2">
      <c r="A61" s="1744"/>
      <c r="B61" s="419">
        <v>606</v>
      </c>
      <c r="C61" s="420" t="s">
        <v>209</v>
      </c>
      <c r="D61" s="420" t="s">
        <v>17</v>
      </c>
      <c r="E61" s="420" t="s">
        <v>11</v>
      </c>
      <c r="F61" s="420" t="s">
        <v>21</v>
      </c>
      <c r="G61" s="420" t="s">
        <v>22</v>
      </c>
      <c r="H61" s="420">
        <v>1</v>
      </c>
      <c r="I61" s="420">
        <v>2</v>
      </c>
      <c r="J61" s="420">
        <v>1</v>
      </c>
      <c r="K61" s="420">
        <v>1</v>
      </c>
      <c r="L61" s="420">
        <v>1</v>
      </c>
      <c r="M61" s="420">
        <v>2</v>
      </c>
      <c r="N61" s="438">
        <v>1</v>
      </c>
      <c r="O61" s="1747"/>
      <c r="P61" s="470" t="str">
        <f t="shared" si="2"/>
        <v>01020101010201</v>
      </c>
      <c r="Q61" s="470"/>
      <c r="R61" s="470"/>
      <c r="S61" s="470"/>
      <c r="T61" s="470"/>
      <c r="U61" s="470"/>
      <c r="V61" s="470"/>
      <c r="W61" s="470"/>
      <c r="X61" s="470"/>
      <c r="Y61" s="470"/>
      <c r="Z61" s="470"/>
      <c r="AA61" s="470"/>
      <c r="AB61" s="470"/>
      <c r="AC61" s="470"/>
      <c r="AD61" s="476">
        <v>0</v>
      </c>
      <c r="AE61" s="1757"/>
      <c r="AF61" s="442" t="s">
        <v>376</v>
      </c>
      <c r="AG61" s="442"/>
      <c r="AH61" s="442"/>
      <c r="AI61" s="442"/>
      <c r="AJ61" s="442"/>
      <c r="AK61" s="442"/>
      <c r="AL61" s="442"/>
      <c r="AM61" s="442"/>
      <c r="AN61" s="477">
        <f>IF('1.Hoja_de_Cotización'!$R$7=5,IF($BB$2=9,0,Hoja_Cambio!$AR$32),IF($BB$2=9,0,Cálculos!$C$107))</f>
        <v>0</v>
      </c>
      <c r="AO61" s="442"/>
      <c r="AP61" s="477">
        <f t="shared" si="3"/>
        <v>0</v>
      </c>
      <c r="AQ61" s="1761"/>
      <c r="AR61" s="442" t="s">
        <v>376</v>
      </c>
      <c r="AS61" s="478">
        <f>TabGtos!I70</f>
        <v>0</v>
      </c>
      <c r="AT61" s="445"/>
    </row>
    <row r="62" spans="1:46" ht="21" customHeight="1" x14ac:dyDescent="0.2">
      <c r="A62" s="1744"/>
      <c r="B62" s="419">
        <v>613</v>
      </c>
      <c r="C62" s="420" t="s">
        <v>209</v>
      </c>
      <c r="D62" s="420" t="s">
        <v>17</v>
      </c>
      <c r="E62" s="420" t="s">
        <v>11</v>
      </c>
      <c r="F62" s="420" t="s">
        <v>21</v>
      </c>
      <c r="G62" s="420" t="s">
        <v>210</v>
      </c>
      <c r="H62" s="420">
        <v>1</v>
      </c>
      <c r="I62" s="420">
        <v>2</v>
      </c>
      <c r="J62" s="420">
        <v>1</v>
      </c>
      <c r="K62" s="420">
        <v>1</v>
      </c>
      <c r="L62" s="420">
        <v>2</v>
      </c>
      <c r="M62" s="420">
        <v>2</v>
      </c>
      <c r="N62" s="438">
        <v>1</v>
      </c>
      <c r="O62" s="1747"/>
      <c r="P62" s="470" t="str">
        <f t="shared" si="2"/>
        <v>01020101020201</v>
      </c>
      <c r="Q62" s="470"/>
      <c r="R62" s="470"/>
      <c r="S62" s="470"/>
      <c r="T62" s="470"/>
      <c r="U62" s="470"/>
      <c r="V62" s="470"/>
      <c r="W62" s="470"/>
      <c r="X62" s="470"/>
      <c r="Y62" s="470"/>
      <c r="Z62" s="470"/>
      <c r="AA62" s="470"/>
      <c r="AB62" s="470"/>
      <c r="AC62" s="470"/>
      <c r="AD62" s="476">
        <v>0</v>
      </c>
      <c r="AE62" s="1757"/>
      <c r="AF62" s="442" t="s">
        <v>377</v>
      </c>
      <c r="AG62" s="442"/>
      <c r="AH62" s="442"/>
      <c r="AI62" s="442"/>
      <c r="AJ62" s="442"/>
      <c r="AK62" s="442"/>
      <c r="AL62" s="442"/>
      <c r="AM62" s="442"/>
      <c r="AN62" s="477">
        <f>IF('1.Hoja_de_Cotización'!$R$7=5,IF($BB$2=9,0,Hoja_Cambio!$AR$32),IF($BB$2=9,0,Cálculos!$C$107))</f>
        <v>0</v>
      </c>
      <c r="AO62" s="442"/>
      <c r="AP62" s="477">
        <f t="shared" si="3"/>
        <v>0</v>
      </c>
      <c r="AQ62" s="1761"/>
      <c r="AR62" s="442" t="s">
        <v>377</v>
      </c>
      <c r="AS62" s="478">
        <f>TabGtos!I70</f>
        <v>0</v>
      </c>
      <c r="AT62" s="445"/>
    </row>
    <row r="63" spans="1:46" ht="21" customHeight="1" x14ac:dyDescent="0.2">
      <c r="A63" s="1744"/>
      <c r="B63" s="419">
        <v>616</v>
      </c>
      <c r="C63" s="420" t="s">
        <v>209</v>
      </c>
      <c r="D63" s="420" t="s">
        <v>17</v>
      </c>
      <c r="E63" s="420" t="s">
        <v>11</v>
      </c>
      <c r="F63" s="420" t="s">
        <v>24</v>
      </c>
      <c r="G63" s="420" t="s">
        <v>22</v>
      </c>
      <c r="H63" s="420">
        <v>1</v>
      </c>
      <c r="I63" s="420">
        <v>2</v>
      </c>
      <c r="J63" s="420">
        <v>1</v>
      </c>
      <c r="K63" s="420">
        <v>2</v>
      </c>
      <c r="L63" s="420">
        <v>1</v>
      </c>
      <c r="M63" s="420">
        <v>2</v>
      </c>
      <c r="N63" s="438">
        <v>1</v>
      </c>
      <c r="O63" s="1747"/>
      <c r="P63" s="470" t="str">
        <f t="shared" si="2"/>
        <v>01020102010201</v>
      </c>
      <c r="Q63" s="470"/>
      <c r="R63" s="470"/>
      <c r="S63" s="470"/>
      <c r="T63" s="470"/>
      <c r="U63" s="470"/>
      <c r="V63" s="470"/>
      <c r="W63" s="470"/>
      <c r="X63" s="470"/>
      <c r="Y63" s="470"/>
      <c r="Z63" s="470"/>
      <c r="AA63" s="470"/>
      <c r="AB63" s="470"/>
      <c r="AC63" s="470"/>
      <c r="AD63" s="476">
        <v>0</v>
      </c>
      <c r="AE63" s="1757"/>
      <c r="AF63" s="442" t="s">
        <v>378</v>
      </c>
      <c r="AG63" s="442"/>
      <c r="AH63" s="442"/>
      <c r="AI63" s="442"/>
      <c r="AJ63" s="442"/>
      <c r="AK63" s="442"/>
      <c r="AL63" s="442"/>
      <c r="AM63" s="442"/>
      <c r="AN63" s="477">
        <f>IF('1.Hoja_de_Cotización'!$R$7=5,IF($BB$2=9,0,Hoja_Cambio!$AR$32),IF($BB$2=9,0,Cálculos!$C$107))</f>
        <v>0</v>
      </c>
      <c r="AO63" s="442"/>
      <c r="AP63" s="477">
        <f t="shared" si="3"/>
        <v>0</v>
      </c>
      <c r="AQ63" s="1761"/>
      <c r="AR63" s="442" t="s">
        <v>378</v>
      </c>
      <c r="AS63" s="478">
        <f>TabGtos!I70</f>
        <v>0</v>
      </c>
      <c r="AT63" s="445"/>
    </row>
    <row r="64" spans="1:46" ht="21" customHeight="1" x14ac:dyDescent="0.2">
      <c r="A64" s="1744"/>
      <c r="B64" s="419">
        <v>617</v>
      </c>
      <c r="C64" s="420" t="s">
        <v>209</v>
      </c>
      <c r="D64" s="420" t="s">
        <v>17</v>
      </c>
      <c r="E64" s="420" t="s">
        <v>11</v>
      </c>
      <c r="F64" s="420" t="s">
        <v>24</v>
      </c>
      <c r="G64" s="420" t="s">
        <v>210</v>
      </c>
      <c r="H64" s="420">
        <v>1</v>
      </c>
      <c r="I64" s="420">
        <v>2</v>
      </c>
      <c r="J64" s="420">
        <v>1</v>
      </c>
      <c r="K64" s="420">
        <v>2</v>
      </c>
      <c r="L64" s="420">
        <v>2</v>
      </c>
      <c r="M64" s="420">
        <v>2</v>
      </c>
      <c r="N64" s="438">
        <v>1</v>
      </c>
      <c r="O64" s="1747"/>
      <c r="P64" s="470" t="str">
        <f t="shared" si="2"/>
        <v>01020102020201</v>
      </c>
      <c r="Q64" s="470"/>
      <c r="R64" s="470"/>
      <c r="S64" s="470"/>
      <c r="T64" s="470"/>
      <c r="U64" s="470"/>
      <c r="V64" s="470"/>
      <c r="W64" s="470"/>
      <c r="X64" s="470"/>
      <c r="Y64" s="470"/>
      <c r="Z64" s="470"/>
      <c r="AA64" s="470"/>
      <c r="AB64" s="470"/>
      <c r="AC64" s="470"/>
      <c r="AD64" s="476">
        <v>0</v>
      </c>
      <c r="AE64" s="1757"/>
      <c r="AF64" s="442" t="s">
        <v>379</v>
      </c>
      <c r="AG64" s="442"/>
      <c r="AH64" s="442"/>
      <c r="AI64" s="442"/>
      <c r="AJ64" s="442"/>
      <c r="AK64" s="442"/>
      <c r="AL64" s="442"/>
      <c r="AM64" s="442"/>
      <c r="AN64" s="477">
        <f>IF('1.Hoja_de_Cotización'!$R$7=5,IF($BB$2=9,0,Hoja_Cambio!$AR$32),IF($BB$2=9,0,Cálculos!$C$107))</f>
        <v>0</v>
      </c>
      <c r="AO64" s="442"/>
      <c r="AP64" s="477">
        <f t="shared" si="3"/>
        <v>0</v>
      </c>
      <c r="AQ64" s="1761"/>
      <c r="AR64" s="442" t="s">
        <v>379</v>
      </c>
      <c r="AS64" s="478">
        <f>TabGtos!I70</f>
        <v>0</v>
      </c>
      <c r="AT64" s="445"/>
    </row>
    <row r="65" spans="1:49" ht="21" customHeight="1" x14ac:dyDescent="0.2">
      <c r="A65" s="1744"/>
      <c r="B65" s="419">
        <v>620</v>
      </c>
      <c r="C65" s="420" t="s">
        <v>23</v>
      </c>
      <c r="D65" s="420" t="s">
        <v>17</v>
      </c>
      <c r="E65" s="420" t="s">
        <v>13</v>
      </c>
      <c r="F65" s="420" t="s">
        <v>21</v>
      </c>
      <c r="G65" s="420" t="s">
        <v>22</v>
      </c>
      <c r="H65" s="420">
        <v>3</v>
      </c>
      <c r="I65" s="420">
        <v>2</v>
      </c>
      <c r="J65" s="420">
        <v>6</v>
      </c>
      <c r="K65" s="420">
        <v>1</v>
      </c>
      <c r="L65" s="420">
        <v>1</v>
      </c>
      <c r="M65" s="420">
        <v>2</v>
      </c>
      <c r="N65" s="438">
        <v>1</v>
      </c>
      <c r="O65" s="1747"/>
      <c r="P65" s="470" t="str">
        <f t="shared" si="2"/>
        <v>03020601010201</v>
      </c>
      <c r="Q65" s="470"/>
      <c r="R65" s="470"/>
      <c r="S65" s="470"/>
      <c r="T65" s="470"/>
      <c r="U65" s="470"/>
      <c r="V65" s="470"/>
      <c r="W65" s="470"/>
      <c r="X65" s="470"/>
      <c r="Y65" s="470"/>
      <c r="Z65" s="470"/>
      <c r="AA65" s="470"/>
      <c r="AB65" s="470"/>
      <c r="AC65" s="470"/>
      <c r="AD65" s="476">
        <v>0</v>
      </c>
      <c r="AE65" s="1757"/>
      <c r="AF65" s="442" t="s">
        <v>247</v>
      </c>
      <c r="AG65" s="442"/>
      <c r="AH65" s="442"/>
      <c r="AI65" s="442"/>
      <c r="AJ65" s="442"/>
      <c r="AK65" s="442"/>
      <c r="AL65" s="442"/>
      <c r="AM65" s="442"/>
      <c r="AN65" s="477">
        <f>IF('1.Hoja_de_Cotización'!$R$7=5,IF($BB$2=9,0,Hoja_Cambio!$AR$32),IF($BB$2=9,0,Cálculos!$C$107))</f>
        <v>0</v>
      </c>
      <c r="AO65" s="442"/>
      <c r="AP65" s="477">
        <f t="shared" si="3"/>
        <v>0</v>
      </c>
      <c r="AQ65" s="1761"/>
      <c r="AR65" s="442" t="s">
        <v>247</v>
      </c>
      <c r="AS65" s="478">
        <f>TabGtos!I70</f>
        <v>0</v>
      </c>
      <c r="AT65" s="445"/>
    </row>
    <row r="66" spans="1:49" ht="21" customHeight="1" x14ac:dyDescent="0.2">
      <c r="A66" s="1744"/>
      <c r="B66" s="419">
        <v>621</v>
      </c>
      <c r="C66" s="420" t="s">
        <v>23</v>
      </c>
      <c r="D66" s="420" t="s">
        <v>17</v>
      </c>
      <c r="E66" s="420" t="s">
        <v>13</v>
      </c>
      <c r="F66" s="420" t="s">
        <v>24</v>
      </c>
      <c r="G66" s="420" t="s">
        <v>22</v>
      </c>
      <c r="H66" s="420">
        <v>3</v>
      </c>
      <c r="I66" s="420">
        <v>2</v>
      </c>
      <c r="J66" s="420">
        <v>6</v>
      </c>
      <c r="K66" s="420">
        <v>2</v>
      </c>
      <c r="L66" s="420">
        <v>1</v>
      </c>
      <c r="M66" s="420">
        <v>2</v>
      </c>
      <c r="N66" s="438">
        <v>1</v>
      </c>
      <c r="O66" s="1747"/>
      <c r="P66" s="470" t="str">
        <f t="shared" si="2"/>
        <v>03020602010201</v>
      </c>
      <c r="Q66" s="470"/>
      <c r="R66" s="470"/>
      <c r="S66" s="470"/>
      <c r="T66" s="470"/>
      <c r="U66" s="470"/>
      <c r="V66" s="470"/>
      <c r="W66" s="470"/>
      <c r="X66" s="470"/>
      <c r="Y66" s="470"/>
      <c r="Z66" s="470"/>
      <c r="AA66" s="470"/>
      <c r="AB66" s="470"/>
      <c r="AC66" s="470"/>
      <c r="AD66" s="476">
        <v>0</v>
      </c>
      <c r="AE66" s="1757"/>
      <c r="AF66" s="442" t="s">
        <v>249</v>
      </c>
      <c r="AG66" s="442"/>
      <c r="AH66" s="442"/>
      <c r="AI66" s="442"/>
      <c r="AJ66" s="442"/>
      <c r="AK66" s="442"/>
      <c r="AL66" s="442"/>
      <c r="AM66" s="442"/>
      <c r="AN66" s="477">
        <f>IF('1.Hoja_de_Cotización'!$R$7=5,IF($BB$2=9,0,Hoja_Cambio!$AR$32),IF($BB$2=9,0,Cálculos!$C$107))</f>
        <v>0</v>
      </c>
      <c r="AO66" s="442"/>
      <c r="AP66" s="477">
        <f t="shared" si="3"/>
        <v>0</v>
      </c>
      <c r="AQ66" s="1761"/>
      <c r="AR66" s="442" t="s">
        <v>249</v>
      </c>
      <c r="AS66" s="478">
        <f>TabGtos!I70</f>
        <v>0</v>
      </c>
      <c r="AT66" s="445"/>
    </row>
    <row r="67" spans="1:49" ht="21" customHeight="1" x14ac:dyDescent="0.2">
      <c r="A67" s="1744"/>
      <c r="B67" s="419">
        <v>622</v>
      </c>
      <c r="C67" s="420" t="s">
        <v>23</v>
      </c>
      <c r="D67" s="420" t="s">
        <v>17</v>
      </c>
      <c r="E67" s="420" t="s">
        <v>13</v>
      </c>
      <c r="F67" s="420" t="s">
        <v>21</v>
      </c>
      <c r="G67" s="420" t="s">
        <v>210</v>
      </c>
      <c r="H67" s="420">
        <v>3</v>
      </c>
      <c r="I67" s="420">
        <v>2</v>
      </c>
      <c r="J67" s="420">
        <v>6</v>
      </c>
      <c r="K67" s="420">
        <v>1</v>
      </c>
      <c r="L67" s="420">
        <v>2</v>
      </c>
      <c r="M67" s="420">
        <v>2</v>
      </c>
      <c r="N67" s="438">
        <v>1</v>
      </c>
      <c r="O67" s="1747"/>
      <c r="P67" s="470" t="str">
        <f t="shared" si="2"/>
        <v>03020601020201</v>
      </c>
      <c r="Q67" s="470"/>
      <c r="R67" s="470"/>
      <c r="S67" s="470"/>
      <c r="T67" s="470"/>
      <c r="U67" s="470"/>
      <c r="V67" s="470"/>
      <c r="W67" s="470"/>
      <c r="X67" s="470"/>
      <c r="Y67" s="470"/>
      <c r="Z67" s="470"/>
      <c r="AA67" s="470"/>
      <c r="AB67" s="470"/>
      <c r="AC67" s="470"/>
      <c r="AD67" s="476">
        <v>0</v>
      </c>
      <c r="AE67" s="1757"/>
      <c r="AF67" s="442" t="s">
        <v>248</v>
      </c>
      <c r="AG67" s="442"/>
      <c r="AH67" s="442"/>
      <c r="AI67" s="442"/>
      <c r="AJ67" s="442"/>
      <c r="AK67" s="442"/>
      <c r="AL67" s="442"/>
      <c r="AM67" s="442"/>
      <c r="AN67" s="477">
        <f>IF('1.Hoja_de_Cotización'!$R$7=5,IF($BB$2=9,0,Hoja_Cambio!$AR$32),IF($BB$2=9,0,Cálculos!$C$107))</f>
        <v>0</v>
      </c>
      <c r="AO67" s="442"/>
      <c r="AP67" s="477">
        <f t="shared" si="3"/>
        <v>0</v>
      </c>
      <c r="AQ67" s="1761"/>
      <c r="AR67" s="442" t="s">
        <v>248</v>
      </c>
      <c r="AS67" s="478">
        <f>TabGtos!I70</f>
        <v>0</v>
      </c>
      <c r="AT67" s="445"/>
    </row>
    <row r="68" spans="1:49" ht="21" customHeight="1" x14ac:dyDescent="0.2">
      <c r="A68" s="1744"/>
      <c r="B68" s="419">
        <v>623</v>
      </c>
      <c r="C68" s="420" t="s">
        <v>23</v>
      </c>
      <c r="D68" s="420" t="s">
        <v>17</v>
      </c>
      <c r="E68" s="420" t="s">
        <v>13</v>
      </c>
      <c r="F68" s="420" t="s">
        <v>24</v>
      </c>
      <c r="G68" s="420" t="s">
        <v>210</v>
      </c>
      <c r="H68" s="420">
        <v>3</v>
      </c>
      <c r="I68" s="420">
        <v>2</v>
      </c>
      <c r="J68" s="420">
        <v>6</v>
      </c>
      <c r="K68" s="420">
        <v>2</v>
      </c>
      <c r="L68" s="420">
        <v>2</v>
      </c>
      <c r="M68" s="420">
        <v>2</v>
      </c>
      <c r="N68" s="438">
        <v>1</v>
      </c>
      <c r="O68" s="1747"/>
      <c r="P68" s="470" t="str">
        <f t="shared" si="2"/>
        <v>03020602020201</v>
      </c>
      <c r="Q68" s="470"/>
      <c r="R68" s="470"/>
      <c r="S68" s="470"/>
      <c r="T68" s="470"/>
      <c r="U68" s="470"/>
      <c r="V68" s="470"/>
      <c r="W68" s="470"/>
      <c r="X68" s="470"/>
      <c r="Y68" s="470"/>
      <c r="Z68" s="470"/>
      <c r="AA68" s="470"/>
      <c r="AB68" s="470"/>
      <c r="AC68" s="470"/>
      <c r="AD68" s="476">
        <v>0</v>
      </c>
      <c r="AE68" s="1757"/>
      <c r="AF68" s="442" t="s">
        <v>250</v>
      </c>
      <c r="AG68" s="442"/>
      <c r="AH68" s="442"/>
      <c r="AI68" s="442"/>
      <c r="AJ68" s="442"/>
      <c r="AK68" s="442"/>
      <c r="AL68" s="442"/>
      <c r="AM68" s="442"/>
      <c r="AN68" s="477">
        <f>IF('1.Hoja_de_Cotización'!$R$7=5,IF($BB$2=9,0,Hoja_Cambio!$AR$32),IF($BB$2=9,0,Cálculos!$C$107))</f>
        <v>0</v>
      </c>
      <c r="AO68" s="442"/>
      <c r="AP68" s="477">
        <f t="shared" si="3"/>
        <v>0</v>
      </c>
      <c r="AQ68" s="1761"/>
      <c r="AR68" s="442" t="s">
        <v>250</v>
      </c>
      <c r="AS68" s="478">
        <f>TabGtos!I70</f>
        <v>0</v>
      </c>
      <c r="AT68" s="445"/>
    </row>
    <row r="69" spans="1:49" ht="21" customHeight="1" x14ac:dyDescent="0.2">
      <c r="A69" s="1744"/>
      <c r="B69" s="419">
        <v>624</v>
      </c>
      <c r="C69" s="420" t="s">
        <v>23</v>
      </c>
      <c r="D69" s="420" t="s">
        <v>17</v>
      </c>
      <c r="E69" s="420" t="s">
        <v>11</v>
      </c>
      <c r="F69" s="420" t="s">
        <v>24</v>
      </c>
      <c r="G69" s="420" t="s">
        <v>210</v>
      </c>
      <c r="H69" s="420">
        <v>3</v>
      </c>
      <c r="I69" s="420">
        <v>2</v>
      </c>
      <c r="J69" s="420">
        <v>1</v>
      </c>
      <c r="K69" s="420">
        <v>2</v>
      </c>
      <c r="L69" s="420">
        <v>2</v>
      </c>
      <c r="M69" s="420">
        <v>2</v>
      </c>
      <c r="N69" s="438">
        <v>1</v>
      </c>
      <c r="O69" s="1747"/>
      <c r="P69" s="470" t="str">
        <f t="shared" si="2"/>
        <v>03020102020201</v>
      </c>
      <c r="Q69" s="479"/>
      <c r="R69" s="479"/>
      <c r="S69" s="479"/>
      <c r="T69" s="479"/>
      <c r="U69" s="479"/>
      <c r="V69" s="479"/>
      <c r="W69" s="479"/>
      <c r="X69" s="479"/>
      <c r="Y69" s="479"/>
      <c r="Z69" s="479"/>
      <c r="AA69" s="479"/>
      <c r="AB69" s="479"/>
      <c r="AC69" s="479"/>
      <c r="AD69" s="480">
        <v>0</v>
      </c>
      <c r="AE69" s="1757"/>
      <c r="AF69" s="442" t="s">
        <v>380</v>
      </c>
      <c r="AG69" s="442"/>
      <c r="AH69" s="442"/>
      <c r="AI69" s="442"/>
      <c r="AJ69" s="442"/>
      <c r="AK69" s="442"/>
      <c r="AL69" s="442"/>
      <c r="AM69" s="442"/>
      <c r="AN69" s="477">
        <f>IF('1.Hoja_de_Cotización'!$R$7=5,IF($BB$2=9,0,Hoja_Cambio!$AR$32),IF($BB$2=9,0,Cálculos!$C$107))</f>
        <v>0</v>
      </c>
      <c r="AO69" s="442"/>
      <c r="AP69" s="477">
        <f t="shared" si="3"/>
        <v>0</v>
      </c>
      <c r="AQ69" s="1761"/>
      <c r="AR69" s="442" t="s">
        <v>380</v>
      </c>
      <c r="AS69" s="478">
        <f>TabGtos!I70</f>
        <v>0</v>
      </c>
      <c r="AT69" s="445"/>
    </row>
    <row r="70" spans="1:49" ht="15" customHeight="1" x14ac:dyDescent="0.2">
      <c r="A70" s="1745" t="s">
        <v>222</v>
      </c>
      <c r="B70" s="481">
        <v>627</v>
      </c>
      <c r="C70" s="482" t="s">
        <v>209</v>
      </c>
      <c r="D70" s="482" t="s">
        <v>17</v>
      </c>
      <c r="E70" s="482" t="s">
        <v>11</v>
      </c>
      <c r="F70" s="482" t="s">
        <v>21</v>
      </c>
      <c r="G70" s="482" t="s">
        <v>22</v>
      </c>
      <c r="H70" s="482">
        <v>1</v>
      </c>
      <c r="I70" s="482">
        <v>2</v>
      </c>
      <c r="J70" s="482">
        <v>1</v>
      </c>
      <c r="K70" s="482">
        <v>1</v>
      </c>
      <c r="L70" s="482">
        <v>1</v>
      </c>
      <c r="M70" s="482">
        <v>2</v>
      </c>
      <c r="N70" s="482">
        <v>2</v>
      </c>
      <c r="O70" s="1748" t="s">
        <v>217</v>
      </c>
      <c r="P70" s="482" t="str">
        <f t="shared" si="2"/>
        <v>01020101010202</v>
      </c>
      <c r="Q70" s="483">
        <v>25</v>
      </c>
      <c r="R70" s="483">
        <v>6</v>
      </c>
      <c r="S70" s="483">
        <v>25</v>
      </c>
      <c r="T70" s="483">
        <v>10</v>
      </c>
      <c r="U70" s="482"/>
      <c r="V70" s="482"/>
      <c r="W70" s="483">
        <v>21</v>
      </c>
      <c r="X70" s="482"/>
      <c r="Y70" s="482"/>
      <c r="Z70" s="483">
        <f>IF('1.Hoja_de_Cotización'!$C$33=0,0,(ROUND('1.Hoja_de_Cotización'!$C$33/1000,0)-1)*2.5+5)</f>
        <v>0</v>
      </c>
      <c r="AA70" s="482"/>
      <c r="AB70" s="482"/>
      <c r="AC70" s="482"/>
      <c r="AD70" s="483">
        <f>SUM(Q70:AC70)</f>
        <v>87</v>
      </c>
      <c r="AE70" s="1758" t="s">
        <v>217</v>
      </c>
      <c r="AF70" s="482" t="s">
        <v>381</v>
      </c>
      <c r="AG70" s="482">
        <v>38</v>
      </c>
      <c r="AH70" s="482">
        <v>20</v>
      </c>
      <c r="AI70" s="483">
        <f>((AH70)-1)*8+11</f>
        <v>163</v>
      </c>
      <c r="AJ70" s="483">
        <v>2</v>
      </c>
      <c r="AK70" s="483">
        <f>8*AG70</f>
        <v>304</v>
      </c>
      <c r="AL70" s="482"/>
      <c r="AM70" s="483">
        <v>10</v>
      </c>
      <c r="AN70" s="483">
        <f>IF('1.Hoja_de_Cotización'!$R$7=5,IF($BB$2=9,0,Hoja_Cambio!$AR$32),IF($BB$2=9,0,Cálculos!$C$107))</f>
        <v>0</v>
      </c>
      <c r="AO70" s="482"/>
      <c r="AP70" s="483">
        <f>SUM(AI70:AO70)</f>
        <v>479</v>
      </c>
      <c r="AQ70" s="1762" t="s">
        <v>217</v>
      </c>
      <c r="AR70" s="482" t="s">
        <v>381</v>
      </c>
      <c r="AS70" s="483">
        <f>TabGtos!D2</f>
        <v>0</v>
      </c>
      <c r="AT70" s="484"/>
      <c r="AU70" s="1762" t="s">
        <v>399</v>
      </c>
      <c r="AV70" s="482" t="s">
        <v>381</v>
      </c>
      <c r="AW70" s="483">
        <f>GtosFwla!B4</f>
        <v>200</v>
      </c>
    </row>
    <row r="71" spans="1:49" x14ac:dyDescent="0.2">
      <c r="A71" s="1745"/>
      <c r="B71" s="481">
        <v>634</v>
      </c>
      <c r="C71" s="482" t="s">
        <v>209</v>
      </c>
      <c r="D71" s="482" t="s">
        <v>17</v>
      </c>
      <c r="E71" s="482" t="s">
        <v>11</v>
      </c>
      <c r="F71" s="482" t="s">
        <v>21</v>
      </c>
      <c r="G71" s="482" t="s">
        <v>210</v>
      </c>
      <c r="H71" s="482">
        <v>1</v>
      </c>
      <c r="I71" s="482">
        <v>2</v>
      </c>
      <c r="J71" s="482">
        <v>1</v>
      </c>
      <c r="K71" s="482">
        <v>1</v>
      </c>
      <c r="L71" s="482">
        <v>2</v>
      </c>
      <c r="M71" s="482">
        <v>2</v>
      </c>
      <c r="N71" s="482">
        <v>2</v>
      </c>
      <c r="O71" s="1748"/>
      <c r="P71" s="482" t="str">
        <f t="shared" si="2"/>
        <v>01020101020202</v>
      </c>
      <c r="Q71" s="483">
        <v>25</v>
      </c>
      <c r="R71" s="483">
        <v>6</v>
      </c>
      <c r="S71" s="483">
        <v>25</v>
      </c>
      <c r="T71" s="483">
        <v>10</v>
      </c>
      <c r="U71" s="482"/>
      <c r="V71" s="482"/>
      <c r="W71" s="483">
        <v>21</v>
      </c>
      <c r="X71" s="482"/>
      <c r="Y71" s="482"/>
      <c r="Z71" s="483">
        <f>IF('1.Hoja_de_Cotización'!$C$33=0,0,(ROUND('1.Hoja_de_Cotización'!$C$33/1000,0)-1)*2.5+5)</f>
        <v>0</v>
      </c>
      <c r="AA71" s="482"/>
      <c r="AB71" s="482"/>
      <c r="AC71" s="482"/>
      <c r="AD71" s="483">
        <f t="shared" ref="AD71:AD92" si="14">SUM(Q71:AC71)</f>
        <v>87</v>
      </c>
      <c r="AE71" s="1758"/>
      <c r="AF71" s="482" t="s">
        <v>382</v>
      </c>
      <c r="AG71" s="482">
        <v>38</v>
      </c>
      <c r="AH71" s="482">
        <v>20</v>
      </c>
      <c r="AI71" s="483">
        <f t="shared" ref="AI71:AI92" si="15">((AH71)-1)*8+11</f>
        <v>163</v>
      </c>
      <c r="AJ71" s="483">
        <v>2</v>
      </c>
      <c r="AK71" s="483">
        <f t="shared" ref="AK71:AK92" si="16">8*AG71</f>
        <v>304</v>
      </c>
      <c r="AL71" s="482"/>
      <c r="AM71" s="483">
        <v>10</v>
      </c>
      <c r="AN71" s="483">
        <f>IF('1.Hoja_de_Cotización'!$R$7=5,IF($BB$2=9,0,Hoja_Cambio!$AR$32),IF($BB$2=9,0,Cálculos!$C$107))</f>
        <v>0</v>
      </c>
      <c r="AO71" s="482"/>
      <c r="AP71" s="483">
        <f t="shared" ref="AP71:AP92" si="17">SUM(AI71:AO71)</f>
        <v>479</v>
      </c>
      <c r="AQ71" s="1762"/>
      <c r="AR71" s="482" t="s">
        <v>382</v>
      </c>
      <c r="AS71" s="483">
        <f>TabGtos!D2</f>
        <v>0</v>
      </c>
      <c r="AT71" s="484"/>
      <c r="AU71" s="1762"/>
      <c r="AV71" s="482" t="s">
        <v>382</v>
      </c>
      <c r="AW71" s="483">
        <f>GtosFwla!B4</f>
        <v>200</v>
      </c>
    </row>
    <row r="72" spans="1:49" x14ac:dyDescent="0.2">
      <c r="A72" s="1745"/>
      <c r="B72" s="481">
        <v>635</v>
      </c>
      <c r="C72" s="482" t="s">
        <v>211</v>
      </c>
      <c r="D72" s="482" t="s">
        <v>17</v>
      </c>
      <c r="E72" s="482" t="s">
        <v>11</v>
      </c>
      <c r="F72" s="482" t="s">
        <v>24</v>
      </c>
      <c r="G72" s="482" t="s">
        <v>22</v>
      </c>
      <c r="H72" s="482">
        <v>1</v>
      </c>
      <c r="I72" s="482">
        <v>2</v>
      </c>
      <c r="J72" s="482">
        <v>1</v>
      </c>
      <c r="K72" s="482">
        <v>2</v>
      </c>
      <c r="L72" s="482">
        <v>1</v>
      </c>
      <c r="M72" s="482">
        <v>2</v>
      </c>
      <c r="N72" s="482">
        <v>2</v>
      </c>
      <c r="O72" s="1748"/>
      <c r="P72" s="482" t="str">
        <f t="shared" si="2"/>
        <v>01020102010202</v>
      </c>
      <c r="Q72" s="483">
        <v>25</v>
      </c>
      <c r="R72" s="483">
        <v>6</v>
      </c>
      <c r="S72" s="483">
        <v>25</v>
      </c>
      <c r="T72" s="483">
        <v>10</v>
      </c>
      <c r="U72" s="482"/>
      <c r="V72" s="482"/>
      <c r="W72" s="483">
        <v>21</v>
      </c>
      <c r="X72" s="482"/>
      <c r="Y72" s="482"/>
      <c r="Z72" s="483">
        <f>IF('1.Hoja_de_Cotización'!$C$33=0,0,(ROUND('1.Hoja_de_Cotización'!$C$33/1000,0)-1)*2.5+5)</f>
        <v>0</v>
      </c>
      <c r="AA72" s="482"/>
      <c r="AB72" s="482"/>
      <c r="AC72" s="482"/>
      <c r="AD72" s="483">
        <f t="shared" si="14"/>
        <v>87</v>
      </c>
      <c r="AE72" s="1758"/>
      <c r="AF72" s="482" t="s">
        <v>383</v>
      </c>
      <c r="AG72" s="482">
        <v>38</v>
      </c>
      <c r="AH72" s="482">
        <v>20</v>
      </c>
      <c r="AI72" s="483">
        <f t="shared" si="15"/>
        <v>163</v>
      </c>
      <c r="AJ72" s="483">
        <v>2</v>
      </c>
      <c r="AK72" s="483">
        <f t="shared" si="16"/>
        <v>304</v>
      </c>
      <c r="AL72" s="482"/>
      <c r="AM72" s="483">
        <v>10</v>
      </c>
      <c r="AN72" s="483">
        <f>IF('1.Hoja_de_Cotización'!$R$7=5,IF($BB$2=9,0,Hoja_Cambio!$AR$32),IF($BB$2=9,0,Cálculos!$C$107))</f>
        <v>0</v>
      </c>
      <c r="AO72" s="482"/>
      <c r="AP72" s="483">
        <f t="shared" si="17"/>
        <v>479</v>
      </c>
      <c r="AQ72" s="1762"/>
      <c r="AR72" s="482" t="s">
        <v>383</v>
      </c>
      <c r="AS72" s="483">
        <f>TabGtos!D2</f>
        <v>0</v>
      </c>
      <c r="AT72" s="484"/>
      <c r="AU72" s="1762"/>
      <c r="AV72" s="482" t="s">
        <v>383</v>
      </c>
      <c r="AW72" s="483">
        <f>GtosFwla!B4</f>
        <v>200</v>
      </c>
    </row>
    <row r="73" spans="1:49" x14ac:dyDescent="0.2">
      <c r="A73" s="1745"/>
      <c r="B73" s="481">
        <v>638</v>
      </c>
      <c r="C73" s="482" t="s">
        <v>212</v>
      </c>
      <c r="D73" s="482" t="s">
        <v>17</v>
      </c>
      <c r="E73" s="482" t="s">
        <v>18</v>
      </c>
      <c r="F73" s="482" t="s">
        <v>24</v>
      </c>
      <c r="G73" s="482" t="s">
        <v>22</v>
      </c>
      <c r="H73" s="482">
        <v>1</v>
      </c>
      <c r="I73" s="482">
        <v>2</v>
      </c>
      <c r="J73" s="482">
        <v>2</v>
      </c>
      <c r="K73" s="482">
        <v>2</v>
      </c>
      <c r="L73" s="482">
        <v>1</v>
      </c>
      <c r="M73" s="482">
        <v>2</v>
      </c>
      <c r="N73" s="482">
        <v>2</v>
      </c>
      <c r="O73" s="1748"/>
      <c r="P73" s="482" t="str">
        <f t="shared" si="2"/>
        <v>01020202010202</v>
      </c>
      <c r="Q73" s="483">
        <v>25</v>
      </c>
      <c r="R73" s="483">
        <v>6</v>
      </c>
      <c r="S73" s="483">
        <v>25</v>
      </c>
      <c r="T73" s="483">
        <v>10</v>
      </c>
      <c r="U73" s="482"/>
      <c r="V73" s="482"/>
      <c r="W73" s="483">
        <v>21</v>
      </c>
      <c r="X73" s="482"/>
      <c r="Y73" s="482"/>
      <c r="Z73" s="483">
        <f>IF('1.Hoja_de_Cotización'!$C$33=0,0,(ROUND('1.Hoja_de_Cotización'!$C$33/1000,0)-1)*2.5+5)</f>
        <v>0</v>
      </c>
      <c r="AA73" s="482"/>
      <c r="AB73" s="482"/>
      <c r="AC73" s="482"/>
      <c r="AD73" s="483">
        <f t="shared" si="14"/>
        <v>87</v>
      </c>
      <c r="AE73" s="1758"/>
      <c r="AF73" s="482" t="s">
        <v>384</v>
      </c>
      <c r="AG73" s="482">
        <v>38</v>
      </c>
      <c r="AH73" s="482">
        <v>20</v>
      </c>
      <c r="AI73" s="483">
        <f t="shared" si="15"/>
        <v>163</v>
      </c>
      <c r="AJ73" s="483">
        <v>2</v>
      </c>
      <c r="AK73" s="483">
        <f t="shared" si="16"/>
        <v>304</v>
      </c>
      <c r="AL73" s="482"/>
      <c r="AM73" s="483">
        <v>10</v>
      </c>
      <c r="AN73" s="483">
        <f>IF('1.Hoja_de_Cotización'!$R$7=5,IF($BB$2=9,0,Hoja_Cambio!$AR$32),IF($BB$2=9,0,Cálculos!$C$107))</f>
        <v>0</v>
      </c>
      <c r="AO73" s="482"/>
      <c r="AP73" s="483">
        <f t="shared" si="17"/>
        <v>479</v>
      </c>
      <c r="AQ73" s="1762"/>
      <c r="AR73" s="482" t="s">
        <v>384</v>
      </c>
      <c r="AS73" s="483">
        <f>TabGtos!D47</f>
        <v>0</v>
      </c>
      <c r="AT73" s="484"/>
      <c r="AU73" s="1762"/>
      <c r="AV73" s="482" t="s">
        <v>384</v>
      </c>
      <c r="AW73" s="483">
        <f>GtosFwla!B4</f>
        <v>200</v>
      </c>
    </row>
    <row r="74" spans="1:49" x14ac:dyDescent="0.2">
      <c r="A74" s="1745"/>
      <c r="B74" s="481">
        <v>643</v>
      </c>
      <c r="C74" s="482" t="s">
        <v>212</v>
      </c>
      <c r="D74" s="482" t="s">
        <v>17</v>
      </c>
      <c r="E74" s="482" t="s">
        <v>18</v>
      </c>
      <c r="F74" s="482" t="s">
        <v>24</v>
      </c>
      <c r="G74" s="482" t="s">
        <v>210</v>
      </c>
      <c r="H74" s="482">
        <v>1</v>
      </c>
      <c r="I74" s="482">
        <v>2</v>
      </c>
      <c r="J74" s="482">
        <v>2</v>
      </c>
      <c r="K74" s="482">
        <v>2</v>
      </c>
      <c r="L74" s="482">
        <v>2</v>
      </c>
      <c r="M74" s="482">
        <v>2</v>
      </c>
      <c r="N74" s="482">
        <v>2</v>
      </c>
      <c r="O74" s="1748"/>
      <c r="P74" s="482" t="str">
        <f t="shared" si="2"/>
        <v>01020202020202</v>
      </c>
      <c r="Q74" s="483">
        <v>25</v>
      </c>
      <c r="R74" s="483">
        <v>6</v>
      </c>
      <c r="S74" s="483">
        <v>25</v>
      </c>
      <c r="T74" s="483">
        <v>10</v>
      </c>
      <c r="U74" s="482"/>
      <c r="V74" s="482"/>
      <c r="W74" s="483">
        <v>21</v>
      </c>
      <c r="X74" s="482"/>
      <c r="Y74" s="482"/>
      <c r="Z74" s="483">
        <f>IF('1.Hoja_de_Cotización'!$C$33=0,0,(ROUND('1.Hoja_de_Cotización'!$C$33/1000,0)-1)*2.5+5)</f>
        <v>0</v>
      </c>
      <c r="AA74" s="482"/>
      <c r="AB74" s="482"/>
      <c r="AC74" s="482"/>
      <c r="AD74" s="483">
        <f t="shared" si="14"/>
        <v>87</v>
      </c>
      <c r="AE74" s="1758"/>
      <c r="AF74" s="482" t="s">
        <v>385</v>
      </c>
      <c r="AG74" s="482">
        <v>38</v>
      </c>
      <c r="AH74" s="482">
        <v>20</v>
      </c>
      <c r="AI74" s="483">
        <f t="shared" si="15"/>
        <v>163</v>
      </c>
      <c r="AJ74" s="483">
        <v>2</v>
      </c>
      <c r="AK74" s="483">
        <f t="shared" si="16"/>
        <v>304</v>
      </c>
      <c r="AL74" s="482"/>
      <c r="AM74" s="483">
        <v>10</v>
      </c>
      <c r="AN74" s="483">
        <f>IF('1.Hoja_de_Cotización'!$R$7=5,IF($BB$2=9,0,Hoja_Cambio!$AR$32),IF($BB$2=9,0,Cálculos!$C$107))</f>
        <v>0</v>
      </c>
      <c r="AO74" s="482"/>
      <c r="AP74" s="483">
        <f t="shared" si="17"/>
        <v>479</v>
      </c>
      <c r="AQ74" s="1762"/>
      <c r="AR74" s="482" t="s">
        <v>385</v>
      </c>
      <c r="AS74" s="483">
        <f>TabGtos!D47</f>
        <v>0</v>
      </c>
      <c r="AT74" s="484"/>
      <c r="AU74" s="1762"/>
      <c r="AV74" s="482" t="s">
        <v>385</v>
      </c>
      <c r="AW74" s="483">
        <f>GtosFwla!B4</f>
        <v>200</v>
      </c>
    </row>
    <row r="75" spans="1:49" x14ac:dyDescent="0.2">
      <c r="A75" s="1745"/>
      <c r="B75" s="481">
        <v>644</v>
      </c>
      <c r="C75" s="482" t="s">
        <v>209</v>
      </c>
      <c r="D75" s="482" t="s">
        <v>17</v>
      </c>
      <c r="E75" s="482" t="s">
        <v>11</v>
      </c>
      <c r="F75" s="482" t="s">
        <v>24</v>
      </c>
      <c r="G75" s="482" t="s">
        <v>210</v>
      </c>
      <c r="H75" s="482">
        <v>1</v>
      </c>
      <c r="I75" s="482">
        <v>2</v>
      </c>
      <c r="J75" s="482">
        <v>1</v>
      </c>
      <c r="K75" s="482">
        <v>2</v>
      </c>
      <c r="L75" s="482">
        <v>2</v>
      </c>
      <c r="M75" s="482">
        <v>2</v>
      </c>
      <c r="N75" s="482">
        <v>2</v>
      </c>
      <c r="O75" s="1748"/>
      <c r="P75" s="482" t="str">
        <f t="shared" ref="P75:P104" si="18">CONCATENATE(TEXT(H75,"00"),TEXT(I75,"00"),TEXT(J75,"00"),TEXT(K75,"00"),TEXT(L75,"00"),TEXT(M75,"00"),TEXT(N75,"00"))</f>
        <v>01020102020202</v>
      </c>
      <c r="Q75" s="483">
        <v>25</v>
      </c>
      <c r="R75" s="483">
        <v>6</v>
      </c>
      <c r="S75" s="483">
        <v>25</v>
      </c>
      <c r="T75" s="483">
        <v>10</v>
      </c>
      <c r="U75" s="482"/>
      <c r="V75" s="482"/>
      <c r="W75" s="483">
        <v>21</v>
      </c>
      <c r="X75" s="482"/>
      <c r="Y75" s="482"/>
      <c r="Z75" s="483">
        <f>IF('1.Hoja_de_Cotización'!$C$33=0,0,(ROUND('1.Hoja_de_Cotización'!$C$33/1000,0)-1)*2.5+5)</f>
        <v>0</v>
      </c>
      <c r="AA75" s="482"/>
      <c r="AB75" s="482"/>
      <c r="AC75" s="482"/>
      <c r="AD75" s="483">
        <f t="shared" si="14"/>
        <v>87</v>
      </c>
      <c r="AE75" s="1758"/>
      <c r="AF75" s="482" t="s">
        <v>386</v>
      </c>
      <c r="AG75" s="482">
        <v>38</v>
      </c>
      <c r="AH75" s="482">
        <v>20</v>
      </c>
      <c r="AI75" s="483">
        <f t="shared" si="15"/>
        <v>163</v>
      </c>
      <c r="AJ75" s="483">
        <v>2</v>
      </c>
      <c r="AK75" s="483">
        <f t="shared" si="16"/>
        <v>304</v>
      </c>
      <c r="AL75" s="482"/>
      <c r="AM75" s="483">
        <v>10</v>
      </c>
      <c r="AN75" s="483">
        <f>IF('1.Hoja_de_Cotización'!$R$7=5,IF($BB$2=9,0,Hoja_Cambio!$AR$32),IF($BB$2=9,0,Cálculos!$C$107))</f>
        <v>0</v>
      </c>
      <c r="AO75" s="482"/>
      <c r="AP75" s="483">
        <f t="shared" si="17"/>
        <v>479</v>
      </c>
      <c r="AQ75" s="1762"/>
      <c r="AR75" s="482" t="s">
        <v>386</v>
      </c>
      <c r="AS75" s="483">
        <f>TabGtos!D2</f>
        <v>0</v>
      </c>
      <c r="AT75" s="484"/>
      <c r="AU75" s="1762"/>
      <c r="AV75" s="482" t="s">
        <v>386</v>
      </c>
      <c r="AW75" s="483">
        <f>GtosFwla!B4</f>
        <v>200</v>
      </c>
    </row>
    <row r="76" spans="1:49" x14ac:dyDescent="0.2">
      <c r="A76" s="1745"/>
      <c r="B76" s="481">
        <v>661</v>
      </c>
      <c r="C76" s="482" t="s">
        <v>23</v>
      </c>
      <c r="D76" s="482" t="s">
        <v>17</v>
      </c>
      <c r="E76" s="482" t="s">
        <v>13</v>
      </c>
      <c r="F76" s="482" t="s">
        <v>21</v>
      </c>
      <c r="G76" s="482" t="s">
        <v>22</v>
      </c>
      <c r="H76" s="482">
        <v>3</v>
      </c>
      <c r="I76" s="482">
        <v>2</v>
      </c>
      <c r="J76" s="482">
        <v>6</v>
      </c>
      <c r="K76" s="482">
        <v>1</v>
      </c>
      <c r="L76" s="482">
        <v>1</v>
      </c>
      <c r="M76" s="482">
        <v>2</v>
      </c>
      <c r="N76" s="482">
        <v>2</v>
      </c>
      <c r="O76" s="1748"/>
      <c r="P76" s="482" t="str">
        <f t="shared" si="18"/>
        <v>03020601010202</v>
      </c>
      <c r="Q76" s="483">
        <v>25</v>
      </c>
      <c r="R76" s="483">
        <v>6</v>
      </c>
      <c r="S76" s="483">
        <v>25</v>
      </c>
      <c r="T76" s="483">
        <v>10</v>
      </c>
      <c r="U76" s="482"/>
      <c r="V76" s="482"/>
      <c r="W76" s="483">
        <v>21</v>
      </c>
      <c r="X76" s="482"/>
      <c r="Y76" s="482"/>
      <c r="Z76" s="483">
        <f>IF('1.Hoja_de_Cotización'!$C$33=0,0,(ROUND('1.Hoja_de_Cotización'!$C$33/1000,0)-1)*2.5+5)</f>
        <v>0</v>
      </c>
      <c r="AA76" s="482"/>
      <c r="AB76" s="482"/>
      <c r="AC76" s="482"/>
      <c r="AD76" s="483">
        <f t="shared" si="14"/>
        <v>87</v>
      </c>
      <c r="AE76" s="1758"/>
      <c r="AF76" s="482" t="s">
        <v>251</v>
      </c>
      <c r="AG76" s="482">
        <v>38</v>
      </c>
      <c r="AH76" s="482">
        <v>20</v>
      </c>
      <c r="AI76" s="483">
        <f t="shared" si="15"/>
        <v>163</v>
      </c>
      <c r="AJ76" s="483">
        <v>2</v>
      </c>
      <c r="AK76" s="483">
        <f t="shared" si="16"/>
        <v>304</v>
      </c>
      <c r="AL76" s="482"/>
      <c r="AM76" s="483">
        <v>10</v>
      </c>
      <c r="AN76" s="483">
        <f>IF('1.Hoja_de_Cotización'!$R$7=5,IF($BB$2=9,0,Hoja_Cambio!$AR$32),IF($BB$2=9,0,Cálculos!$C$107))</f>
        <v>0</v>
      </c>
      <c r="AO76" s="482"/>
      <c r="AP76" s="483">
        <f t="shared" si="17"/>
        <v>479</v>
      </c>
      <c r="AQ76" s="1762"/>
      <c r="AR76" s="482" t="s">
        <v>251</v>
      </c>
      <c r="AS76" s="483">
        <f>TabGtos!D2</f>
        <v>0</v>
      </c>
      <c r="AT76" s="484"/>
      <c r="AU76" s="1762"/>
      <c r="AV76" s="482" t="s">
        <v>251</v>
      </c>
      <c r="AW76" s="483">
        <f>GtosFwla!B4</f>
        <v>200</v>
      </c>
    </row>
    <row r="77" spans="1:49" x14ac:dyDescent="0.2">
      <c r="A77" s="1745"/>
      <c r="B77" s="481">
        <v>662</v>
      </c>
      <c r="C77" s="482" t="s">
        <v>23</v>
      </c>
      <c r="D77" s="482" t="s">
        <v>17</v>
      </c>
      <c r="E77" s="482" t="s">
        <v>13</v>
      </c>
      <c r="F77" s="482" t="s">
        <v>24</v>
      </c>
      <c r="G77" s="482" t="s">
        <v>22</v>
      </c>
      <c r="H77" s="482">
        <v>3</v>
      </c>
      <c r="I77" s="482">
        <v>2</v>
      </c>
      <c r="J77" s="482">
        <v>6</v>
      </c>
      <c r="K77" s="482">
        <v>2</v>
      </c>
      <c r="L77" s="482">
        <v>1</v>
      </c>
      <c r="M77" s="482">
        <v>2</v>
      </c>
      <c r="N77" s="482">
        <v>2</v>
      </c>
      <c r="O77" s="1748"/>
      <c r="P77" s="482" t="str">
        <f t="shared" si="18"/>
        <v>03020602010202</v>
      </c>
      <c r="Q77" s="483">
        <v>25</v>
      </c>
      <c r="R77" s="483">
        <v>6</v>
      </c>
      <c r="S77" s="483">
        <v>25</v>
      </c>
      <c r="T77" s="483">
        <v>10</v>
      </c>
      <c r="U77" s="482"/>
      <c r="V77" s="482"/>
      <c r="W77" s="483">
        <v>21</v>
      </c>
      <c r="X77" s="482"/>
      <c r="Y77" s="482"/>
      <c r="Z77" s="483">
        <f>IF('1.Hoja_de_Cotización'!$C$33=0,0,(ROUND('1.Hoja_de_Cotización'!$C$33/1000,0)-1)*2.5+5)</f>
        <v>0</v>
      </c>
      <c r="AA77" s="482"/>
      <c r="AB77" s="482"/>
      <c r="AC77" s="482"/>
      <c r="AD77" s="483">
        <f t="shared" si="14"/>
        <v>87</v>
      </c>
      <c r="AE77" s="1758"/>
      <c r="AF77" s="482" t="s">
        <v>253</v>
      </c>
      <c r="AG77" s="482">
        <v>38</v>
      </c>
      <c r="AH77" s="482">
        <v>20</v>
      </c>
      <c r="AI77" s="483">
        <f t="shared" si="15"/>
        <v>163</v>
      </c>
      <c r="AJ77" s="483">
        <v>2</v>
      </c>
      <c r="AK77" s="483">
        <f t="shared" si="16"/>
        <v>304</v>
      </c>
      <c r="AL77" s="482"/>
      <c r="AM77" s="483">
        <v>10</v>
      </c>
      <c r="AN77" s="483">
        <f>IF('1.Hoja_de_Cotización'!$R$7=5,IF($BB$2=9,0,Hoja_Cambio!$AR$32),IF($BB$2=9,0,Cálculos!$C$107))</f>
        <v>0</v>
      </c>
      <c r="AO77" s="482"/>
      <c r="AP77" s="483">
        <f t="shared" si="17"/>
        <v>479</v>
      </c>
      <c r="AQ77" s="1762"/>
      <c r="AR77" s="482" t="s">
        <v>253</v>
      </c>
      <c r="AS77" s="483">
        <f>TabGtos!D2</f>
        <v>0</v>
      </c>
      <c r="AT77" s="484"/>
      <c r="AU77" s="1762"/>
      <c r="AV77" s="482" t="s">
        <v>253</v>
      </c>
      <c r="AW77" s="483">
        <f>GtosFwla!B4</f>
        <v>200</v>
      </c>
    </row>
    <row r="78" spans="1:49" x14ac:dyDescent="0.2">
      <c r="A78" s="1745"/>
      <c r="B78" s="481">
        <v>663</v>
      </c>
      <c r="C78" s="482" t="s">
        <v>23</v>
      </c>
      <c r="D78" s="482" t="s">
        <v>17</v>
      </c>
      <c r="E78" s="482" t="s">
        <v>13</v>
      </c>
      <c r="F78" s="482" t="s">
        <v>21</v>
      </c>
      <c r="G78" s="482" t="s">
        <v>210</v>
      </c>
      <c r="H78" s="482">
        <v>3</v>
      </c>
      <c r="I78" s="482">
        <v>2</v>
      </c>
      <c r="J78" s="482">
        <v>6</v>
      </c>
      <c r="K78" s="482">
        <v>1</v>
      </c>
      <c r="L78" s="482">
        <v>2</v>
      </c>
      <c r="M78" s="482">
        <v>2</v>
      </c>
      <c r="N78" s="482">
        <v>2</v>
      </c>
      <c r="O78" s="1748"/>
      <c r="P78" s="482" t="str">
        <f t="shared" si="18"/>
        <v>03020601020202</v>
      </c>
      <c r="Q78" s="483">
        <v>25</v>
      </c>
      <c r="R78" s="483">
        <v>6</v>
      </c>
      <c r="S78" s="483">
        <v>25</v>
      </c>
      <c r="T78" s="483">
        <v>10</v>
      </c>
      <c r="U78" s="482"/>
      <c r="V78" s="482"/>
      <c r="W78" s="483">
        <v>21</v>
      </c>
      <c r="X78" s="482"/>
      <c r="Y78" s="482"/>
      <c r="Z78" s="483">
        <f>IF('1.Hoja_de_Cotización'!$C$33=0,0,(ROUND('1.Hoja_de_Cotización'!$C$33/1000,0)-1)*2.5+5)</f>
        <v>0</v>
      </c>
      <c r="AA78" s="482"/>
      <c r="AB78" s="482"/>
      <c r="AC78" s="482"/>
      <c r="AD78" s="483">
        <f t="shared" si="14"/>
        <v>87</v>
      </c>
      <c r="AE78" s="1758"/>
      <c r="AF78" s="482" t="s">
        <v>252</v>
      </c>
      <c r="AG78" s="482">
        <v>38</v>
      </c>
      <c r="AH78" s="482">
        <v>20</v>
      </c>
      <c r="AI78" s="483">
        <f t="shared" si="15"/>
        <v>163</v>
      </c>
      <c r="AJ78" s="483">
        <v>2</v>
      </c>
      <c r="AK78" s="483">
        <f t="shared" si="16"/>
        <v>304</v>
      </c>
      <c r="AL78" s="482"/>
      <c r="AM78" s="483">
        <v>10</v>
      </c>
      <c r="AN78" s="483">
        <f>IF('1.Hoja_de_Cotización'!$R$7=5,IF($BB$2=9,0,Hoja_Cambio!$AR$32),IF($BB$2=9,0,Cálculos!$C$107))</f>
        <v>0</v>
      </c>
      <c r="AO78" s="482"/>
      <c r="AP78" s="483">
        <f t="shared" si="17"/>
        <v>479</v>
      </c>
      <c r="AQ78" s="1762"/>
      <c r="AR78" s="482" t="s">
        <v>252</v>
      </c>
      <c r="AS78" s="483">
        <f>TabGtos!D2</f>
        <v>0</v>
      </c>
      <c r="AT78" s="484"/>
      <c r="AU78" s="1762"/>
      <c r="AV78" s="482" t="s">
        <v>252</v>
      </c>
      <c r="AW78" s="483">
        <f>GtosFwla!B4</f>
        <v>200</v>
      </c>
    </row>
    <row r="79" spans="1:49" x14ac:dyDescent="0.2">
      <c r="A79" s="1745"/>
      <c r="B79" s="481">
        <v>664</v>
      </c>
      <c r="C79" s="482" t="s">
        <v>23</v>
      </c>
      <c r="D79" s="482" t="s">
        <v>17</v>
      </c>
      <c r="E79" s="482" t="s">
        <v>13</v>
      </c>
      <c r="F79" s="482" t="s">
        <v>24</v>
      </c>
      <c r="G79" s="482" t="s">
        <v>210</v>
      </c>
      <c r="H79" s="482">
        <v>3</v>
      </c>
      <c r="I79" s="482">
        <v>2</v>
      </c>
      <c r="J79" s="482">
        <v>6</v>
      </c>
      <c r="K79" s="482">
        <v>2</v>
      </c>
      <c r="L79" s="482">
        <v>2</v>
      </c>
      <c r="M79" s="482">
        <v>2</v>
      </c>
      <c r="N79" s="482">
        <v>2</v>
      </c>
      <c r="O79" s="1748"/>
      <c r="P79" s="482" t="str">
        <f t="shared" si="18"/>
        <v>03020602020202</v>
      </c>
      <c r="Q79" s="483">
        <v>25</v>
      </c>
      <c r="R79" s="483">
        <v>6</v>
      </c>
      <c r="S79" s="483">
        <v>25</v>
      </c>
      <c r="T79" s="483">
        <v>10</v>
      </c>
      <c r="U79" s="482"/>
      <c r="V79" s="482"/>
      <c r="W79" s="483">
        <v>21</v>
      </c>
      <c r="X79" s="482"/>
      <c r="Y79" s="482"/>
      <c r="Z79" s="483">
        <f>IF('1.Hoja_de_Cotización'!$C$33=0,0,(ROUND('1.Hoja_de_Cotización'!$C$33/1000,0)-1)*2.5+5)</f>
        <v>0</v>
      </c>
      <c r="AA79" s="482"/>
      <c r="AB79" s="482"/>
      <c r="AC79" s="482"/>
      <c r="AD79" s="483">
        <f t="shared" si="14"/>
        <v>87</v>
      </c>
      <c r="AE79" s="1758"/>
      <c r="AF79" s="482" t="s">
        <v>254</v>
      </c>
      <c r="AG79" s="482">
        <v>38</v>
      </c>
      <c r="AH79" s="482">
        <v>20</v>
      </c>
      <c r="AI79" s="483">
        <f t="shared" si="15"/>
        <v>163</v>
      </c>
      <c r="AJ79" s="483">
        <v>2</v>
      </c>
      <c r="AK79" s="483">
        <f t="shared" si="16"/>
        <v>304</v>
      </c>
      <c r="AL79" s="482"/>
      <c r="AM79" s="483">
        <v>10</v>
      </c>
      <c r="AN79" s="483">
        <f>IF('1.Hoja_de_Cotización'!$R$7=5,IF($BB$2=9,0,Hoja_Cambio!$AR$32),IF($BB$2=9,0,Cálculos!$C$107))</f>
        <v>0</v>
      </c>
      <c r="AO79" s="482"/>
      <c r="AP79" s="483">
        <f t="shared" si="17"/>
        <v>479</v>
      </c>
      <c r="AQ79" s="1762"/>
      <c r="AR79" s="482" t="s">
        <v>254</v>
      </c>
      <c r="AS79" s="483">
        <f>TabGtos!D2</f>
        <v>0</v>
      </c>
      <c r="AT79" s="484"/>
      <c r="AU79" s="1762"/>
      <c r="AV79" s="482" t="s">
        <v>254</v>
      </c>
      <c r="AW79" s="483">
        <f>GtosFwla!B4</f>
        <v>200</v>
      </c>
    </row>
    <row r="80" spans="1:49" x14ac:dyDescent="0.2">
      <c r="A80" s="1745"/>
      <c r="B80" s="481">
        <v>665</v>
      </c>
      <c r="C80" s="482" t="s">
        <v>23</v>
      </c>
      <c r="D80" s="482" t="s">
        <v>17</v>
      </c>
      <c r="E80" s="482" t="s">
        <v>11</v>
      </c>
      <c r="F80" s="482" t="s">
        <v>24</v>
      </c>
      <c r="G80" s="482" t="s">
        <v>210</v>
      </c>
      <c r="H80" s="482">
        <v>3</v>
      </c>
      <c r="I80" s="482">
        <v>2</v>
      </c>
      <c r="J80" s="482">
        <v>1</v>
      </c>
      <c r="K80" s="482">
        <v>2</v>
      </c>
      <c r="L80" s="482">
        <v>2</v>
      </c>
      <c r="M80" s="482">
        <v>2</v>
      </c>
      <c r="N80" s="482">
        <v>2</v>
      </c>
      <c r="O80" s="1748"/>
      <c r="P80" s="482" t="str">
        <f t="shared" si="18"/>
        <v>03020102020202</v>
      </c>
      <c r="Q80" s="483">
        <v>25</v>
      </c>
      <c r="R80" s="483">
        <v>6</v>
      </c>
      <c r="S80" s="483">
        <v>25</v>
      </c>
      <c r="T80" s="483">
        <v>10</v>
      </c>
      <c r="U80" s="482"/>
      <c r="V80" s="482"/>
      <c r="W80" s="483">
        <v>21</v>
      </c>
      <c r="X80" s="482"/>
      <c r="Y80" s="482"/>
      <c r="Z80" s="483">
        <f>IF('1.Hoja_de_Cotización'!$C$33=0,0,(ROUND('1.Hoja_de_Cotización'!$C$33/1000,0)-1)*2.5+5)</f>
        <v>0</v>
      </c>
      <c r="AA80" s="482"/>
      <c r="AB80" s="482"/>
      <c r="AC80" s="482"/>
      <c r="AD80" s="483">
        <f t="shared" si="14"/>
        <v>87</v>
      </c>
      <c r="AE80" s="1758"/>
      <c r="AF80" s="482" t="s">
        <v>387</v>
      </c>
      <c r="AG80" s="482">
        <v>38</v>
      </c>
      <c r="AH80" s="482">
        <v>20</v>
      </c>
      <c r="AI80" s="483">
        <f t="shared" si="15"/>
        <v>163</v>
      </c>
      <c r="AJ80" s="483">
        <v>2</v>
      </c>
      <c r="AK80" s="483">
        <f t="shared" si="16"/>
        <v>304</v>
      </c>
      <c r="AL80" s="482"/>
      <c r="AM80" s="483">
        <v>10</v>
      </c>
      <c r="AN80" s="483">
        <f>IF('1.Hoja_de_Cotización'!$R$7=5,IF($BB$2=9,0,Hoja_Cambio!$AR$32),IF($BB$2=9,0,Cálculos!$C$107))</f>
        <v>0</v>
      </c>
      <c r="AO80" s="482"/>
      <c r="AP80" s="483">
        <f t="shared" si="17"/>
        <v>479</v>
      </c>
      <c r="AQ80" s="1762"/>
      <c r="AR80" s="482" t="s">
        <v>387</v>
      </c>
      <c r="AS80" s="483">
        <f>TabGtos!D2</f>
        <v>0</v>
      </c>
      <c r="AT80" s="484"/>
      <c r="AU80" s="1762"/>
      <c r="AV80" s="482" t="s">
        <v>387</v>
      </c>
      <c r="AW80" s="483">
        <f>GtosFwla!B4</f>
        <v>200</v>
      </c>
    </row>
    <row r="81" spans="1:49" ht="21" customHeight="1" x14ac:dyDescent="0.2">
      <c r="A81" s="1745"/>
      <c r="B81" s="481">
        <v>668</v>
      </c>
      <c r="C81" s="482" t="s">
        <v>16</v>
      </c>
      <c r="D81" s="482" t="s">
        <v>17</v>
      </c>
      <c r="E81" s="482" t="s">
        <v>27</v>
      </c>
      <c r="F81" s="482" t="s">
        <v>24</v>
      </c>
      <c r="G81" s="482" t="s">
        <v>22</v>
      </c>
      <c r="H81" s="482">
        <v>2</v>
      </c>
      <c r="I81" s="482">
        <v>2</v>
      </c>
      <c r="J81" s="482">
        <v>4</v>
      </c>
      <c r="K81" s="482">
        <v>2</v>
      </c>
      <c r="L81" s="482">
        <v>1</v>
      </c>
      <c r="M81" s="482">
        <v>2</v>
      </c>
      <c r="N81" s="482">
        <v>2</v>
      </c>
      <c r="O81" s="1748"/>
      <c r="P81" s="482" t="str">
        <f t="shared" si="18"/>
        <v>02020402010202</v>
      </c>
      <c r="Q81" s="483">
        <v>25</v>
      </c>
      <c r="R81" s="485"/>
      <c r="S81" s="485"/>
      <c r="T81" s="485"/>
      <c r="U81" s="486"/>
      <c r="V81" s="486"/>
      <c r="W81" s="483">
        <v>21</v>
      </c>
      <c r="X81" s="483">
        <v>50</v>
      </c>
      <c r="Y81" s="483">
        <v>6</v>
      </c>
      <c r="Z81" s="486"/>
      <c r="AA81" s="486"/>
      <c r="AB81" s="486"/>
      <c r="AC81" s="486"/>
      <c r="AD81" s="483">
        <f t="shared" si="14"/>
        <v>102</v>
      </c>
      <c r="AE81" s="1758"/>
      <c r="AF81" s="482" t="s">
        <v>401</v>
      </c>
      <c r="AG81" s="482">
        <v>13</v>
      </c>
      <c r="AH81" s="482">
        <v>7</v>
      </c>
      <c r="AI81" s="483">
        <f t="shared" si="15"/>
        <v>59</v>
      </c>
      <c r="AJ81" s="483">
        <v>2</v>
      </c>
      <c r="AK81" s="483">
        <f t="shared" si="16"/>
        <v>104</v>
      </c>
      <c r="AL81" s="482"/>
      <c r="AM81" s="483">
        <v>10</v>
      </c>
      <c r="AN81" s="483">
        <f>IF('1.Hoja_de_Cotización'!$R$7=5,IF($BB$2=9,0,Hoja_Cambio!$AR$32),IF($BB$2=9,0,Cálculos!$C$107))</f>
        <v>0</v>
      </c>
      <c r="AO81" s="482"/>
      <c r="AP81" s="483">
        <f t="shared" si="17"/>
        <v>175</v>
      </c>
      <c r="AQ81" s="1762"/>
      <c r="AR81" s="482" t="s">
        <v>401</v>
      </c>
      <c r="AS81" s="483">
        <f>TabGtos!D25</f>
        <v>0</v>
      </c>
      <c r="AT81" s="484"/>
      <c r="AU81" s="1762"/>
      <c r="AV81" s="482" t="s">
        <v>401</v>
      </c>
      <c r="AW81" s="483">
        <f>GtosFwla!B7</f>
        <v>75</v>
      </c>
    </row>
    <row r="82" spans="1:49" ht="21" customHeight="1" x14ac:dyDescent="0.2">
      <c r="A82" s="1745"/>
      <c r="B82" s="481">
        <v>669</v>
      </c>
      <c r="C82" s="482" t="s">
        <v>16</v>
      </c>
      <c r="D82" s="482" t="s">
        <v>17</v>
      </c>
      <c r="E82" s="482" t="s">
        <v>27</v>
      </c>
      <c r="F82" s="482" t="s">
        <v>24</v>
      </c>
      <c r="G82" s="482" t="s">
        <v>210</v>
      </c>
      <c r="H82" s="482">
        <v>2</v>
      </c>
      <c r="I82" s="482">
        <v>2</v>
      </c>
      <c r="J82" s="482">
        <v>4</v>
      </c>
      <c r="K82" s="482">
        <v>2</v>
      </c>
      <c r="L82" s="482">
        <v>2</v>
      </c>
      <c r="M82" s="482">
        <v>2</v>
      </c>
      <c r="N82" s="482">
        <v>2</v>
      </c>
      <c r="O82" s="1748"/>
      <c r="P82" s="482" t="str">
        <f t="shared" si="18"/>
        <v>02020402020202</v>
      </c>
      <c r="Q82" s="483">
        <v>25</v>
      </c>
      <c r="R82" s="485"/>
      <c r="S82" s="485"/>
      <c r="T82" s="485"/>
      <c r="U82" s="486"/>
      <c r="V82" s="486"/>
      <c r="W82" s="483">
        <v>21</v>
      </c>
      <c r="X82" s="483">
        <v>50</v>
      </c>
      <c r="Y82" s="483">
        <v>6</v>
      </c>
      <c r="Z82" s="486"/>
      <c r="AA82" s="486"/>
      <c r="AB82" s="486"/>
      <c r="AC82" s="486"/>
      <c r="AD82" s="483">
        <f t="shared" si="14"/>
        <v>102</v>
      </c>
      <c r="AE82" s="1758"/>
      <c r="AF82" s="482" t="s">
        <v>402</v>
      </c>
      <c r="AG82" s="482">
        <v>13</v>
      </c>
      <c r="AH82" s="482">
        <v>7</v>
      </c>
      <c r="AI82" s="483">
        <f t="shared" si="15"/>
        <v>59</v>
      </c>
      <c r="AJ82" s="483">
        <v>2</v>
      </c>
      <c r="AK82" s="483">
        <f t="shared" si="16"/>
        <v>104</v>
      </c>
      <c r="AL82" s="482"/>
      <c r="AM82" s="483">
        <v>10</v>
      </c>
      <c r="AN82" s="483">
        <f>IF('1.Hoja_de_Cotización'!$R$7=5,IF($BB$2=9,0,Hoja_Cambio!$AR$32),IF($BB$2=9,0,Cálculos!$C$107))</f>
        <v>0</v>
      </c>
      <c r="AO82" s="482"/>
      <c r="AP82" s="483">
        <f t="shared" si="17"/>
        <v>175</v>
      </c>
      <c r="AQ82" s="1762"/>
      <c r="AR82" s="482" t="s">
        <v>402</v>
      </c>
      <c r="AS82" s="483">
        <f>TabGtos!D25</f>
        <v>0</v>
      </c>
      <c r="AT82" s="484"/>
      <c r="AU82" s="1762"/>
      <c r="AV82" s="482" t="s">
        <v>402</v>
      </c>
      <c r="AW82" s="483">
        <f>GtosFwla!B7</f>
        <v>75</v>
      </c>
    </row>
    <row r="83" spans="1:49" ht="21" customHeight="1" x14ac:dyDescent="0.2">
      <c r="A83" s="1745"/>
      <c r="B83" s="481">
        <v>670</v>
      </c>
      <c r="C83" s="482" t="s">
        <v>16</v>
      </c>
      <c r="D83" s="482" t="s">
        <v>17</v>
      </c>
      <c r="E83" s="482" t="s">
        <v>20</v>
      </c>
      <c r="F83" s="482" t="s">
        <v>24</v>
      </c>
      <c r="G83" s="482" t="s">
        <v>22</v>
      </c>
      <c r="H83" s="482">
        <v>2</v>
      </c>
      <c r="I83" s="482">
        <v>2</v>
      </c>
      <c r="J83" s="482">
        <v>5</v>
      </c>
      <c r="K83" s="482">
        <v>2</v>
      </c>
      <c r="L83" s="482">
        <v>1</v>
      </c>
      <c r="M83" s="482">
        <v>2</v>
      </c>
      <c r="N83" s="482">
        <v>2</v>
      </c>
      <c r="O83" s="1748"/>
      <c r="P83" s="482" t="str">
        <f t="shared" si="18"/>
        <v>02020502010202</v>
      </c>
      <c r="Q83" s="483">
        <v>25</v>
      </c>
      <c r="R83" s="485"/>
      <c r="S83" s="485"/>
      <c r="T83" s="483">
        <v>10</v>
      </c>
      <c r="U83" s="486"/>
      <c r="V83" s="486"/>
      <c r="W83" s="485"/>
      <c r="X83" s="483">
        <v>50</v>
      </c>
      <c r="Y83" s="483">
        <v>6</v>
      </c>
      <c r="Z83" s="486"/>
      <c r="AA83" s="486"/>
      <c r="AB83" s="486"/>
      <c r="AC83" s="486"/>
      <c r="AD83" s="483">
        <f t="shared" si="14"/>
        <v>91</v>
      </c>
      <c r="AE83" s="1758"/>
      <c r="AF83" s="482" t="s">
        <v>403</v>
      </c>
      <c r="AG83" s="482">
        <v>13</v>
      </c>
      <c r="AH83" s="482">
        <v>7</v>
      </c>
      <c r="AI83" s="483">
        <f t="shared" si="15"/>
        <v>59</v>
      </c>
      <c r="AJ83" s="483">
        <v>2</v>
      </c>
      <c r="AK83" s="483">
        <f t="shared" si="16"/>
        <v>104</v>
      </c>
      <c r="AL83" s="482"/>
      <c r="AM83" s="483">
        <v>10</v>
      </c>
      <c r="AN83" s="483">
        <f>IF('1.Hoja_de_Cotización'!$R$7=5,IF($BB$2=9,0,Hoja_Cambio!$AR$32),IF($BB$2=9,0,Cálculos!$C$107))</f>
        <v>0</v>
      </c>
      <c r="AO83" s="482"/>
      <c r="AP83" s="483">
        <f t="shared" si="17"/>
        <v>175</v>
      </c>
      <c r="AQ83" s="1762"/>
      <c r="AR83" s="482" t="s">
        <v>403</v>
      </c>
      <c r="AS83" s="483">
        <f>TabGtos!D25</f>
        <v>0</v>
      </c>
      <c r="AT83" s="484"/>
      <c r="AU83" s="1762"/>
      <c r="AV83" s="482" t="s">
        <v>403</v>
      </c>
      <c r="AW83" s="483">
        <f>GtosFwla!B7</f>
        <v>75</v>
      </c>
    </row>
    <row r="84" spans="1:49" ht="21" customHeight="1" x14ac:dyDescent="0.2">
      <c r="A84" s="1745"/>
      <c r="B84" s="481">
        <v>671</v>
      </c>
      <c r="C84" s="482" t="s">
        <v>16</v>
      </c>
      <c r="D84" s="482" t="s">
        <v>17</v>
      </c>
      <c r="E84" s="482" t="s">
        <v>20</v>
      </c>
      <c r="F84" s="482" t="s">
        <v>24</v>
      </c>
      <c r="G84" s="482" t="s">
        <v>210</v>
      </c>
      <c r="H84" s="482">
        <v>2</v>
      </c>
      <c r="I84" s="482">
        <v>2</v>
      </c>
      <c r="J84" s="482">
        <v>5</v>
      </c>
      <c r="K84" s="482">
        <v>2</v>
      </c>
      <c r="L84" s="482">
        <v>2</v>
      </c>
      <c r="M84" s="482">
        <v>2</v>
      </c>
      <c r="N84" s="482">
        <v>2</v>
      </c>
      <c r="O84" s="1748"/>
      <c r="P84" s="482" t="str">
        <f t="shared" si="18"/>
        <v>02020502020202</v>
      </c>
      <c r="Q84" s="483">
        <v>25</v>
      </c>
      <c r="R84" s="485"/>
      <c r="S84" s="485"/>
      <c r="T84" s="483">
        <v>10</v>
      </c>
      <c r="U84" s="486"/>
      <c r="V84" s="486"/>
      <c r="W84" s="485"/>
      <c r="X84" s="483">
        <v>50</v>
      </c>
      <c r="Y84" s="483">
        <v>6</v>
      </c>
      <c r="Z84" s="486"/>
      <c r="AA84" s="486"/>
      <c r="AB84" s="486"/>
      <c r="AC84" s="486"/>
      <c r="AD84" s="483">
        <f t="shared" si="14"/>
        <v>91</v>
      </c>
      <c r="AE84" s="1758"/>
      <c r="AF84" s="482" t="s">
        <v>404</v>
      </c>
      <c r="AG84" s="482">
        <v>13</v>
      </c>
      <c r="AH84" s="482">
        <v>7</v>
      </c>
      <c r="AI84" s="483">
        <f t="shared" si="15"/>
        <v>59</v>
      </c>
      <c r="AJ84" s="483">
        <v>2</v>
      </c>
      <c r="AK84" s="483">
        <f t="shared" si="16"/>
        <v>104</v>
      </c>
      <c r="AL84" s="482"/>
      <c r="AM84" s="483">
        <v>10</v>
      </c>
      <c r="AN84" s="483">
        <f>IF('1.Hoja_de_Cotización'!$R$7=5,IF($BB$2=9,0,Hoja_Cambio!$AR$32),IF($BB$2=9,0,Cálculos!$C$107))</f>
        <v>0</v>
      </c>
      <c r="AO84" s="482"/>
      <c r="AP84" s="483">
        <f t="shared" si="17"/>
        <v>175</v>
      </c>
      <c r="AQ84" s="1762"/>
      <c r="AR84" s="482" t="s">
        <v>404</v>
      </c>
      <c r="AS84" s="483">
        <f>TabGtos!D25</f>
        <v>0</v>
      </c>
      <c r="AT84" s="484"/>
      <c r="AU84" s="1762"/>
      <c r="AV84" s="482" t="s">
        <v>404</v>
      </c>
      <c r="AW84" s="483">
        <f>GtosFwla!B7</f>
        <v>75</v>
      </c>
    </row>
    <row r="85" spans="1:49" ht="21" customHeight="1" x14ac:dyDescent="0.2">
      <c r="A85" s="1745"/>
      <c r="B85" s="481">
        <v>672</v>
      </c>
      <c r="C85" s="482" t="s">
        <v>16</v>
      </c>
      <c r="D85" s="482" t="s">
        <v>17</v>
      </c>
      <c r="E85" s="482" t="s">
        <v>11</v>
      </c>
      <c r="F85" s="482" t="s">
        <v>24</v>
      </c>
      <c r="G85" s="482" t="s">
        <v>22</v>
      </c>
      <c r="H85" s="482">
        <v>2</v>
      </c>
      <c r="I85" s="482">
        <v>2</v>
      </c>
      <c r="J85" s="482">
        <v>1</v>
      </c>
      <c r="K85" s="482">
        <v>2</v>
      </c>
      <c r="L85" s="482">
        <v>1</v>
      </c>
      <c r="M85" s="482">
        <v>2</v>
      </c>
      <c r="N85" s="482">
        <v>2</v>
      </c>
      <c r="O85" s="1748"/>
      <c r="P85" s="482" t="str">
        <f t="shared" si="18"/>
        <v>02020102010202</v>
      </c>
      <c r="Q85" s="483">
        <v>25</v>
      </c>
      <c r="R85" s="485"/>
      <c r="S85" s="485"/>
      <c r="T85" s="483">
        <v>10</v>
      </c>
      <c r="U85" s="486"/>
      <c r="V85" s="486"/>
      <c r="W85" s="485"/>
      <c r="X85" s="483">
        <v>50</v>
      </c>
      <c r="Y85" s="483">
        <v>6</v>
      </c>
      <c r="Z85" s="486"/>
      <c r="AA85" s="486"/>
      <c r="AB85" s="486"/>
      <c r="AC85" s="486"/>
      <c r="AD85" s="483">
        <f t="shared" si="14"/>
        <v>91</v>
      </c>
      <c r="AE85" s="1758"/>
      <c r="AF85" s="482" t="s">
        <v>405</v>
      </c>
      <c r="AG85" s="482">
        <v>13</v>
      </c>
      <c r="AH85" s="482">
        <v>7</v>
      </c>
      <c r="AI85" s="483">
        <f t="shared" si="15"/>
        <v>59</v>
      </c>
      <c r="AJ85" s="483">
        <v>2</v>
      </c>
      <c r="AK85" s="483">
        <f t="shared" si="16"/>
        <v>104</v>
      </c>
      <c r="AL85" s="482"/>
      <c r="AM85" s="483">
        <v>10</v>
      </c>
      <c r="AN85" s="483">
        <f>IF('1.Hoja_de_Cotización'!$R$7=5,IF($BB$2=9,0,Hoja_Cambio!$AR$32),IF($BB$2=9,0,Cálculos!$C$107))</f>
        <v>0</v>
      </c>
      <c r="AO85" s="482"/>
      <c r="AP85" s="483">
        <f t="shared" si="17"/>
        <v>175</v>
      </c>
      <c r="AQ85" s="1762"/>
      <c r="AR85" s="482" t="s">
        <v>405</v>
      </c>
      <c r="AS85" s="483">
        <f>TabGtos!D25</f>
        <v>0</v>
      </c>
      <c r="AT85" s="484"/>
      <c r="AU85" s="1762"/>
      <c r="AV85" s="482" t="s">
        <v>405</v>
      </c>
      <c r="AW85" s="483">
        <f>GtosFwla!B7</f>
        <v>75</v>
      </c>
    </row>
    <row r="86" spans="1:49" ht="21" customHeight="1" x14ac:dyDescent="0.2">
      <c r="A86" s="1745"/>
      <c r="B86" s="481">
        <v>673</v>
      </c>
      <c r="C86" s="482" t="s">
        <v>16</v>
      </c>
      <c r="D86" s="482" t="s">
        <v>17</v>
      </c>
      <c r="E86" s="482" t="s">
        <v>11</v>
      </c>
      <c r="F86" s="482" t="s">
        <v>24</v>
      </c>
      <c r="G86" s="482" t="s">
        <v>210</v>
      </c>
      <c r="H86" s="482">
        <v>2</v>
      </c>
      <c r="I86" s="482">
        <v>2</v>
      </c>
      <c r="J86" s="482">
        <v>1</v>
      </c>
      <c r="K86" s="482">
        <v>2</v>
      </c>
      <c r="L86" s="482">
        <v>2</v>
      </c>
      <c r="M86" s="482">
        <v>2</v>
      </c>
      <c r="N86" s="482">
        <v>2</v>
      </c>
      <c r="O86" s="1748"/>
      <c r="P86" s="482" t="str">
        <f t="shared" si="18"/>
        <v>02020102020202</v>
      </c>
      <c r="Q86" s="483">
        <v>25</v>
      </c>
      <c r="R86" s="485"/>
      <c r="S86" s="485"/>
      <c r="T86" s="483">
        <v>10</v>
      </c>
      <c r="U86" s="486"/>
      <c r="V86" s="486"/>
      <c r="W86" s="485"/>
      <c r="X86" s="483">
        <v>50</v>
      </c>
      <c r="Y86" s="483">
        <v>6</v>
      </c>
      <c r="Z86" s="486"/>
      <c r="AA86" s="486"/>
      <c r="AB86" s="486"/>
      <c r="AC86" s="486"/>
      <c r="AD86" s="483">
        <f t="shared" si="14"/>
        <v>91</v>
      </c>
      <c r="AE86" s="1758"/>
      <c r="AF86" s="482" t="s">
        <v>255</v>
      </c>
      <c r="AG86" s="482">
        <v>13</v>
      </c>
      <c r="AH86" s="482">
        <v>7</v>
      </c>
      <c r="AI86" s="483">
        <f t="shared" si="15"/>
        <v>59</v>
      </c>
      <c r="AJ86" s="483">
        <v>2</v>
      </c>
      <c r="AK86" s="483">
        <f t="shared" si="16"/>
        <v>104</v>
      </c>
      <c r="AL86" s="482"/>
      <c r="AM86" s="483">
        <v>10</v>
      </c>
      <c r="AN86" s="483">
        <f>IF('1.Hoja_de_Cotización'!$R$7=5,IF($BB$2=9,0,Hoja_Cambio!$AR$32),IF($BB$2=9,0,Cálculos!$C$107))</f>
        <v>0</v>
      </c>
      <c r="AO86" s="482"/>
      <c r="AP86" s="483">
        <f t="shared" si="17"/>
        <v>175</v>
      </c>
      <c r="AQ86" s="1762"/>
      <c r="AR86" s="482" t="s">
        <v>255</v>
      </c>
      <c r="AS86" s="483">
        <f>TabGtos!D25</f>
        <v>0</v>
      </c>
      <c r="AT86" s="484"/>
      <c r="AU86" s="1762"/>
      <c r="AV86" s="482" t="s">
        <v>255</v>
      </c>
      <c r="AW86" s="483">
        <f>GtosFwla!B7</f>
        <v>75</v>
      </c>
    </row>
    <row r="87" spans="1:49" ht="21" customHeight="1" x14ac:dyDescent="0.2">
      <c r="A87" s="1745"/>
      <c r="B87" s="481">
        <v>686</v>
      </c>
      <c r="C87" s="482" t="s">
        <v>26</v>
      </c>
      <c r="D87" s="482" t="s">
        <v>17</v>
      </c>
      <c r="E87" s="482" t="s">
        <v>11</v>
      </c>
      <c r="F87" s="482" t="s">
        <v>24</v>
      </c>
      <c r="G87" s="482" t="s">
        <v>22</v>
      </c>
      <c r="H87" s="482">
        <v>4</v>
      </c>
      <c r="I87" s="482">
        <v>2</v>
      </c>
      <c r="J87" s="482">
        <v>1</v>
      </c>
      <c r="K87" s="482">
        <v>2</v>
      </c>
      <c r="L87" s="482">
        <v>1</v>
      </c>
      <c r="M87" s="482">
        <v>2</v>
      </c>
      <c r="N87" s="482">
        <v>2</v>
      </c>
      <c r="O87" s="1748"/>
      <c r="P87" s="482" t="str">
        <f t="shared" si="18"/>
        <v>04020102010202</v>
      </c>
      <c r="Q87" s="483">
        <v>25</v>
      </c>
      <c r="R87" s="483">
        <v>6</v>
      </c>
      <c r="S87" s="483">
        <v>25</v>
      </c>
      <c r="T87" s="483">
        <v>10</v>
      </c>
      <c r="U87" s="486"/>
      <c r="V87" s="486"/>
      <c r="W87" s="483">
        <v>21</v>
      </c>
      <c r="X87" s="486"/>
      <c r="Y87" s="486"/>
      <c r="Z87" s="486"/>
      <c r="AA87" s="486"/>
      <c r="AB87" s="486"/>
      <c r="AC87" s="486"/>
      <c r="AD87" s="483">
        <f t="shared" si="14"/>
        <v>87</v>
      </c>
      <c r="AE87" s="1758"/>
      <c r="AF87" s="482" t="s">
        <v>406</v>
      </c>
      <c r="AG87" s="482">
        <v>38</v>
      </c>
      <c r="AH87" s="482">
        <v>20</v>
      </c>
      <c r="AI87" s="483">
        <f t="shared" si="15"/>
        <v>163</v>
      </c>
      <c r="AJ87" s="483">
        <v>2</v>
      </c>
      <c r="AK87" s="483">
        <f t="shared" si="16"/>
        <v>304</v>
      </c>
      <c r="AL87" s="482"/>
      <c r="AM87" s="483">
        <v>10</v>
      </c>
      <c r="AN87" s="483">
        <f>IF('1.Hoja_de_Cotización'!$R$7=5,IF($BB$2=9,0,Hoja_Cambio!$AR$32),IF($BB$2=9,0,Cálculos!$C$107))</f>
        <v>0</v>
      </c>
      <c r="AO87" s="482"/>
      <c r="AP87" s="483">
        <f t="shared" si="17"/>
        <v>479</v>
      </c>
      <c r="AQ87" s="1762"/>
      <c r="AR87" s="482" t="s">
        <v>406</v>
      </c>
      <c r="AS87" s="483">
        <f>TabGtos!N25</f>
        <v>0</v>
      </c>
      <c r="AT87" s="484"/>
      <c r="AU87" s="1762"/>
      <c r="AV87" s="482" t="s">
        <v>406</v>
      </c>
      <c r="AW87" s="483">
        <f>GtosFwla!B10</f>
        <v>200</v>
      </c>
    </row>
    <row r="88" spans="1:49" ht="21" customHeight="1" x14ac:dyDescent="0.2">
      <c r="A88" s="1745"/>
      <c r="B88" s="481">
        <v>691</v>
      </c>
      <c r="C88" s="482" t="s">
        <v>26</v>
      </c>
      <c r="D88" s="482" t="s">
        <v>17</v>
      </c>
      <c r="E88" s="482" t="s">
        <v>11</v>
      </c>
      <c r="F88" s="482" t="s">
        <v>24</v>
      </c>
      <c r="G88" s="482" t="s">
        <v>210</v>
      </c>
      <c r="H88" s="482">
        <v>4</v>
      </c>
      <c r="I88" s="482">
        <v>2</v>
      </c>
      <c r="J88" s="482">
        <v>1</v>
      </c>
      <c r="K88" s="482">
        <v>2</v>
      </c>
      <c r="L88" s="482">
        <v>2</v>
      </c>
      <c r="M88" s="482">
        <v>2</v>
      </c>
      <c r="N88" s="482">
        <v>2</v>
      </c>
      <c r="O88" s="1748"/>
      <c r="P88" s="482" t="str">
        <f t="shared" si="18"/>
        <v>04020102020202</v>
      </c>
      <c r="Q88" s="483">
        <v>25</v>
      </c>
      <c r="R88" s="483">
        <v>6</v>
      </c>
      <c r="S88" s="483">
        <v>25</v>
      </c>
      <c r="T88" s="483">
        <v>10</v>
      </c>
      <c r="U88" s="486"/>
      <c r="V88" s="486"/>
      <c r="W88" s="483">
        <v>21</v>
      </c>
      <c r="X88" s="486"/>
      <c r="Y88" s="486"/>
      <c r="Z88" s="486"/>
      <c r="AA88" s="486"/>
      <c r="AB88" s="486"/>
      <c r="AC88" s="486"/>
      <c r="AD88" s="483">
        <f t="shared" si="14"/>
        <v>87</v>
      </c>
      <c r="AE88" s="1758"/>
      <c r="AF88" s="482" t="s">
        <v>407</v>
      </c>
      <c r="AG88" s="482">
        <v>38</v>
      </c>
      <c r="AH88" s="482">
        <v>20</v>
      </c>
      <c r="AI88" s="483">
        <f t="shared" si="15"/>
        <v>163</v>
      </c>
      <c r="AJ88" s="483">
        <v>2</v>
      </c>
      <c r="AK88" s="483">
        <f t="shared" si="16"/>
        <v>304</v>
      </c>
      <c r="AL88" s="482"/>
      <c r="AM88" s="483">
        <v>10</v>
      </c>
      <c r="AN88" s="483">
        <f>IF('1.Hoja_de_Cotización'!$R$7=5,IF($BB$2=9,0,Hoja_Cambio!$AR$32),IF($BB$2=9,0,Cálculos!$C$107))</f>
        <v>0</v>
      </c>
      <c r="AO88" s="482"/>
      <c r="AP88" s="483">
        <f t="shared" si="17"/>
        <v>479</v>
      </c>
      <c r="AQ88" s="1762"/>
      <c r="AR88" s="482" t="s">
        <v>407</v>
      </c>
      <c r="AS88" s="483">
        <f>TabGtos!N25</f>
        <v>0</v>
      </c>
      <c r="AT88" s="484"/>
      <c r="AU88" s="1762"/>
      <c r="AV88" s="482" t="s">
        <v>407</v>
      </c>
      <c r="AW88" s="483">
        <f>GtosFwla!B10</f>
        <v>200</v>
      </c>
    </row>
    <row r="89" spans="1:49" ht="21" customHeight="1" x14ac:dyDescent="0.2">
      <c r="A89" s="1745"/>
      <c r="B89" s="481">
        <v>692</v>
      </c>
      <c r="C89" s="482" t="s">
        <v>215</v>
      </c>
      <c r="D89" s="482" t="s">
        <v>9</v>
      </c>
      <c r="E89" s="482" t="s">
        <v>11</v>
      </c>
      <c r="F89" s="482" t="s">
        <v>24</v>
      </c>
      <c r="G89" s="482" t="s">
        <v>22</v>
      </c>
      <c r="H89" s="482">
        <v>7</v>
      </c>
      <c r="I89" s="482">
        <v>1</v>
      </c>
      <c r="J89" s="482">
        <v>1</v>
      </c>
      <c r="K89" s="482">
        <v>2</v>
      </c>
      <c r="L89" s="482">
        <v>1</v>
      </c>
      <c r="M89" s="482">
        <v>2</v>
      </c>
      <c r="N89" s="482">
        <v>2</v>
      </c>
      <c r="O89" s="1748"/>
      <c r="P89" s="482" t="str">
        <f t="shared" si="18"/>
        <v>07010102010202</v>
      </c>
      <c r="Q89" s="483">
        <v>25</v>
      </c>
      <c r="R89" s="485"/>
      <c r="S89" s="485"/>
      <c r="T89" s="483">
        <v>10</v>
      </c>
      <c r="U89" s="486"/>
      <c r="V89" s="486"/>
      <c r="W89" s="483"/>
      <c r="X89" s="483">
        <v>50</v>
      </c>
      <c r="Y89" s="483">
        <v>6</v>
      </c>
      <c r="Z89" s="486"/>
      <c r="AA89" s="486"/>
      <c r="AB89" s="486"/>
      <c r="AC89" s="486"/>
      <c r="AD89" s="483">
        <f t="shared" si="14"/>
        <v>91</v>
      </c>
      <c r="AE89" s="1758"/>
      <c r="AF89" s="482" t="s">
        <v>408</v>
      </c>
      <c r="AG89" s="482">
        <v>13</v>
      </c>
      <c r="AH89" s="482">
        <v>7</v>
      </c>
      <c r="AI89" s="483">
        <f t="shared" si="15"/>
        <v>59</v>
      </c>
      <c r="AJ89" s="483">
        <v>2</v>
      </c>
      <c r="AK89" s="483">
        <f t="shared" si="16"/>
        <v>104</v>
      </c>
      <c r="AL89" s="482"/>
      <c r="AM89" s="483">
        <v>10</v>
      </c>
      <c r="AN89" s="483">
        <f>IF('1.Hoja_de_Cotización'!$R$7=5,IF($BB$2=9,0,Hoja_Cambio!$AR$32),IF($BB$2=9,0,Cálculos!$C$107))</f>
        <v>0</v>
      </c>
      <c r="AO89" s="482"/>
      <c r="AP89" s="483">
        <f t="shared" si="17"/>
        <v>175</v>
      </c>
      <c r="AQ89" s="1762"/>
      <c r="AR89" s="482" t="s">
        <v>408</v>
      </c>
      <c r="AS89" s="483">
        <f>TabGtos!D77</f>
        <v>0</v>
      </c>
      <c r="AT89" s="484"/>
      <c r="AU89" s="1762"/>
      <c r="AV89" s="482" t="s">
        <v>408</v>
      </c>
      <c r="AW89" s="483">
        <f>GtosFwla!B23</f>
        <v>75</v>
      </c>
    </row>
    <row r="90" spans="1:49" ht="21" customHeight="1" x14ac:dyDescent="0.2">
      <c r="A90" s="1745"/>
      <c r="B90" s="481">
        <v>693</v>
      </c>
      <c r="C90" s="482" t="s">
        <v>215</v>
      </c>
      <c r="D90" s="482" t="s">
        <v>9</v>
      </c>
      <c r="E90" s="482" t="s">
        <v>11</v>
      </c>
      <c r="F90" s="482" t="s">
        <v>24</v>
      </c>
      <c r="G90" s="482" t="s">
        <v>210</v>
      </c>
      <c r="H90" s="482">
        <v>7</v>
      </c>
      <c r="I90" s="482">
        <v>1</v>
      </c>
      <c r="J90" s="482">
        <v>1</v>
      </c>
      <c r="K90" s="482">
        <v>2</v>
      </c>
      <c r="L90" s="482">
        <v>2</v>
      </c>
      <c r="M90" s="482">
        <v>2</v>
      </c>
      <c r="N90" s="482">
        <v>2</v>
      </c>
      <c r="O90" s="1748"/>
      <c r="P90" s="482" t="str">
        <f t="shared" si="18"/>
        <v>07010102020202</v>
      </c>
      <c r="Q90" s="483">
        <v>25</v>
      </c>
      <c r="R90" s="485"/>
      <c r="S90" s="485"/>
      <c r="T90" s="483">
        <v>10</v>
      </c>
      <c r="U90" s="486"/>
      <c r="V90" s="486"/>
      <c r="W90" s="483"/>
      <c r="X90" s="483">
        <v>50</v>
      </c>
      <c r="Y90" s="483">
        <v>6</v>
      </c>
      <c r="Z90" s="486"/>
      <c r="AA90" s="486"/>
      <c r="AB90" s="486"/>
      <c r="AC90" s="486"/>
      <c r="AD90" s="483">
        <f t="shared" si="14"/>
        <v>91</v>
      </c>
      <c r="AE90" s="1758"/>
      <c r="AF90" s="482" t="s">
        <v>409</v>
      </c>
      <c r="AG90" s="482">
        <v>13</v>
      </c>
      <c r="AH90" s="482">
        <v>7</v>
      </c>
      <c r="AI90" s="483">
        <f t="shared" si="15"/>
        <v>59</v>
      </c>
      <c r="AJ90" s="483">
        <v>2</v>
      </c>
      <c r="AK90" s="483">
        <f t="shared" si="16"/>
        <v>104</v>
      </c>
      <c r="AL90" s="482"/>
      <c r="AM90" s="483">
        <v>10</v>
      </c>
      <c r="AN90" s="483">
        <f>IF('1.Hoja_de_Cotización'!$R$7=5,IF($BB$2=9,0,Hoja_Cambio!$AR$32),IF($BB$2=9,0,Cálculos!$C$107))</f>
        <v>0</v>
      </c>
      <c r="AO90" s="482"/>
      <c r="AP90" s="483">
        <f t="shared" si="17"/>
        <v>175</v>
      </c>
      <c r="AQ90" s="1762"/>
      <c r="AR90" s="482" t="s">
        <v>409</v>
      </c>
      <c r="AS90" s="483">
        <f>TabGtos!D77</f>
        <v>0</v>
      </c>
      <c r="AT90" s="484"/>
      <c r="AU90" s="1762"/>
      <c r="AV90" s="482" t="s">
        <v>409</v>
      </c>
      <c r="AW90" s="483">
        <f>GtosFwla!B23</f>
        <v>75</v>
      </c>
    </row>
    <row r="91" spans="1:49" ht="21" customHeight="1" x14ac:dyDescent="0.2">
      <c r="A91" s="1745"/>
      <c r="B91" s="481">
        <v>694</v>
      </c>
      <c r="C91" s="482" t="s">
        <v>215</v>
      </c>
      <c r="D91" s="482" t="s">
        <v>17</v>
      </c>
      <c r="E91" s="482" t="s">
        <v>11</v>
      </c>
      <c r="F91" s="482" t="s">
        <v>24</v>
      </c>
      <c r="G91" s="482" t="s">
        <v>22</v>
      </c>
      <c r="H91" s="482">
        <v>7</v>
      </c>
      <c r="I91" s="482">
        <v>2</v>
      </c>
      <c r="J91" s="482">
        <v>1</v>
      </c>
      <c r="K91" s="482">
        <v>2</v>
      </c>
      <c r="L91" s="482">
        <v>1</v>
      </c>
      <c r="M91" s="482">
        <v>2</v>
      </c>
      <c r="N91" s="482">
        <v>2</v>
      </c>
      <c r="O91" s="1748"/>
      <c r="P91" s="482" t="str">
        <f t="shared" si="18"/>
        <v>07020102010202</v>
      </c>
      <c r="Q91" s="483">
        <v>25</v>
      </c>
      <c r="R91" s="485"/>
      <c r="S91" s="485"/>
      <c r="T91" s="483">
        <v>10</v>
      </c>
      <c r="U91" s="486"/>
      <c r="V91" s="486"/>
      <c r="W91" s="483"/>
      <c r="X91" s="483">
        <v>50</v>
      </c>
      <c r="Y91" s="483">
        <v>6</v>
      </c>
      <c r="Z91" s="486"/>
      <c r="AA91" s="486"/>
      <c r="AB91" s="486"/>
      <c r="AC91" s="486"/>
      <c r="AD91" s="483">
        <f t="shared" si="14"/>
        <v>91</v>
      </c>
      <c r="AE91" s="1758"/>
      <c r="AF91" s="482" t="s">
        <v>410</v>
      </c>
      <c r="AG91" s="482">
        <v>13</v>
      </c>
      <c r="AH91" s="482">
        <v>7</v>
      </c>
      <c r="AI91" s="483">
        <f t="shared" si="15"/>
        <v>59</v>
      </c>
      <c r="AJ91" s="483">
        <v>2</v>
      </c>
      <c r="AK91" s="483">
        <f t="shared" si="16"/>
        <v>104</v>
      </c>
      <c r="AL91" s="482"/>
      <c r="AM91" s="483">
        <v>10</v>
      </c>
      <c r="AN91" s="483">
        <f>IF('1.Hoja_de_Cotización'!$R$7=5,IF($BB$2=9,0,Hoja_Cambio!$AR$32),IF($BB$2=9,0,Cálculos!$C$107))</f>
        <v>0</v>
      </c>
      <c r="AO91" s="482"/>
      <c r="AP91" s="483">
        <f t="shared" si="17"/>
        <v>175</v>
      </c>
      <c r="AQ91" s="1762"/>
      <c r="AR91" s="482" t="s">
        <v>410</v>
      </c>
      <c r="AS91" s="483">
        <f>TabGtos!D77</f>
        <v>0</v>
      </c>
      <c r="AT91" s="484"/>
      <c r="AU91" s="1762"/>
      <c r="AV91" s="482" t="s">
        <v>410</v>
      </c>
      <c r="AW91" s="483">
        <f>GtosFwla!B23</f>
        <v>75</v>
      </c>
    </row>
    <row r="92" spans="1:49" x14ac:dyDescent="0.2">
      <c r="A92" s="1745"/>
      <c r="B92" s="481">
        <v>695</v>
      </c>
      <c r="C92" s="482" t="s">
        <v>215</v>
      </c>
      <c r="D92" s="482" t="s">
        <v>17</v>
      </c>
      <c r="E92" s="482" t="s">
        <v>11</v>
      </c>
      <c r="F92" s="482" t="s">
        <v>24</v>
      </c>
      <c r="G92" s="482" t="s">
        <v>210</v>
      </c>
      <c r="H92" s="482">
        <v>7</v>
      </c>
      <c r="I92" s="482">
        <v>2</v>
      </c>
      <c r="J92" s="482">
        <v>1</v>
      </c>
      <c r="K92" s="482">
        <v>2</v>
      </c>
      <c r="L92" s="482">
        <v>2</v>
      </c>
      <c r="M92" s="482">
        <v>2</v>
      </c>
      <c r="N92" s="482">
        <v>2</v>
      </c>
      <c r="O92" s="1748"/>
      <c r="P92" s="482" t="str">
        <f t="shared" si="18"/>
        <v>07020102020202</v>
      </c>
      <c r="Q92" s="483">
        <v>25</v>
      </c>
      <c r="R92" s="485"/>
      <c r="S92" s="485"/>
      <c r="T92" s="483">
        <v>10</v>
      </c>
      <c r="U92" s="486"/>
      <c r="V92" s="486"/>
      <c r="W92" s="483"/>
      <c r="X92" s="483">
        <v>50</v>
      </c>
      <c r="Y92" s="483">
        <v>6</v>
      </c>
      <c r="Z92" s="486"/>
      <c r="AA92" s="486"/>
      <c r="AB92" s="486"/>
      <c r="AC92" s="486"/>
      <c r="AD92" s="483">
        <f t="shared" si="14"/>
        <v>91</v>
      </c>
      <c r="AE92" s="1758"/>
      <c r="AF92" s="482" t="s">
        <v>411</v>
      </c>
      <c r="AG92" s="482">
        <v>13</v>
      </c>
      <c r="AH92" s="482">
        <v>7</v>
      </c>
      <c r="AI92" s="483">
        <f t="shared" si="15"/>
        <v>59</v>
      </c>
      <c r="AJ92" s="483">
        <v>2</v>
      </c>
      <c r="AK92" s="483">
        <f t="shared" si="16"/>
        <v>104</v>
      </c>
      <c r="AL92" s="482"/>
      <c r="AM92" s="483">
        <v>10</v>
      </c>
      <c r="AN92" s="483">
        <f>IF('1.Hoja_de_Cotización'!$R$7=5,IF($BB$2=9,0,Hoja_Cambio!$AR$32),IF($BB$2=9,0,Cálculos!$C$107))</f>
        <v>0</v>
      </c>
      <c r="AO92" s="482"/>
      <c r="AP92" s="483">
        <f t="shared" si="17"/>
        <v>175</v>
      </c>
      <c r="AQ92" s="1762"/>
      <c r="AR92" s="482" t="s">
        <v>411</v>
      </c>
      <c r="AS92" s="483">
        <f>TabGtos!D77</f>
        <v>0</v>
      </c>
      <c r="AT92" s="484"/>
      <c r="AU92" s="1762"/>
      <c r="AV92" s="482" t="s">
        <v>411</v>
      </c>
      <c r="AW92" s="483">
        <f>GtosFwla!B23</f>
        <v>75</v>
      </c>
    </row>
    <row r="93" spans="1:49" ht="15" customHeight="1" x14ac:dyDescent="0.2">
      <c r="A93" s="1763" t="s">
        <v>762</v>
      </c>
      <c r="B93" s="487">
        <v>696</v>
      </c>
      <c r="C93" s="447" t="s">
        <v>209</v>
      </c>
      <c r="D93" s="447" t="s">
        <v>762</v>
      </c>
      <c r="E93" s="447" t="s">
        <v>11</v>
      </c>
      <c r="F93" s="447" t="s">
        <v>21</v>
      </c>
      <c r="G93" s="488" t="s">
        <v>22</v>
      </c>
      <c r="H93" s="488">
        <v>1</v>
      </c>
      <c r="I93" s="488">
        <v>3</v>
      </c>
      <c r="J93" s="488">
        <v>1</v>
      </c>
      <c r="K93" s="488">
        <v>1</v>
      </c>
      <c r="L93" s="488">
        <v>1</v>
      </c>
      <c r="M93" s="488">
        <v>1</v>
      </c>
      <c r="N93" s="488">
        <v>1</v>
      </c>
      <c r="O93" s="1763" t="s">
        <v>762</v>
      </c>
      <c r="P93" s="417" t="str">
        <f t="shared" si="18"/>
        <v>01030101010101</v>
      </c>
      <c r="Q93" s="418">
        <f>IF('1.Hoja_de_Cotización'!C33&lt;=40000,((ROUNDUP('1.Hoja_de_Cotización'!C44/1000,0))*2.5),(ROUNDUP('1.Hoja_de_Cotización'!C44/1000,0))*3)</f>
        <v>0</v>
      </c>
      <c r="R93" s="418"/>
      <c r="S93" s="418"/>
      <c r="T93" s="418">
        <v>10</v>
      </c>
      <c r="U93" s="418">
        <v>8</v>
      </c>
      <c r="V93" s="418">
        <v>8</v>
      </c>
      <c r="W93" s="418">
        <v>31</v>
      </c>
      <c r="X93" s="418">
        <f>IF('1.Hoja_de_Cotización'!C33&lt;=40000,IF((ROUNDUP('1.Hoja_de_Cotización'!$C$33/1000,0)*1000)*0.01,((ROUNDUP('1.Hoja_de_Cotización'!$C$33/1000,0)*1000)*0.0025)+2.5,0),ROUNDUP('1.Hoja_de_Cotización'!$C$33/1000,0)*3)</f>
        <v>0</v>
      </c>
      <c r="Y93" s="418">
        <f>IF('1.Hoja_de_Cotización'!C33&lt;=40000,21,26)</f>
        <v>21</v>
      </c>
      <c r="Z93" s="418">
        <v>8</v>
      </c>
      <c r="AA93" s="418"/>
      <c r="AB93" s="418">
        <v>25</v>
      </c>
      <c r="AC93" s="418">
        <f>IF('1.Hoja_de_Cotización'!C35&gt;0,(ROUNDUP('1.Hoja_de_Cotización'!$C$35/1000,0)*3),(ROUNDUP(Cálculos!$E$10/1000,0))*3)</f>
        <v>0</v>
      </c>
      <c r="AD93" s="440">
        <f>SUM(Q93:AC93)</f>
        <v>111</v>
      </c>
      <c r="AE93" s="1763" t="s">
        <v>762</v>
      </c>
      <c r="AF93" s="489" t="s">
        <v>765</v>
      </c>
      <c r="AG93" s="489">
        <v>13</v>
      </c>
      <c r="AH93" s="444">
        <f>(AG93*$BB$17)</f>
        <v>26</v>
      </c>
      <c r="AI93" s="444">
        <v>2</v>
      </c>
      <c r="AJ93" s="444">
        <v>7</v>
      </c>
      <c r="AK93" s="444">
        <f>(AG93*$BB$20)*2</f>
        <v>208</v>
      </c>
      <c r="AL93" s="444">
        <f>ROUND(((AG93-1)*0.1)*2+0.15*2,2)</f>
        <v>2.7</v>
      </c>
      <c r="AM93" s="444"/>
      <c r="AN93" s="444">
        <f>IF('1.Hoja_de_Cotización'!$R$7=5,IF($BB$2=9,0,Hoja_Cambio!$AR$32),IF($BB$2=9,0,Cálculos!$C$107))</f>
        <v>0</v>
      </c>
      <c r="AO93" s="444">
        <v>10</v>
      </c>
      <c r="AP93" s="444">
        <f>SUM(AH93:AO93)</f>
        <v>255.7</v>
      </c>
      <c r="AQ93" s="1763" t="s">
        <v>762</v>
      </c>
      <c r="AR93" s="490" t="s">
        <v>765</v>
      </c>
      <c r="AS93" s="478">
        <f>TabGtos!D2</f>
        <v>0</v>
      </c>
      <c r="AU93" s="492"/>
      <c r="AV93" s="421"/>
      <c r="AW93" s="493"/>
    </row>
    <row r="94" spans="1:49" ht="19.5" customHeight="1" x14ac:dyDescent="0.2">
      <c r="A94" s="1763"/>
      <c r="B94" s="487">
        <v>697</v>
      </c>
      <c r="C94" s="447" t="s">
        <v>209</v>
      </c>
      <c r="D94" s="447" t="s">
        <v>762</v>
      </c>
      <c r="E94" s="447" t="s">
        <v>11</v>
      </c>
      <c r="F94" s="447" t="s">
        <v>21</v>
      </c>
      <c r="G94" s="488" t="s">
        <v>25</v>
      </c>
      <c r="H94" s="488">
        <v>1</v>
      </c>
      <c r="I94" s="488">
        <v>3</v>
      </c>
      <c r="J94" s="488">
        <v>1</v>
      </c>
      <c r="K94" s="488">
        <v>1</v>
      </c>
      <c r="L94" s="488">
        <v>2</v>
      </c>
      <c r="M94" s="488">
        <v>1</v>
      </c>
      <c r="N94" s="488">
        <v>1</v>
      </c>
      <c r="O94" s="1763"/>
      <c r="P94" s="417" t="str">
        <f t="shared" si="18"/>
        <v>01030101020101</v>
      </c>
      <c r="Q94" s="418">
        <f>IF('1.Hoja_de_Cotización'!C33&lt;=40000,((ROUNDUP('1.Hoja_de_Cotización'!C44/1000,0))*2.5),(ROUNDUP('1.Hoja_de_Cotización'!C44/1000,0))*3)</f>
        <v>0</v>
      </c>
      <c r="R94" s="418"/>
      <c r="S94" s="418"/>
      <c r="T94" s="418">
        <v>10</v>
      </c>
      <c r="U94" s="418">
        <v>8</v>
      </c>
      <c r="V94" s="418">
        <v>8</v>
      </c>
      <c r="W94" s="418">
        <v>31</v>
      </c>
      <c r="X94" s="418">
        <f>IF('1.Hoja_de_Cotización'!C33&lt;=40000,IF((ROUNDUP('1.Hoja_de_Cotización'!$C$33/1000,0)*1000)*0.01,((ROUNDUP('1.Hoja_de_Cotización'!$C$33/1000,0)*1000)*0.0025)+2.5,0),ROUNDUP('1.Hoja_de_Cotización'!$C$33/1000,0)*3)</f>
        <v>0</v>
      </c>
      <c r="Y94" s="418">
        <f>IF('1.Hoja_de_Cotización'!C33&lt;=40000,21,26)</f>
        <v>21</v>
      </c>
      <c r="Z94" s="418">
        <v>8</v>
      </c>
      <c r="AA94" s="418"/>
      <c r="AB94" s="418">
        <v>25</v>
      </c>
      <c r="AC94" s="418"/>
      <c r="AD94" s="440">
        <f>SUM(Q94:AC94)</f>
        <v>111</v>
      </c>
      <c r="AE94" s="1763"/>
      <c r="AF94" s="489" t="s">
        <v>766</v>
      </c>
      <c r="AG94" s="489">
        <v>13</v>
      </c>
      <c r="AH94" s="444">
        <f>(AG94*$BB$17)</f>
        <v>26</v>
      </c>
      <c r="AI94" s="444">
        <v>2</v>
      </c>
      <c r="AJ94" s="444">
        <v>7</v>
      </c>
      <c r="AK94" s="444">
        <f>(AG94*$BB$20)*2</f>
        <v>208</v>
      </c>
      <c r="AL94" s="444">
        <f>ROUND(((AG94-1)*0.1)*2+0.15*2,2)</f>
        <v>2.7</v>
      </c>
      <c r="AM94" s="444"/>
      <c r="AN94" s="444">
        <f>IF('1.Hoja_de_Cotización'!$R$7=5,IF($BB$2=9,0,Hoja_Cambio!$AR$32),IF($BB$2=9,0,Cálculos!$C$107))</f>
        <v>0</v>
      </c>
      <c r="AO94" s="444">
        <v>10</v>
      </c>
      <c r="AP94" s="444">
        <f t="shared" ref="AP94:AP100" si="19">SUM(AH94:AO94)</f>
        <v>255.7</v>
      </c>
      <c r="AQ94" s="1763"/>
      <c r="AR94" s="490" t="s">
        <v>766</v>
      </c>
      <c r="AS94" s="478">
        <f>TabGtos!D2</f>
        <v>0</v>
      </c>
      <c r="AU94" s="494"/>
      <c r="AV94" s="421"/>
      <c r="AW94" s="493"/>
    </row>
    <row r="95" spans="1:49" ht="20.25" customHeight="1" x14ac:dyDescent="0.2">
      <c r="A95" s="1763"/>
      <c r="B95" s="487">
        <v>698</v>
      </c>
      <c r="C95" s="447" t="s">
        <v>209</v>
      </c>
      <c r="D95" s="447" t="s">
        <v>762</v>
      </c>
      <c r="E95" s="447" t="s">
        <v>11</v>
      </c>
      <c r="F95" s="447" t="s">
        <v>24</v>
      </c>
      <c r="G95" s="488" t="s">
        <v>22</v>
      </c>
      <c r="H95" s="488">
        <v>1</v>
      </c>
      <c r="I95" s="488">
        <v>3</v>
      </c>
      <c r="J95" s="488">
        <v>1</v>
      </c>
      <c r="K95" s="488">
        <v>2</v>
      </c>
      <c r="L95" s="488">
        <v>1</v>
      </c>
      <c r="M95" s="488">
        <v>1</v>
      </c>
      <c r="N95" s="488">
        <v>1</v>
      </c>
      <c r="O95" s="1763"/>
      <c r="P95" s="417" t="str">
        <f t="shared" si="18"/>
        <v>01030102010101</v>
      </c>
      <c r="Q95" s="418">
        <f>IF('1.Hoja_de_Cotización'!C33&lt;=40000,((ROUNDUP('1.Hoja_de_Cotización'!C44/1000,0))*2.5),(ROUNDUP('1.Hoja_de_Cotización'!C44/1000,0))*3)</f>
        <v>0</v>
      </c>
      <c r="R95" s="418"/>
      <c r="S95" s="418"/>
      <c r="T95" s="418">
        <v>10</v>
      </c>
      <c r="U95" s="418">
        <v>8</v>
      </c>
      <c r="V95" s="418">
        <v>8</v>
      </c>
      <c r="W95" s="418"/>
      <c r="X95" s="418">
        <f>ROUNDUP('1.Hoja_de_Cotización'!$C$33/1000,0)*3</f>
        <v>0</v>
      </c>
      <c r="Y95" s="418"/>
      <c r="Z95" s="418"/>
      <c r="AA95" s="418"/>
      <c r="AB95" s="418"/>
      <c r="AC95" s="418"/>
      <c r="AD95" s="440">
        <f>SUM(Q95:AC95)</f>
        <v>26</v>
      </c>
      <c r="AE95" s="1763"/>
      <c r="AF95" s="489" t="s">
        <v>767</v>
      </c>
      <c r="AG95" s="489">
        <v>13</v>
      </c>
      <c r="AH95" s="444">
        <f>(AG95*$BB$17)</f>
        <v>26</v>
      </c>
      <c r="AI95" s="444">
        <v>2</v>
      </c>
      <c r="AJ95" s="444">
        <v>7</v>
      </c>
      <c r="AK95" s="444">
        <f>(AG95*$BB$20)*2</f>
        <v>208</v>
      </c>
      <c r="AL95" s="444">
        <f>ROUND(((AG95-1)*0.1)*2+0.15*2,2)</f>
        <v>2.7</v>
      </c>
      <c r="AM95" s="444"/>
      <c r="AN95" s="444">
        <f>IF('1.Hoja_de_Cotización'!$R$7=5,IF($BB$2=9,0,Hoja_Cambio!$AR$32),IF($BB$2=9,0,Cálculos!$C$107))</f>
        <v>0</v>
      </c>
      <c r="AO95" s="444">
        <v>10</v>
      </c>
      <c r="AP95" s="444">
        <f t="shared" si="19"/>
        <v>255.7</v>
      </c>
      <c r="AQ95" s="1763"/>
      <c r="AR95" s="490" t="s">
        <v>767</v>
      </c>
      <c r="AS95" s="478">
        <f>TabGtos!D2</f>
        <v>0</v>
      </c>
      <c r="AU95" s="494"/>
      <c r="AV95" s="421"/>
      <c r="AW95" s="493"/>
    </row>
    <row r="96" spans="1:49" ht="34.5" customHeight="1" x14ac:dyDescent="0.2">
      <c r="A96" s="1763"/>
      <c r="B96" s="487">
        <v>699</v>
      </c>
      <c r="C96" s="447" t="s">
        <v>209</v>
      </c>
      <c r="D96" s="447" t="s">
        <v>762</v>
      </c>
      <c r="E96" s="447" t="s">
        <v>11</v>
      </c>
      <c r="F96" s="447" t="s">
        <v>24</v>
      </c>
      <c r="G96" s="488" t="s">
        <v>25</v>
      </c>
      <c r="H96" s="488">
        <v>1</v>
      </c>
      <c r="I96" s="488">
        <v>3</v>
      </c>
      <c r="J96" s="488">
        <v>1</v>
      </c>
      <c r="K96" s="488">
        <v>2</v>
      </c>
      <c r="L96" s="488">
        <v>2</v>
      </c>
      <c r="M96" s="488">
        <v>1</v>
      </c>
      <c r="N96" s="488">
        <v>1</v>
      </c>
      <c r="O96" s="1763"/>
      <c r="P96" s="417" t="str">
        <f t="shared" si="18"/>
        <v>01030102020101</v>
      </c>
      <c r="Q96" s="418">
        <f>IF('1.Hoja_de_Cotización'!C33&lt;=40000,((ROUNDUP('1.Hoja_de_Cotización'!C44/1000,0))*2.5),(ROUNDUP('1.Hoja_de_Cotización'!C44/1000,0))*3)</f>
        <v>0</v>
      </c>
      <c r="R96" s="418"/>
      <c r="S96" s="418"/>
      <c r="T96" s="418">
        <v>10</v>
      </c>
      <c r="U96" s="418">
        <v>8</v>
      </c>
      <c r="V96" s="418">
        <v>8</v>
      </c>
      <c r="W96" s="418"/>
      <c r="X96" s="418">
        <f>ROUNDUP('1.Hoja_de_Cotización'!$C$33/1000,0)*3</f>
        <v>0</v>
      </c>
      <c r="Y96" s="418"/>
      <c r="Z96" s="418"/>
      <c r="AA96" s="418"/>
      <c r="AB96" s="418"/>
      <c r="AC96" s="418"/>
      <c r="AD96" s="440">
        <f>SUM(Q96:AC96)</f>
        <v>26</v>
      </c>
      <c r="AE96" s="1763"/>
      <c r="AF96" s="489" t="s">
        <v>768</v>
      </c>
      <c r="AG96" s="489">
        <v>13</v>
      </c>
      <c r="AH96" s="444">
        <f>(AG96*$BB$17)</f>
        <v>26</v>
      </c>
      <c r="AI96" s="444">
        <v>2</v>
      </c>
      <c r="AJ96" s="444">
        <v>7</v>
      </c>
      <c r="AK96" s="444">
        <f>(AG96*$BB$20)*2</f>
        <v>208</v>
      </c>
      <c r="AL96" s="444">
        <f>ROUND(((AG96-1)*0.1)*2+0.15*2,2)</f>
        <v>2.7</v>
      </c>
      <c r="AM96" s="444"/>
      <c r="AN96" s="444">
        <f>IF('1.Hoja_de_Cotización'!$R$7=5,IF($BB$2=9,0,Hoja_Cambio!$AR$32),IF($BB$2=9,0,Cálculos!$C$107))</f>
        <v>0</v>
      </c>
      <c r="AO96" s="444">
        <v>10</v>
      </c>
      <c r="AP96" s="444">
        <f t="shared" si="19"/>
        <v>255.7</v>
      </c>
      <c r="AQ96" s="1763"/>
      <c r="AR96" s="490" t="s">
        <v>768</v>
      </c>
      <c r="AS96" s="478">
        <f>TabGtos!D2</f>
        <v>0</v>
      </c>
      <c r="AU96" s="494"/>
      <c r="AV96" s="421"/>
      <c r="AW96" s="493"/>
    </row>
    <row r="97" spans="1:49" x14ac:dyDescent="0.2">
      <c r="A97" s="1764" t="s">
        <v>763</v>
      </c>
      <c r="B97" s="495">
        <v>700</v>
      </c>
      <c r="C97" s="417" t="s">
        <v>209</v>
      </c>
      <c r="D97" s="417" t="s">
        <v>762</v>
      </c>
      <c r="E97" s="417" t="s">
        <v>11</v>
      </c>
      <c r="F97" s="417" t="s">
        <v>21</v>
      </c>
      <c r="G97" s="490" t="s">
        <v>22</v>
      </c>
      <c r="H97" s="490">
        <v>1</v>
      </c>
      <c r="I97" s="490">
        <v>3</v>
      </c>
      <c r="J97" s="490">
        <v>1</v>
      </c>
      <c r="K97" s="490">
        <v>1</v>
      </c>
      <c r="L97" s="490">
        <v>1</v>
      </c>
      <c r="M97" s="490">
        <v>2</v>
      </c>
      <c r="N97" s="490">
        <v>1</v>
      </c>
      <c r="O97" s="1764" t="s">
        <v>763</v>
      </c>
      <c r="P97" s="417" t="str">
        <f t="shared" si="18"/>
        <v>01030101010201</v>
      </c>
      <c r="Q97" s="418"/>
      <c r="R97" s="418"/>
      <c r="S97" s="418"/>
      <c r="T97" s="418"/>
      <c r="U97" s="418"/>
      <c r="V97" s="418"/>
      <c r="W97" s="418"/>
      <c r="X97" s="418"/>
      <c r="Y97" s="418"/>
      <c r="Z97" s="418"/>
      <c r="AA97" s="418"/>
      <c r="AB97" s="418"/>
      <c r="AC97" s="418"/>
      <c r="AD97" s="440">
        <v>0</v>
      </c>
      <c r="AE97" s="1764" t="s">
        <v>763</v>
      </c>
      <c r="AF97" s="496" t="s">
        <v>769</v>
      </c>
      <c r="AG97" s="496"/>
      <c r="AH97" s="497"/>
      <c r="AI97" s="497"/>
      <c r="AJ97" s="497"/>
      <c r="AK97" s="497"/>
      <c r="AL97" s="497"/>
      <c r="AM97" s="497"/>
      <c r="AN97" s="497"/>
      <c r="AO97" s="497"/>
      <c r="AP97" s="444">
        <f t="shared" si="19"/>
        <v>0</v>
      </c>
      <c r="AQ97" s="1764" t="s">
        <v>763</v>
      </c>
      <c r="AR97" s="490" t="s">
        <v>769</v>
      </c>
      <c r="AS97" s="478">
        <f>TabGtos!D2</f>
        <v>0</v>
      </c>
      <c r="AU97" s="494"/>
      <c r="AV97" s="421"/>
      <c r="AW97" s="493"/>
    </row>
    <row r="98" spans="1:49" x14ac:dyDescent="0.2">
      <c r="A98" s="1764"/>
      <c r="B98" s="495">
        <v>701</v>
      </c>
      <c r="C98" s="417" t="s">
        <v>209</v>
      </c>
      <c r="D98" s="417" t="s">
        <v>762</v>
      </c>
      <c r="E98" s="417" t="s">
        <v>11</v>
      </c>
      <c r="F98" s="417" t="s">
        <v>21</v>
      </c>
      <c r="G98" s="490" t="s">
        <v>25</v>
      </c>
      <c r="H98" s="490">
        <v>1</v>
      </c>
      <c r="I98" s="490">
        <v>3</v>
      </c>
      <c r="J98" s="490">
        <v>1</v>
      </c>
      <c r="K98" s="490">
        <v>1</v>
      </c>
      <c r="L98" s="490">
        <v>2</v>
      </c>
      <c r="M98" s="490">
        <v>2</v>
      </c>
      <c r="N98" s="490">
        <v>1</v>
      </c>
      <c r="O98" s="1764"/>
      <c r="P98" s="417" t="str">
        <f t="shared" si="18"/>
        <v>01030101020201</v>
      </c>
      <c r="Q98" s="418"/>
      <c r="R98" s="418"/>
      <c r="S98" s="418"/>
      <c r="T98" s="418"/>
      <c r="U98" s="418"/>
      <c r="V98" s="418"/>
      <c r="W98" s="418"/>
      <c r="X98" s="418"/>
      <c r="Y98" s="418"/>
      <c r="Z98" s="418"/>
      <c r="AA98" s="418"/>
      <c r="AB98" s="418"/>
      <c r="AC98" s="418"/>
      <c r="AD98" s="440">
        <v>0</v>
      </c>
      <c r="AE98" s="1764"/>
      <c r="AF98" s="496" t="s">
        <v>770</v>
      </c>
      <c r="AG98" s="496"/>
      <c r="AH98" s="497"/>
      <c r="AI98" s="497"/>
      <c r="AJ98" s="497"/>
      <c r="AK98" s="497"/>
      <c r="AL98" s="497"/>
      <c r="AM98" s="497"/>
      <c r="AN98" s="497"/>
      <c r="AO98" s="497"/>
      <c r="AP98" s="444">
        <f t="shared" si="19"/>
        <v>0</v>
      </c>
      <c r="AQ98" s="1764"/>
      <c r="AR98" s="490" t="s">
        <v>770</v>
      </c>
      <c r="AS98" s="478">
        <f>TabGtos!D2</f>
        <v>0</v>
      </c>
      <c r="AU98" s="494"/>
      <c r="AV98" s="421"/>
      <c r="AW98" s="493"/>
    </row>
    <row r="99" spans="1:49" x14ac:dyDescent="0.2">
      <c r="A99" s="1764"/>
      <c r="B99" s="495">
        <v>702</v>
      </c>
      <c r="C99" s="417" t="s">
        <v>209</v>
      </c>
      <c r="D99" s="417" t="s">
        <v>762</v>
      </c>
      <c r="E99" s="417" t="s">
        <v>11</v>
      </c>
      <c r="F99" s="417" t="s">
        <v>24</v>
      </c>
      <c r="G99" s="490" t="s">
        <v>22</v>
      </c>
      <c r="H99" s="490">
        <v>1</v>
      </c>
      <c r="I99" s="490">
        <v>3</v>
      </c>
      <c r="J99" s="490">
        <v>1</v>
      </c>
      <c r="K99" s="490">
        <v>2</v>
      </c>
      <c r="L99" s="490">
        <v>1</v>
      </c>
      <c r="M99" s="490">
        <v>2</v>
      </c>
      <c r="N99" s="490">
        <v>1</v>
      </c>
      <c r="O99" s="1764"/>
      <c r="P99" s="417" t="str">
        <f t="shared" si="18"/>
        <v>01030102010201</v>
      </c>
      <c r="Q99" s="418"/>
      <c r="R99" s="418"/>
      <c r="S99" s="418"/>
      <c r="T99" s="418"/>
      <c r="U99" s="418"/>
      <c r="V99" s="418"/>
      <c r="W99" s="418"/>
      <c r="X99" s="418"/>
      <c r="Y99" s="418"/>
      <c r="Z99" s="418"/>
      <c r="AA99" s="418"/>
      <c r="AB99" s="418"/>
      <c r="AC99" s="418"/>
      <c r="AD99" s="440">
        <v>0</v>
      </c>
      <c r="AE99" s="1764"/>
      <c r="AF99" s="496" t="s">
        <v>771</v>
      </c>
      <c r="AG99" s="496"/>
      <c r="AH99" s="497"/>
      <c r="AI99" s="497"/>
      <c r="AJ99" s="497"/>
      <c r="AK99" s="497"/>
      <c r="AL99" s="497"/>
      <c r="AM99" s="497"/>
      <c r="AN99" s="497"/>
      <c r="AO99" s="497"/>
      <c r="AP99" s="444">
        <f t="shared" si="19"/>
        <v>0</v>
      </c>
      <c r="AQ99" s="1764"/>
      <c r="AR99" s="490" t="s">
        <v>771</v>
      </c>
      <c r="AS99" s="478">
        <f>TabGtos!D2</f>
        <v>0</v>
      </c>
      <c r="AU99" s="494"/>
      <c r="AV99" s="421"/>
      <c r="AW99" s="493"/>
    </row>
    <row r="100" spans="1:49" x14ac:dyDescent="0.2">
      <c r="A100" s="1764"/>
      <c r="B100" s="495">
        <v>703</v>
      </c>
      <c r="C100" s="417" t="s">
        <v>209</v>
      </c>
      <c r="D100" s="417" t="s">
        <v>762</v>
      </c>
      <c r="E100" s="417" t="s">
        <v>11</v>
      </c>
      <c r="F100" s="417" t="s">
        <v>24</v>
      </c>
      <c r="G100" s="490" t="s">
        <v>25</v>
      </c>
      <c r="H100" s="490">
        <v>1</v>
      </c>
      <c r="I100" s="490">
        <v>3</v>
      </c>
      <c r="J100" s="490">
        <v>1</v>
      </c>
      <c r="K100" s="490">
        <v>2</v>
      </c>
      <c r="L100" s="490">
        <v>2</v>
      </c>
      <c r="M100" s="490">
        <v>2</v>
      </c>
      <c r="N100" s="490">
        <v>1</v>
      </c>
      <c r="O100" s="1764"/>
      <c r="P100" s="417" t="str">
        <f t="shared" si="18"/>
        <v>01030102020201</v>
      </c>
      <c r="Q100" s="418"/>
      <c r="R100" s="418"/>
      <c r="S100" s="418"/>
      <c r="T100" s="418"/>
      <c r="U100" s="418"/>
      <c r="V100" s="418"/>
      <c r="W100" s="418"/>
      <c r="X100" s="418"/>
      <c r="Y100" s="418"/>
      <c r="Z100" s="418"/>
      <c r="AA100" s="418"/>
      <c r="AB100" s="418"/>
      <c r="AC100" s="418"/>
      <c r="AD100" s="440">
        <v>0</v>
      </c>
      <c r="AE100" s="1764"/>
      <c r="AF100" s="496" t="s">
        <v>772</v>
      </c>
      <c r="AG100" s="496"/>
      <c r="AH100" s="497"/>
      <c r="AI100" s="497"/>
      <c r="AJ100" s="497"/>
      <c r="AK100" s="497"/>
      <c r="AL100" s="497"/>
      <c r="AM100" s="497"/>
      <c r="AN100" s="497"/>
      <c r="AO100" s="497"/>
      <c r="AP100" s="444">
        <f t="shared" si="19"/>
        <v>0</v>
      </c>
      <c r="AQ100" s="1764"/>
      <c r="AR100" s="490" t="s">
        <v>772</v>
      </c>
      <c r="AS100" s="478">
        <f>TabGtos!D2</f>
        <v>0</v>
      </c>
      <c r="AU100" s="498"/>
      <c r="AV100" s="421"/>
      <c r="AW100" s="493"/>
    </row>
    <row r="101" spans="1:49" ht="12" customHeight="1" x14ac:dyDescent="0.2">
      <c r="A101" s="1765" t="s">
        <v>764</v>
      </c>
      <c r="B101" s="481">
        <v>703</v>
      </c>
      <c r="C101" s="482" t="s">
        <v>209</v>
      </c>
      <c r="D101" s="482" t="s">
        <v>762</v>
      </c>
      <c r="E101" s="482" t="s">
        <v>11</v>
      </c>
      <c r="F101" s="482" t="s">
        <v>21</v>
      </c>
      <c r="G101" s="499" t="s">
        <v>22</v>
      </c>
      <c r="H101" s="499">
        <v>1</v>
      </c>
      <c r="I101" s="499">
        <v>3</v>
      </c>
      <c r="J101" s="499">
        <v>1</v>
      </c>
      <c r="K101" s="499">
        <v>1</v>
      </c>
      <c r="L101" s="499">
        <v>1</v>
      </c>
      <c r="M101" s="499">
        <v>2</v>
      </c>
      <c r="N101" s="499">
        <v>2</v>
      </c>
      <c r="O101" s="1766" t="s">
        <v>764</v>
      </c>
      <c r="P101" s="417" t="str">
        <f t="shared" si="18"/>
        <v>01030101010202</v>
      </c>
      <c r="Q101" s="500">
        <v>25</v>
      </c>
      <c r="R101" s="500">
        <v>6</v>
      </c>
      <c r="S101" s="500">
        <v>25</v>
      </c>
      <c r="T101" s="500">
        <v>10</v>
      </c>
      <c r="U101" s="500"/>
      <c r="V101" s="500"/>
      <c r="W101" s="500">
        <v>21</v>
      </c>
      <c r="X101" s="500"/>
      <c r="Y101" s="500"/>
      <c r="Z101" s="500">
        <f>IF('1.Hoja_de_Cotización'!$C$33=0,0,(ROUND('1.Hoja_de_Cotización'!$C$33/1000,0)-1)*2.5+5)</f>
        <v>0</v>
      </c>
      <c r="AA101" s="500"/>
      <c r="AB101" s="500"/>
      <c r="AC101" s="500"/>
      <c r="AD101" s="500">
        <v>0</v>
      </c>
      <c r="AE101" s="1765" t="s">
        <v>764</v>
      </c>
      <c r="AF101" s="499" t="s">
        <v>773</v>
      </c>
      <c r="AG101" s="499">
        <v>38</v>
      </c>
      <c r="AH101" s="499">
        <v>20</v>
      </c>
      <c r="AI101" s="501">
        <f>((AH101)-1)*8+11</f>
        <v>163</v>
      </c>
      <c r="AJ101" s="501">
        <v>2</v>
      </c>
      <c r="AK101" s="501">
        <f>8*AG101</f>
        <v>304</v>
      </c>
      <c r="AL101" s="501"/>
      <c r="AM101" s="501">
        <v>10</v>
      </c>
      <c r="AN101" s="501">
        <f>IF('1.Hoja_de_Cotización'!$R$7=5,IF($BB$2=9,0,Hoja_Cambio!$AR$32),IF($BB$2=9,0,Cálculos!$C$107))</f>
        <v>0</v>
      </c>
      <c r="AO101" s="501"/>
      <c r="AP101" s="501">
        <v>0</v>
      </c>
      <c r="AQ101" s="1768" t="s">
        <v>764</v>
      </c>
      <c r="AR101" s="490" t="s">
        <v>773</v>
      </c>
      <c r="AS101" s="493"/>
      <c r="AU101" s="1767" t="s">
        <v>764</v>
      </c>
      <c r="AV101" s="490" t="s">
        <v>773</v>
      </c>
      <c r="AW101" s="502">
        <v>0</v>
      </c>
    </row>
    <row r="102" spans="1:49" x14ac:dyDescent="0.2">
      <c r="A102" s="1765"/>
      <c r="B102" s="481">
        <v>704</v>
      </c>
      <c r="C102" s="482" t="s">
        <v>209</v>
      </c>
      <c r="D102" s="482" t="s">
        <v>762</v>
      </c>
      <c r="E102" s="482" t="s">
        <v>11</v>
      </c>
      <c r="F102" s="482" t="s">
        <v>21</v>
      </c>
      <c r="G102" s="499" t="s">
        <v>25</v>
      </c>
      <c r="H102" s="499">
        <v>1</v>
      </c>
      <c r="I102" s="499">
        <v>3</v>
      </c>
      <c r="J102" s="499">
        <v>1</v>
      </c>
      <c r="K102" s="499">
        <v>1</v>
      </c>
      <c r="L102" s="499">
        <v>2</v>
      </c>
      <c r="M102" s="499">
        <v>2</v>
      </c>
      <c r="N102" s="499">
        <v>2</v>
      </c>
      <c r="O102" s="1766"/>
      <c r="P102" s="417" t="str">
        <f t="shared" si="18"/>
        <v>01030101020202</v>
      </c>
      <c r="Q102" s="500">
        <v>25</v>
      </c>
      <c r="R102" s="500">
        <v>6</v>
      </c>
      <c r="S102" s="500">
        <v>25</v>
      </c>
      <c r="T102" s="500">
        <v>10</v>
      </c>
      <c r="U102" s="500"/>
      <c r="V102" s="500"/>
      <c r="W102" s="500">
        <v>21</v>
      </c>
      <c r="X102" s="500"/>
      <c r="Y102" s="500"/>
      <c r="Z102" s="500">
        <f>IF('1.Hoja_de_Cotización'!$C$33=0,0,(ROUND('1.Hoja_de_Cotización'!$C$33/1000,0)-1)*2.5+5)</f>
        <v>0</v>
      </c>
      <c r="AA102" s="500"/>
      <c r="AB102" s="500"/>
      <c r="AC102" s="500"/>
      <c r="AD102" s="500">
        <v>0</v>
      </c>
      <c r="AE102" s="1765"/>
      <c r="AF102" s="499" t="s">
        <v>774</v>
      </c>
      <c r="AG102" s="499">
        <v>38</v>
      </c>
      <c r="AH102" s="499">
        <v>20</v>
      </c>
      <c r="AI102" s="501">
        <f>((AH102)-1)*8+11</f>
        <v>163</v>
      </c>
      <c r="AJ102" s="501">
        <v>2</v>
      </c>
      <c r="AK102" s="501">
        <f>8*AG102</f>
        <v>304</v>
      </c>
      <c r="AL102" s="501"/>
      <c r="AM102" s="501">
        <v>10</v>
      </c>
      <c r="AN102" s="501">
        <f>IF('1.Hoja_de_Cotización'!$R$7=5,IF($BB$2=9,0,Hoja_Cambio!$AR$32),IF($BB$2=9,0,Cálculos!$C$107))</f>
        <v>0</v>
      </c>
      <c r="AO102" s="501"/>
      <c r="AP102" s="501">
        <v>0</v>
      </c>
      <c r="AQ102" s="1768"/>
      <c r="AR102" s="490" t="s">
        <v>774</v>
      </c>
      <c r="AS102" s="493"/>
      <c r="AU102" s="1767"/>
      <c r="AV102" s="490" t="s">
        <v>774</v>
      </c>
      <c r="AW102" s="502">
        <v>0</v>
      </c>
    </row>
    <row r="103" spans="1:49" x14ac:dyDescent="0.2">
      <c r="A103" s="1765"/>
      <c r="B103" s="481">
        <v>705</v>
      </c>
      <c r="C103" s="482" t="s">
        <v>209</v>
      </c>
      <c r="D103" s="482" t="s">
        <v>762</v>
      </c>
      <c r="E103" s="482" t="s">
        <v>11</v>
      </c>
      <c r="F103" s="482" t="s">
        <v>24</v>
      </c>
      <c r="G103" s="499" t="s">
        <v>22</v>
      </c>
      <c r="H103" s="499">
        <v>1</v>
      </c>
      <c r="I103" s="499">
        <v>3</v>
      </c>
      <c r="J103" s="499">
        <v>1</v>
      </c>
      <c r="K103" s="499">
        <v>2</v>
      </c>
      <c r="L103" s="499">
        <v>1</v>
      </c>
      <c r="M103" s="499">
        <v>2</v>
      </c>
      <c r="N103" s="499">
        <v>2</v>
      </c>
      <c r="O103" s="1766"/>
      <c r="P103" s="417" t="str">
        <f t="shared" si="18"/>
        <v>01030102010202</v>
      </c>
      <c r="Q103" s="500">
        <v>25</v>
      </c>
      <c r="R103" s="500">
        <v>6</v>
      </c>
      <c r="S103" s="500">
        <v>25</v>
      </c>
      <c r="T103" s="500">
        <v>10</v>
      </c>
      <c r="U103" s="500"/>
      <c r="V103" s="500"/>
      <c r="W103" s="500">
        <v>21</v>
      </c>
      <c r="X103" s="500"/>
      <c r="Y103" s="500"/>
      <c r="Z103" s="500">
        <f>IF('1.Hoja_de_Cotización'!$C$33=0,0,(ROUND('1.Hoja_de_Cotización'!$C$33/1000,0)-1)*2.5+5)</f>
        <v>0</v>
      </c>
      <c r="AA103" s="500"/>
      <c r="AB103" s="500"/>
      <c r="AC103" s="500"/>
      <c r="AD103" s="500">
        <v>0</v>
      </c>
      <c r="AE103" s="1765"/>
      <c r="AF103" s="499" t="s">
        <v>775</v>
      </c>
      <c r="AG103" s="499">
        <v>38</v>
      </c>
      <c r="AH103" s="499">
        <v>20</v>
      </c>
      <c r="AI103" s="501">
        <f>((AH103)-1)*8+11</f>
        <v>163</v>
      </c>
      <c r="AJ103" s="501">
        <v>2</v>
      </c>
      <c r="AK103" s="501">
        <f>8*AG103</f>
        <v>304</v>
      </c>
      <c r="AL103" s="501"/>
      <c r="AM103" s="501">
        <v>10</v>
      </c>
      <c r="AN103" s="501">
        <f>IF('1.Hoja_de_Cotización'!$R$7=5,IF($BB$2=9,0,Hoja_Cambio!$AR$32),IF($BB$2=9,0,Cálculos!$C$107))</f>
        <v>0</v>
      </c>
      <c r="AO103" s="501"/>
      <c r="AP103" s="501">
        <v>0</v>
      </c>
      <c r="AQ103" s="1768"/>
      <c r="AR103" s="490" t="s">
        <v>775</v>
      </c>
      <c r="AS103" s="493"/>
      <c r="AU103" s="1767"/>
      <c r="AV103" s="490" t="s">
        <v>775</v>
      </c>
      <c r="AW103" s="502">
        <v>0</v>
      </c>
    </row>
    <row r="104" spans="1:49" ht="13.5" customHeight="1" x14ac:dyDescent="0.2">
      <c r="A104" s="1765"/>
      <c r="B104" s="481">
        <v>706</v>
      </c>
      <c r="C104" s="482" t="s">
        <v>209</v>
      </c>
      <c r="D104" s="482" t="s">
        <v>762</v>
      </c>
      <c r="E104" s="482" t="s">
        <v>11</v>
      </c>
      <c r="F104" s="482" t="s">
        <v>24</v>
      </c>
      <c r="G104" s="499" t="s">
        <v>25</v>
      </c>
      <c r="H104" s="499">
        <v>1</v>
      </c>
      <c r="I104" s="499">
        <v>3</v>
      </c>
      <c r="J104" s="499">
        <v>1</v>
      </c>
      <c r="K104" s="499">
        <v>2</v>
      </c>
      <c r="L104" s="499">
        <v>2</v>
      </c>
      <c r="M104" s="499">
        <v>2</v>
      </c>
      <c r="N104" s="499">
        <v>2</v>
      </c>
      <c r="O104" s="1766"/>
      <c r="P104" s="417" t="str">
        <f t="shared" si="18"/>
        <v>01030102020202</v>
      </c>
      <c r="Q104" s="500">
        <v>25</v>
      </c>
      <c r="R104" s="500">
        <v>6</v>
      </c>
      <c r="S104" s="500">
        <v>25</v>
      </c>
      <c r="T104" s="500">
        <v>10</v>
      </c>
      <c r="U104" s="500"/>
      <c r="V104" s="500"/>
      <c r="W104" s="500">
        <v>21</v>
      </c>
      <c r="X104" s="500"/>
      <c r="Y104" s="500"/>
      <c r="Z104" s="500">
        <f>IF('1.Hoja_de_Cotización'!$C$33=0,0,(ROUND('1.Hoja_de_Cotización'!$C$33/1000,0)-1)*2.5+5)</f>
        <v>0</v>
      </c>
      <c r="AA104" s="500"/>
      <c r="AB104" s="500"/>
      <c r="AC104" s="500"/>
      <c r="AD104" s="500">
        <v>0</v>
      </c>
      <c r="AE104" s="1765"/>
      <c r="AF104" s="499" t="s">
        <v>776</v>
      </c>
      <c r="AG104" s="499">
        <v>38</v>
      </c>
      <c r="AH104" s="499">
        <v>20</v>
      </c>
      <c r="AI104" s="501">
        <f>((AH104)-1)*8+11</f>
        <v>163</v>
      </c>
      <c r="AJ104" s="501">
        <v>2</v>
      </c>
      <c r="AK104" s="501">
        <f>8*AG104</f>
        <v>304</v>
      </c>
      <c r="AL104" s="501"/>
      <c r="AM104" s="501">
        <v>10</v>
      </c>
      <c r="AN104" s="501">
        <f>IF('1.Hoja_de_Cotización'!$R$7=5,IF($BB$2=9,0,Hoja_Cambio!$AR$32),IF($BB$2=9,0,Cálculos!$C$107))</f>
        <v>0</v>
      </c>
      <c r="AO104" s="501"/>
      <c r="AP104" s="501">
        <v>0</v>
      </c>
      <c r="AQ104" s="1768"/>
      <c r="AR104" s="490" t="s">
        <v>776</v>
      </c>
      <c r="AS104" s="493"/>
      <c r="AU104" s="1767"/>
      <c r="AV104" s="490" t="s">
        <v>776</v>
      </c>
      <c r="AW104" s="502">
        <v>0</v>
      </c>
    </row>
  </sheetData>
  <autoFilter ref="A1:AS104"/>
  <mergeCells count="29">
    <mergeCell ref="AU101:AU104"/>
    <mergeCell ref="AE93:AE96"/>
    <mergeCell ref="AE97:AE100"/>
    <mergeCell ref="AE101:AE104"/>
    <mergeCell ref="AQ93:AQ96"/>
    <mergeCell ref="AQ97:AQ100"/>
    <mergeCell ref="AQ101:AQ104"/>
    <mergeCell ref="A93:A96"/>
    <mergeCell ref="A97:A100"/>
    <mergeCell ref="A101:A104"/>
    <mergeCell ref="O93:O96"/>
    <mergeCell ref="O97:O100"/>
    <mergeCell ref="O101:O104"/>
    <mergeCell ref="BA15:BC15"/>
    <mergeCell ref="AE1:AE50"/>
    <mergeCell ref="AE59:AE69"/>
    <mergeCell ref="AE70:AE92"/>
    <mergeCell ref="AQ1:AQ50"/>
    <mergeCell ref="AQ59:AQ69"/>
    <mergeCell ref="AQ70:AQ92"/>
    <mergeCell ref="AU70:AU92"/>
    <mergeCell ref="A2:A50"/>
    <mergeCell ref="A59:A69"/>
    <mergeCell ref="A70:A92"/>
    <mergeCell ref="O1:O50"/>
    <mergeCell ref="O59:O69"/>
    <mergeCell ref="O70:O92"/>
    <mergeCell ref="A51:A58"/>
    <mergeCell ref="O51:O58"/>
  </mergeCells>
  <conditionalFormatting sqref="BD2">
    <cfRule type="expression" dxfId="1" priority="4" stopIfTrue="1">
      <formula>IF(AND($P27="Alta",$R27&lt;&gt;"Completada"),"VERDADERO","FALSO")</formula>
    </cfRule>
  </conditionalFormatting>
  <conditionalFormatting sqref="BD3">
    <cfRule type="expression" dxfId="0" priority="3" stopIfTrue="1">
      <formula>IF(AND($P28="Alta",$R28&lt;&gt;"Completada"),"VERDADERO","FALSO")</formula>
    </cfRule>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dimension ref="A1:O181"/>
  <sheetViews>
    <sheetView topLeftCell="A13" workbookViewId="0">
      <selection activeCell="C43" sqref="C43"/>
    </sheetView>
  </sheetViews>
  <sheetFormatPr baseColWidth="10" defaultColWidth="11.42578125" defaultRowHeight="12.75" x14ac:dyDescent="0.2"/>
  <cols>
    <col min="1" max="1" width="3.28515625" style="503" bestFit="1" customWidth="1"/>
    <col min="2" max="2" width="18.140625" style="503" customWidth="1"/>
    <col min="3" max="3" width="27.28515625" style="503" customWidth="1"/>
    <col min="4" max="4" width="12.28515625" style="503" bestFit="1" customWidth="1"/>
    <col min="5" max="5" width="11.42578125" style="503"/>
    <col min="6" max="6" width="3.28515625" style="503" bestFit="1" customWidth="1"/>
    <col min="7" max="7" width="11.42578125" style="503"/>
    <col min="8" max="8" width="26.28515625" style="503" customWidth="1"/>
    <col min="9" max="9" width="12.28515625" style="503" bestFit="1" customWidth="1"/>
    <col min="10" max="10" width="11.42578125" style="503"/>
    <col min="11" max="11" width="3.28515625" style="503" bestFit="1" customWidth="1"/>
    <col min="12" max="13" width="11.42578125" style="503"/>
    <col min="14" max="14" width="12.28515625" style="503" bestFit="1" customWidth="1"/>
    <col min="15" max="16384" width="11.42578125" style="503"/>
  </cols>
  <sheetData>
    <row r="1" spans="1:14" ht="25.5" customHeight="1" x14ac:dyDescent="0.2">
      <c r="B1" s="1769" t="s">
        <v>303</v>
      </c>
      <c r="C1" s="1770"/>
      <c r="D1" s="511" t="s">
        <v>304</v>
      </c>
      <c r="E1" s="512"/>
      <c r="F1" s="506"/>
      <c r="G1" s="1769" t="s">
        <v>305</v>
      </c>
      <c r="H1" s="1770"/>
      <c r="I1" s="511" t="s">
        <v>306</v>
      </c>
      <c r="J1" s="512"/>
      <c r="K1" s="512"/>
      <c r="L1" s="1771" t="s">
        <v>307</v>
      </c>
      <c r="M1" s="1772"/>
      <c r="N1" s="513" t="s">
        <v>308</v>
      </c>
    </row>
    <row r="2" spans="1:14" x14ac:dyDescent="0.2">
      <c r="A2" s="1775" t="s">
        <v>335</v>
      </c>
      <c r="B2" s="504">
        <v>0</v>
      </c>
      <c r="C2" s="504">
        <v>250</v>
      </c>
      <c r="D2" s="514">
        <f>IF('1.Hoja_de_Cotización'!C44&gt;0,VLOOKUP('1.Hoja_de_Cotización'!C44,comb_serv_01,2,TRUE),0)</f>
        <v>0</v>
      </c>
      <c r="E2" s="509"/>
      <c r="F2" s="1775" t="s">
        <v>333</v>
      </c>
      <c r="G2" s="510">
        <v>0</v>
      </c>
      <c r="H2" s="508">
        <v>250</v>
      </c>
      <c r="I2" s="514">
        <f>IF('1.Hoja_de_Cotización'!C44&gt;0,VLOOKUP('1.Hoja_de_Cotización'!C44,comb_serv_05,2,TRUE),0)</f>
        <v>0</v>
      </c>
      <c r="J2" s="509"/>
      <c r="K2" s="1775" t="s">
        <v>334</v>
      </c>
      <c r="L2" s="510">
        <v>0</v>
      </c>
      <c r="M2" s="508">
        <v>250</v>
      </c>
      <c r="N2" s="514">
        <f>IF('1.Hoja_de_Cotización'!C44&gt;0,VLOOKUP('1.Hoja_de_Cotización'!C44,comb_serv_09,2,TRUE),0)</f>
        <v>0</v>
      </c>
    </row>
    <row r="3" spans="1:14" x14ac:dyDescent="0.2">
      <c r="A3" s="1775"/>
      <c r="B3" s="504">
        <v>5001</v>
      </c>
      <c r="C3" s="504">
        <v>250</v>
      </c>
      <c r="D3" s="515"/>
      <c r="E3" s="509"/>
      <c r="F3" s="1775"/>
      <c r="G3" s="510">
        <v>5001</v>
      </c>
      <c r="H3" s="508">
        <v>250</v>
      </c>
      <c r="I3" s="515"/>
      <c r="J3" s="509"/>
      <c r="K3" s="1775"/>
      <c r="L3" s="510">
        <v>5001</v>
      </c>
      <c r="M3" s="508">
        <v>250</v>
      </c>
      <c r="N3" s="515"/>
    </row>
    <row r="4" spans="1:14" x14ac:dyDescent="0.2">
      <c r="A4" s="1775"/>
      <c r="B4" s="504">
        <v>18001</v>
      </c>
      <c r="C4" s="504">
        <v>250</v>
      </c>
      <c r="D4" s="515"/>
      <c r="E4" s="509"/>
      <c r="F4" s="1775"/>
      <c r="G4" s="510">
        <v>18001</v>
      </c>
      <c r="H4" s="508">
        <v>250</v>
      </c>
      <c r="I4" s="515"/>
      <c r="J4" s="509"/>
      <c r="K4" s="1775"/>
      <c r="L4" s="510">
        <v>18001</v>
      </c>
      <c r="M4" s="508">
        <v>250</v>
      </c>
      <c r="N4" s="515"/>
    </row>
    <row r="5" spans="1:14" x14ac:dyDescent="0.2">
      <c r="A5" s="1775"/>
      <c r="B5" s="504">
        <v>25001</v>
      </c>
      <c r="C5" s="504">
        <v>250</v>
      </c>
      <c r="D5" s="515"/>
      <c r="E5" s="509"/>
      <c r="F5" s="1775"/>
      <c r="G5" s="510">
        <v>25001</v>
      </c>
      <c r="H5" s="508">
        <v>250</v>
      </c>
      <c r="I5" s="515"/>
      <c r="J5" s="509"/>
      <c r="K5" s="1775"/>
      <c r="L5" s="510">
        <v>25001</v>
      </c>
      <c r="M5" s="508">
        <v>250</v>
      </c>
      <c r="N5" s="515"/>
    </row>
    <row r="6" spans="1:14" x14ac:dyDescent="0.2">
      <c r="A6" s="1775"/>
      <c r="B6" s="504">
        <v>30001</v>
      </c>
      <c r="C6" s="504">
        <v>250</v>
      </c>
      <c r="D6" s="515"/>
      <c r="E6" s="509"/>
      <c r="F6" s="1775"/>
      <c r="G6" s="510">
        <v>30001</v>
      </c>
      <c r="H6" s="508">
        <v>250</v>
      </c>
      <c r="I6" s="515"/>
      <c r="J6" s="509"/>
      <c r="K6" s="1775"/>
      <c r="L6" s="510">
        <v>30001</v>
      </c>
      <c r="M6" s="508">
        <v>250</v>
      </c>
      <c r="N6" s="515"/>
    </row>
    <row r="7" spans="1:14" x14ac:dyDescent="0.2">
      <c r="A7" s="1775"/>
      <c r="B7" s="504">
        <v>40001</v>
      </c>
      <c r="C7" s="504">
        <v>300</v>
      </c>
      <c r="D7" s="515"/>
      <c r="E7" s="509"/>
      <c r="F7" s="1775"/>
      <c r="G7" s="510">
        <v>40001</v>
      </c>
      <c r="H7" s="508">
        <v>300</v>
      </c>
      <c r="I7" s="515"/>
      <c r="J7" s="509"/>
      <c r="K7" s="1775"/>
      <c r="L7" s="510">
        <v>40001</v>
      </c>
      <c r="M7" s="508">
        <v>300</v>
      </c>
      <c r="N7" s="515"/>
    </row>
    <row r="8" spans="1:14" x14ac:dyDescent="0.2">
      <c r="A8" s="1775"/>
      <c r="B8" s="504">
        <v>50001</v>
      </c>
      <c r="C8" s="504">
        <v>300</v>
      </c>
      <c r="D8" s="515"/>
      <c r="E8" s="509"/>
      <c r="F8" s="1775"/>
      <c r="G8" s="510">
        <v>50001</v>
      </c>
      <c r="H8" s="508">
        <v>300</v>
      </c>
      <c r="I8" s="515"/>
      <c r="J8" s="509"/>
      <c r="K8" s="1775"/>
      <c r="L8" s="510">
        <v>50001</v>
      </c>
      <c r="M8" s="508">
        <v>300</v>
      </c>
      <c r="N8" s="515"/>
    </row>
    <row r="9" spans="1:14" x14ac:dyDescent="0.2">
      <c r="A9" s="1775"/>
      <c r="B9" s="504">
        <v>62501</v>
      </c>
      <c r="C9" s="504">
        <v>350</v>
      </c>
      <c r="D9" s="515"/>
      <c r="E9" s="509"/>
      <c r="F9" s="1775"/>
      <c r="G9" s="510">
        <v>62501</v>
      </c>
      <c r="H9" s="508">
        <v>350</v>
      </c>
      <c r="I9" s="515"/>
      <c r="J9" s="509"/>
      <c r="K9" s="1775"/>
      <c r="L9" s="510">
        <v>62501</v>
      </c>
      <c r="M9" s="508">
        <v>350</v>
      </c>
      <c r="N9" s="515"/>
    </row>
    <row r="10" spans="1:14" x14ac:dyDescent="0.2">
      <c r="A10" s="1775"/>
      <c r="B10" s="504">
        <v>70001</v>
      </c>
      <c r="C10" s="504">
        <v>350</v>
      </c>
      <c r="D10" s="515"/>
      <c r="E10" s="509"/>
      <c r="F10" s="1775"/>
      <c r="G10" s="510">
        <v>70001</v>
      </c>
      <c r="H10" s="508">
        <v>350</v>
      </c>
      <c r="I10" s="515"/>
      <c r="J10" s="509"/>
      <c r="K10" s="1775"/>
      <c r="L10" s="510">
        <v>70001</v>
      </c>
      <c r="M10" s="508">
        <v>350</v>
      </c>
      <c r="N10" s="515"/>
    </row>
    <row r="11" spans="1:14" x14ac:dyDescent="0.2">
      <c r="A11" s="1775"/>
      <c r="B11" s="504">
        <v>80001</v>
      </c>
      <c r="C11" s="504">
        <v>500</v>
      </c>
      <c r="D11" s="515"/>
      <c r="E11" s="509"/>
      <c r="F11" s="1775"/>
      <c r="G11" s="510">
        <v>80001</v>
      </c>
      <c r="H11" s="508">
        <v>500</v>
      </c>
      <c r="I11" s="515"/>
      <c r="J11" s="509"/>
      <c r="K11" s="1775"/>
      <c r="L11" s="510">
        <v>80001</v>
      </c>
      <c r="M11" s="508">
        <v>500</v>
      </c>
      <c r="N11" s="515"/>
    </row>
    <row r="12" spans="1:14" x14ac:dyDescent="0.2">
      <c r="A12" s="1775"/>
      <c r="B12" s="504">
        <v>90001</v>
      </c>
      <c r="C12" s="504">
        <v>500</v>
      </c>
      <c r="D12" s="515"/>
      <c r="E12" s="509"/>
      <c r="F12" s="1775"/>
      <c r="G12" s="510">
        <v>90001</v>
      </c>
      <c r="H12" s="508">
        <v>500</v>
      </c>
      <c r="I12" s="515"/>
      <c r="J12" s="509"/>
      <c r="K12" s="1775"/>
      <c r="L12" s="510">
        <v>90001</v>
      </c>
      <c r="M12" s="508">
        <v>500</v>
      </c>
      <c r="N12" s="515"/>
    </row>
    <row r="13" spans="1:14" x14ac:dyDescent="0.2">
      <c r="A13" s="1775"/>
      <c r="B13" s="504">
        <v>125001</v>
      </c>
      <c r="C13" s="504">
        <v>500</v>
      </c>
      <c r="D13" s="515"/>
      <c r="E13" s="509"/>
      <c r="F13" s="1775"/>
      <c r="G13" s="516">
        <v>125001</v>
      </c>
      <c r="H13" s="508">
        <v>500</v>
      </c>
      <c r="I13" s="515"/>
      <c r="J13" s="509"/>
      <c r="K13" s="1775"/>
      <c r="L13" s="516">
        <v>125001</v>
      </c>
      <c r="M13" s="508">
        <v>500</v>
      </c>
      <c r="N13" s="515"/>
    </row>
    <row r="14" spans="1:14" x14ac:dyDescent="0.2">
      <c r="A14" s="1775"/>
      <c r="B14" s="504">
        <v>150001</v>
      </c>
      <c r="C14" s="504">
        <v>500</v>
      </c>
      <c r="D14" s="515"/>
      <c r="E14" s="509"/>
      <c r="F14" s="1775"/>
      <c r="G14" s="516">
        <v>150001</v>
      </c>
      <c r="H14" s="508">
        <v>500</v>
      </c>
      <c r="I14" s="515"/>
      <c r="J14" s="509"/>
      <c r="K14" s="1775"/>
      <c r="L14" s="516">
        <v>150001</v>
      </c>
      <c r="M14" s="508">
        <v>500</v>
      </c>
      <c r="N14" s="515"/>
    </row>
    <row r="15" spans="1:14" x14ac:dyDescent="0.2">
      <c r="A15" s="1775"/>
      <c r="B15" s="504">
        <v>175001</v>
      </c>
      <c r="C15" s="504">
        <v>500</v>
      </c>
      <c r="D15" s="515"/>
      <c r="E15" s="509"/>
      <c r="F15" s="1775"/>
      <c r="G15" s="516">
        <v>175001</v>
      </c>
      <c r="H15" s="508">
        <v>500</v>
      </c>
      <c r="I15" s="515"/>
      <c r="J15" s="509"/>
      <c r="K15" s="1775"/>
      <c r="L15" s="516">
        <v>175001</v>
      </c>
      <c r="M15" s="508">
        <v>500</v>
      </c>
      <c r="N15" s="515"/>
    </row>
    <row r="16" spans="1:14" x14ac:dyDescent="0.2">
      <c r="A16" s="1775"/>
      <c r="B16" s="504">
        <v>200001</v>
      </c>
      <c r="C16" s="504">
        <v>500</v>
      </c>
      <c r="D16" s="515"/>
      <c r="E16" s="509"/>
      <c r="F16" s="1775"/>
      <c r="G16" s="516">
        <v>200001</v>
      </c>
      <c r="H16" s="508">
        <v>500</v>
      </c>
      <c r="I16" s="515"/>
      <c r="J16" s="509"/>
      <c r="K16" s="1775"/>
      <c r="L16" s="516">
        <v>200001</v>
      </c>
      <c r="M16" s="508">
        <v>500</v>
      </c>
      <c r="N16" s="515"/>
    </row>
    <row r="17" spans="1:15" x14ac:dyDescent="0.2">
      <c r="A17" s="1775"/>
      <c r="B17" s="504">
        <v>250001</v>
      </c>
      <c r="C17" s="504">
        <v>500</v>
      </c>
      <c r="D17" s="515"/>
      <c r="E17" s="509"/>
      <c r="F17" s="1775"/>
      <c r="G17" s="516">
        <v>250001</v>
      </c>
      <c r="H17" s="508">
        <v>500</v>
      </c>
      <c r="I17" s="515"/>
      <c r="J17" s="509"/>
      <c r="K17" s="1775"/>
      <c r="L17" s="516">
        <v>250001</v>
      </c>
      <c r="M17" s="508">
        <v>500</v>
      </c>
      <c r="N17" s="515"/>
    </row>
    <row r="18" spans="1:15" x14ac:dyDescent="0.2">
      <c r="A18" s="1775"/>
      <c r="B18" s="504">
        <v>300001</v>
      </c>
      <c r="C18" s="504">
        <v>500</v>
      </c>
      <c r="D18" s="515"/>
      <c r="E18" s="509"/>
      <c r="F18" s="1775"/>
      <c r="G18" s="516">
        <v>300001</v>
      </c>
      <c r="H18" s="508">
        <v>500</v>
      </c>
      <c r="I18" s="515"/>
      <c r="J18" s="509"/>
      <c r="K18" s="1775"/>
      <c r="L18" s="516">
        <v>300001</v>
      </c>
      <c r="M18" s="508">
        <v>500</v>
      </c>
      <c r="N18" s="515"/>
    </row>
    <row r="19" spans="1:15" x14ac:dyDescent="0.2">
      <c r="A19" s="1775"/>
      <c r="B19" s="504">
        <v>350001</v>
      </c>
      <c r="C19" s="504">
        <v>500</v>
      </c>
      <c r="D19" s="515"/>
      <c r="E19" s="509"/>
      <c r="F19" s="1775"/>
      <c r="G19" s="516">
        <v>350001</v>
      </c>
      <c r="H19" s="508">
        <v>500</v>
      </c>
      <c r="I19" s="515"/>
      <c r="J19" s="509"/>
      <c r="K19" s="1775"/>
      <c r="L19" s="516">
        <v>350001</v>
      </c>
      <c r="M19" s="508">
        <v>500</v>
      </c>
      <c r="N19" s="515"/>
    </row>
    <row r="20" spans="1:15" x14ac:dyDescent="0.2">
      <c r="A20" s="1775"/>
      <c r="B20" s="517">
        <v>451001</v>
      </c>
      <c r="C20" s="504">
        <v>500</v>
      </c>
      <c r="D20" s="515"/>
      <c r="E20" s="509"/>
      <c r="F20" s="1775"/>
      <c r="G20" s="516">
        <v>451001</v>
      </c>
      <c r="H20" s="508">
        <v>500</v>
      </c>
      <c r="I20" s="515"/>
      <c r="J20" s="509"/>
      <c r="K20" s="1775"/>
      <c r="L20" s="516">
        <v>451001</v>
      </c>
      <c r="M20" s="508">
        <v>500</v>
      </c>
      <c r="N20" s="515"/>
    </row>
    <row r="21" spans="1:15" x14ac:dyDescent="0.2">
      <c r="A21" s="506"/>
      <c r="B21" s="517"/>
      <c r="C21" s="504"/>
      <c r="D21" s="506"/>
      <c r="E21" s="506"/>
      <c r="F21" s="506"/>
      <c r="G21" s="506"/>
      <c r="H21" s="506"/>
      <c r="I21" s="506"/>
      <c r="J21" s="506"/>
      <c r="K21" s="506"/>
      <c r="L21" s="506"/>
      <c r="M21" s="506"/>
      <c r="N21" s="506"/>
      <c r="O21" s="506"/>
    </row>
    <row r="22" spans="1:15" x14ac:dyDescent="0.2">
      <c r="A22" s="506"/>
      <c r="B22" s="506"/>
      <c r="C22" s="506"/>
      <c r="D22" s="506"/>
      <c r="E22" s="506"/>
      <c r="F22" s="506"/>
      <c r="G22" s="506"/>
      <c r="H22" s="506"/>
      <c r="I22" s="506"/>
      <c r="J22" s="506"/>
      <c r="K22" s="506"/>
      <c r="L22" s="506"/>
      <c r="M22" s="506"/>
      <c r="N22" s="506"/>
      <c r="O22" s="506"/>
    </row>
    <row r="23" spans="1:15" x14ac:dyDescent="0.2">
      <c r="A23" s="506"/>
      <c r="B23" s="506"/>
      <c r="C23" s="506"/>
      <c r="D23" s="506"/>
      <c r="E23" s="506"/>
      <c r="F23" s="506"/>
      <c r="G23" s="506"/>
      <c r="H23" s="506"/>
      <c r="I23" s="506"/>
      <c r="J23" s="506"/>
      <c r="K23" s="506"/>
      <c r="L23" s="506"/>
      <c r="M23" s="506"/>
      <c r="N23" s="506"/>
      <c r="O23" s="506"/>
    </row>
    <row r="24" spans="1:15" ht="25.5" customHeight="1" x14ac:dyDescent="0.2">
      <c r="A24" s="1775" t="s">
        <v>336</v>
      </c>
      <c r="B24" s="1769" t="s">
        <v>309</v>
      </c>
      <c r="C24" s="1770"/>
      <c r="D24" s="511" t="s">
        <v>310</v>
      </c>
      <c r="E24" s="512"/>
      <c r="F24" s="506"/>
      <c r="G24" s="1769" t="s">
        <v>311</v>
      </c>
      <c r="H24" s="1770"/>
      <c r="I24" s="511" t="s">
        <v>312</v>
      </c>
      <c r="J24" s="512"/>
      <c r="K24" s="512"/>
      <c r="L24" s="1773" t="s">
        <v>313</v>
      </c>
      <c r="M24" s="1774"/>
      <c r="N24" s="511" t="s">
        <v>314</v>
      </c>
      <c r="O24" s="506"/>
    </row>
    <row r="25" spans="1:15" x14ac:dyDescent="0.2">
      <c r="A25" s="1775"/>
      <c r="B25" s="510">
        <v>0</v>
      </c>
      <c r="C25" s="508">
        <v>140</v>
      </c>
      <c r="D25" s="514">
        <f>IF('1.Hoja_de_Cotización'!C43&gt;0,VLOOKUP('1.Hoja_de_Cotización'!C43,comb_serv_02,2,TRUE),0)</f>
        <v>0</v>
      </c>
      <c r="E25" s="509"/>
      <c r="F25" s="506"/>
      <c r="G25" s="510">
        <v>0</v>
      </c>
      <c r="H25" s="508">
        <v>250</v>
      </c>
      <c r="I25" s="514">
        <f>IF('1.Hoja_de_Cotización'!C44&gt;0,VLOOKUP('1.Hoja_de_Cotización'!C44,comb_serv_06,2,TRUE),0)</f>
        <v>0</v>
      </c>
      <c r="J25" s="509"/>
      <c r="K25" s="509"/>
      <c r="L25" s="510">
        <v>0</v>
      </c>
      <c r="M25" s="508">
        <v>140</v>
      </c>
      <c r="N25" s="514">
        <f>IF('1.Hoja_de_Cotización'!C44&gt;0,VLOOKUP('1.Hoja_de_Cotización'!C44,comb_serv_10,2,TRUE),0)</f>
        <v>0</v>
      </c>
      <c r="O25" s="506"/>
    </row>
    <row r="26" spans="1:15" x14ac:dyDescent="0.2">
      <c r="A26" s="1775"/>
      <c r="B26" s="510">
        <v>5001</v>
      </c>
      <c r="C26" s="508">
        <v>140</v>
      </c>
      <c r="D26" s="755"/>
      <c r="E26" s="509"/>
      <c r="F26" s="506"/>
      <c r="G26" s="510">
        <v>5001</v>
      </c>
      <c r="H26" s="508">
        <v>250</v>
      </c>
      <c r="I26" s="515"/>
      <c r="J26" s="509"/>
      <c r="K26" s="509"/>
      <c r="L26" s="510">
        <v>5001</v>
      </c>
      <c r="M26" s="508">
        <v>140</v>
      </c>
      <c r="N26" s="755"/>
      <c r="O26" s="506"/>
    </row>
    <row r="27" spans="1:15" x14ac:dyDescent="0.2">
      <c r="A27" s="1775"/>
      <c r="B27" s="510">
        <v>18001</v>
      </c>
      <c r="C27" s="508">
        <v>150</v>
      </c>
      <c r="D27" s="515"/>
      <c r="E27" s="509"/>
      <c r="F27" s="506"/>
      <c r="G27" s="518"/>
      <c r="H27" s="518"/>
      <c r="I27" s="509"/>
      <c r="J27" s="509"/>
      <c r="K27" s="509"/>
      <c r="L27" s="510">
        <v>18001</v>
      </c>
      <c r="M27" s="508">
        <v>150</v>
      </c>
      <c r="N27" s="515"/>
      <c r="O27" s="506"/>
    </row>
    <row r="28" spans="1:15" x14ac:dyDescent="0.2">
      <c r="A28" s="1775"/>
      <c r="B28" s="510">
        <v>25001</v>
      </c>
      <c r="C28" s="508">
        <v>160</v>
      </c>
      <c r="D28" s="515"/>
      <c r="E28" s="509"/>
      <c r="F28" s="506"/>
      <c r="G28" s="506"/>
      <c r="H28" s="506"/>
      <c r="I28" s="506"/>
      <c r="J28" s="509"/>
      <c r="K28" s="506"/>
      <c r="L28" s="510">
        <v>25001</v>
      </c>
      <c r="M28" s="508">
        <v>160</v>
      </c>
      <c r="N28" s="515"/>
      <c r="O28" s="506"/>
    </row>
    <row r="29" spans="1:15" x14ac:dyDescent="0.2">
      <c r="A29" s="1775"/>
      <c r="B29" s="510">
        <v>30001</v>
      </c>
      <c r="C29" s="508">
        <v>160</v>
      </c>
      <c r="D29" s="515"/>
      <c r="E29" s="509"/>
      <c r="F29" s="506"/>
      <c r="G29" s="506"/>
      <c r="H29" s="506"/>
      <c r="I29" s="506"/>
      <c r="J29" s="509"/>
      <c r="K29" s="506"/>
      <c r="L29" s="510">
        <v>30001</v>
      </c>
      <c r="M29" s="508">
        <v>160</v>
      </c>
      <c r="N29" s="515"/>
      <c r="O29" s="506"/>
    </row>
    <row r="30" spans="1:15" ht="41.25" customHeight="1" x14ac:dyDescent="0.2">
      <c r="A30" s="1775"/>
      <c r="B30" s="510">
        <v>40001</v>
      </c>
      <c r="C30" s="508">
        <v>210</v>
      </c>
      <c r="D30" s="515"/>
      <c r="E30" s="509"/>
      <c r="F30" s="506"/>
      <c r="G30" s="1773" t="s">
        <v>315</v>
      </c>
      <c r="H30" s="1774"/>
      <c r="I30" s="511" t="s">
        <v>316</v>
      </c>
      <c r="J30" s="509"/>
      <c r="K30" s="519"/>
      <c r="L30" s="510">
        <v>40001</v>
      </c>
      <c r="M30" s="508">
        <v>210</v>
      </c>
      <c r="N30" s="515"/>
      <c r="O30" s="506"/>
    </row>
    <row r="31" spans="1:15" x14ac:dyDescent="0.2">
      <c r="A31" s="1775"/>
      <c r="B31" s="510">
        <v>50001</v>
      </c>
      <c r="C31" s="508">
        <v>230</v>
      </c>
      <c r="D31" s="515"/>
      <c r="E31" s="509"/>
      <c r="F31" s="506"/>
      <c r="G31" s="510">
        <v>0</v>
      </c>
      <c r="H31" s="508">
        <v>400</v>
      </c>
      <c r="I31" s="514">
        <f>IF('1.Hoja_de_Cotización'!R7&lt;&gt;5,VLOOKUP('1.Hoja_de_Cotización'!C44,comb_serv_07,2,TRUE),VLOOKUP(Hoja_Cambio!C32,comb_serv_07,2,TRUE))</f>
        <v>400</v>
      </c>
      <c r="J31" s="509"/>
      <c r="K31" s="509"/>
      <c r="L31" s="510">
        <v>50001</v>
      </c>
      <c r="M31" s="508">
        <v>230</v>
      </c>
      <c r="N31" s="515"/>
      <c r="O31" s="506"/>
    </row>
    <row r="32" spans="1:15" x14ac:dyDescent="0.2">
      <c r="A32" s="1775"/>
      <c r="B32" s="510">
        <v>62501</v>
      </c>
      <c r="C32" s="508">
        <v>230</v>
      </c>
      <c r="D32" s="515"/>
      <c r="E32" s="509"/>
      <c r="F32" s="506"/>
      <c r="G32" s="510">
        <v>5001</v>
      </c>
      <c r="H32" s="508">
        <v>400</v>
      </c>
      <c r="I32" s="509"/>
      <c r="J32" s="509"/>
      <c r="K32" s="509"/>
      <c r="L32" s="510">
        <v>62501</v>
      </c>
      <c r="M32" s="508">
        <v>230</v>
      </c>
      <c r="N32" s="515"/>
      <c r="O32" s="506"/>
    </row>
    <row r="33" spans="1:15" x14ac:dyDescent="0.2">
      <c r="A33" s="1775"/>
      <c r="B33" s="510">
        <v>70001</v>
      </c>
      <c r="C33" s="508">
        <v>230</v>
      </c>
      <c r="D33" s="515"/>
      <c r="E33" s="509"/>
      <c r="F33" s="506"/>
      <c r="G33" s="510">
        <v>25001</v>
      </c>
      <c r="H33" s="508">
        <v>400</v>
      </c>
      <c r="I33" s="509"/>
      <c r="J33" s="509"/>
      <c r="K33" s="509"/>
      <c r="L33" s="510">
        <v>70001</v>
      </c>
      <c r="M33" s="508">
        <v>230</v>
      </c>
      <c r="N33" s="515"/>
      <c r="O33" s="506"/>
    </row>
    <row r="34" spans="1:15" x14ac:dyDescent="0.2">
      <c r="A34" s="1775"/>
      <c r="B34" s="510">
        <v>80001</v>
      </c>
      <c r="C34" s="508">
        <v>230</v>
      </c>
      <c r="D34" s="515"/>
      <c r="E34" s="509"/>
      <c r="F34" s="506"/>
      <c r="G34" s="510">
        <v>40001</v>
      </c>
      <c r="H34" s="508">
        <v>400</v>
      </c>
      <c r="I34" s="509"/>
      <c r="J34" s="509"/>
      <c r="K34" s="509"/>
      <c r="L34" s="510">
        <v>80001</v>
      </c>
      <c r="M34" s="508">
        <v>230</v>
      </c>
      <c r="N34" s="515"/>
      <c r="O34" s="506"/>
    </row>
    <row r="35" spans="1:15" x14ac:dyDescent="0.2">
      <c r="A35" s="1775"/>
      <c r="B35" s="510">
        <v>90001</v>
      </c>
      <c r="C35" s="508">
        <v>240</v>
      </c>
      <c r="D35" s="515"/>
      <c r="E35" s="509"/>
      <c r="F35" s="506"/>
      <c r="G35" s="510">
        <v>62501</v>
      </c>
      <c r="H35" s="508">
        <v>400</v>
      </c>
      <c r="I35" s="509"/>
      <c r="J35" s="509"/>
      <c r="K35" s="509"/>
      <c r="L35" s="510">
        <v>90001</v>
      </c>
      <c r="M35" s="508">
        <v>240</v>
      </c>
      <c r="N35" s="515"/>
      <c r="O35" s="506"/>
    </row>
    <row r="36" spans="1:15" x14ac:dyDescent="0.2">
      <c r="A36" s="1775"/>
      <c r="B36" s="510">
        <v>125001</v>
      </c>
      <c r="C36" s="508">
        <v>330</v>
      </c>
      <c r="D36" s="515"/>
      <c r="E36" s="509"/>
      <c r="F36" s="506"/>
      <c r="G36" s="510">
        <v>80001</v>
      </c>
      <c r="H36" s="508">
        <v>400</v>
      </c>
      <c r="I36" s="509"/>
      <c r="J36" s="509"/>
      <c r="K36" s="509"/>
      <c r="L36" s="516">
        <v>125001</v>
      </c>
      <c r="M36" s="508">
        <v>330</v>
      </c>
      <c r="N36" s="515"/>
      <c r="O36" s="506"/>
    </row>
    <row r="37" spans="1:15" x14ac:dyDescent="0.2">
      <c r="A37" s="1775"/>
      <c r="B37" s="510">
        <v>150001</v>
      </c>
      <c r="C37" s="508">
        <v>330</v>
      </c>
      <c r="D37" s="515"/>
      <c r="E37" s="509"/>
      <c r="F37" s="506"/>
      <c r="G37" s="510">
        <v>100001</v>
      </c>
      <c r="H37" s="508">
        <v>400</v>
      </c>
      <c r="I37" s="509"/>
      <c r="J37" s="509"/>
      <c r="K37" s="509"/>
      <c r="L37" s="516">
        <v>150001</v>
      </c>
      <c r="M37" s="508">
        <v>330</v>
      </c>
      <c r="N37" s="515"/>
      <c r="O37" s="506"/>
    </row>
    <row r="38" spans="1:15" x14ac:dyDescent="0.2">
      <c r="A38" s="1775"/>
      <c r="B38" s="510">
        <v>175001</v>
      </c>
      <c r="C38" s="508">
        <v>330</v>
      </c>
      <c r="D38" s="515"/>
      <c r="E38" s="509"/>
      <c r="F38" s="506"/>
      <c r="G38" s="510">
        <v>150001</v>
      </c>
      <c r="H38" s="508">
        <v>400</v>
      </c>
      <c r="I38" s="509"/>
      <c r="J38" s="509"/>
      <c r="K38" s="509"/>
      <c r="L38" s="516">
        <v>175001</v>
      </c>
      <c r="M38" s="508">
        <v>330</v>
      </c>
      <c r="N38" s="515"/>
      <c r="O38" s="506"/>
    </row>
    <row r="39" spans="1:15" x14ac:dyDescent="0.2">
      <c r="A39" s="1775"/>
      <c r="B39" s="510">
        <v>200001</v>
      </c>
      <c r="C39" s="508">
        <v>330</v>
      </c>
      <c r="D39" s="515"/>
      <c r="E39" s="509"/>
      <c r="F39" s="506"/>
      <c r="G39" s="510">
        <v>200001</v>
      </c>
      <c r="H39" s="508">
        <v>400</v>
      </c>
      <c r="I39" s="509"/>
      <c r="J39" s="509"/>
      <c r="K39" s="509"/>
      <c r="L39" s="516">
        <v>200001</v>
      </c>
      <c r="M39" s="508">
        <v>330</v>
      </c>
      <c r="N39" s="515"/>
      <c r="O39" s="506"/>
    </row>
    <row r="40" spans="1:15" x14ac:dyDescent="0.2">
      <c r="A40" s="1775"/>
      <c r="B40" s="510">
        <v>250001</v>
      </c>
      <c r="C40" s="508">
        <v>330</v>
      </c>
      <c r="D40" s="515"/>
      <c r="E40" s="509"/>
      <c r="F40" s="506"/>
      <c r="G40" s="510">
        <v>250001</v>
      </c>
      <c r="H40" s="508">
        <v>400</v>
      </c>
      <c r="I40" s="509"/>
      <c r="J40" s="509"/>
      <c r="K40" s="509"/>
      <c r="L40" s="516">
        <v>250001</v>
      </c>
      <c r="M40" s="508">
        <v>330</v>
      </c>
      <c r="N40" s="515"/>
      <c r="O40" s="506"/>
    </row>
    <row r="41" spans="1:15" x14ac:dyDescent="0.2">
      <c r="A41" s="1775"/>
      <c r="B41" s="510">
        <v>300001</v>
      </c>
      <c r="C41" s="508">
        <v>330</v>
      </c>
      <c r="D41" s="515"/>
      <c r="E41" s="509"/>
      <c r="F41" s="506"/>
      <c r="G41" s="510">
        <v>350001</v>
      </c>
      <c r="H41" s="508">
        <v>400</v>
      </c>
      <c r="I41" s="509"/>
      <c r="J41" s="509"/>
      <c r="K41" s="509"/>
      <c r="L41" s="516">
        <v>300001</v>
      </c>
      <c r="M41" s="508">
        <v>330</v>
      </c>
      <c r="N41" s="515"/>
      <c r="O41" s="506"/>
    </row>
    <row r="42" spans="1:15" x14ac:dyDescent="0.2">
      <c r="A42" s="1775"/>
      <c r="B42" s="510">
        <v>350001</v>
      </c>
      <c r="C42" s="508">
        <v>370</v>
      </c>
      <c r="D42" s="515"/>
      <c r="E42" s="509"/>
      <c r="F42" s="506"/>
      <c r="G42" s="506"/>
      <c r="H42" s="506"/>
      <c r="I42" s="506"/>
      <c r="J42" s="509"/>
      <c r="K42" s="506"/>
      <c r="L42" s="516">
        <v>350001</v>
      </c>
      <c r="M42" s="508">
        <v>370</v>
      </c>
      <c r="N42" s="515"/>
      <c r="O42" s="506"/>
    </row>
    <row r="43" spans="1:15" x14ac:dyDescent="0.2">
      <c r="A43" s="1775"/>
      <c r="B43" s="510">
        <v>451001</v>
      </c>
      <c r="C43" s="508">
        <v>370</v>
      </c>
      <c r="D43" s="515"/>
      <c r="E43" s="509"/>
      <c r="F43" s="506"/>
      <c r="G43" s="506"/>
      <c r="H43" s="506"/>
      <c r="I43" s="506"/>
      <c r="J43" s="509"/>
      <c r="K43" s="506"/>
      <c r="L43" s="516">
        <v>451000</v>
      </c>
      <c r="M43" s="508">
        <v>370</v>
      </c>
      <c r="N43" s="515"/>
      <c r="O43" s="506"/>
    </row>
    <row r="44" spans="1:15" x14ac:dyDescent="0.2">
      <c r="B44" s="506"/>
      <c r="C44" s="506"/>
      <c r="D44" s="506"/>
      <c r="E44" s="506"/>
      <c r="F44" s="506"/>
      <c r="G44" s="506"/>
      <c r="H44" s="506"/>
      <c r="I44" s="506"/>
      <c r="J44" s="506"/>
      <c r="K44" s="506"/>
      <c r="L44" s="506"/>
      <c r="M44" s="506"/>
      <c r="N44" s="506"/>
      <c r="O44" s="506"/>
    </row>
    <row r="45" spans="1:15" x14ac:dyDescent="0.2">
      <c r="B45" s="506"/>
      <c r="C45" s="506"/>
      <c r="D45" s="506"/>
      <c r="E45" s="506"/>
      <c r="F45" s="506"/>
      <c r="G45" s="506"/>
      <c r="H45" s="506"/>
      <c r="I45" s="506"/>
      <c r="J45" s="506"/>
      <c r="K45" s="506"/>
      <c r="L45" s="506"/>
      <c r="M45" s="506"/>
      <c r="N45" s="506"/>
      <c r="O45" s="506"/>
    </row>
    <row r="46" spans="1:15" x14ac:dyDescent="0.2">
      <c r="A46" s="1776" t="s">
        <v>337</v>
      </c>
      <c r="B46" s="1769" t="s">
        <v>317</v>
      </c>
      <c r="C46" s="1770"/>
      <c r="D46" s="511" t="s">
        <v>318</v>
      </c>
      <c r="E46" s="512"/>
      <c r="F46" s="506"/>
      <c r="G46" s="506"/>
      <c r="H46" s="506"/>
      <c r="I46" s="506"/>
      <c r="J46" s="512"/>
      <c r="K46" s="512"/>
      <c r="L46" s="506"/>
      <c r="M46" s="506"/>
      <c r="N46" s="506"/>
      <c r="O46" s="506"/>
    </row>
    <row r="47" spans="1:15" x14ac:dyDescent="0.2">
      <c r="A47" s="1777"/>
      <c r="B47" s="510">
        <v>0</v>
      </c>
      <c r="C47" s="508">
        <v>250</v>
      </c>
      <c r="D47" s="514">
        <f>IF('1.Hoja_de_Cotización'!C44&gt;0,VLOOKUP('1.Hoja_de_Cotización'!C44,comb_serv_03,2,TRUE),0)</f>
        <v>0</v>
      </c>
      <c r="E47" s="509"/>
      <c r="F47" s="506"/>
      <c r="G47" s="506"/>
      <c r="H47" s="506"/>
      <c r="I47" s="506"/>
      <c r="J47" s="509"/>
      <c r="K47" s="509"/>
      <c r="L47" s="506"/>
      <c r="M47" s="506"/>
      <c r="N47" s="506"/>
      <c r="O47" s="506"/>
    </row>
    <row r="48" spans="1:15" x14ac:dyDescent="0.2">
      <c r="A48" s="1777"/>
      <c r="B48" s="510">
        <v>21001</v>
      </c>
      <c r="C48" s="508">
        <v>250</v>
      </c>
      <c r="D48" s="515"/>
      <c r="E48" s="509"/>
      <c r="F48" s="506"/>
      <c r="G48" s="506"/>
      <c r="H48" s="506"/>
      <c r="I48" s="506"/>
      <c r="J48" s="509"/>
      <c r="K48" s="509"/>
      <c r="L48" s="506"/>
      <c r="M48" s="506"/>
      <c r="N48" s="506"/>
      <c r="O48" s="506"/>
    </row>
    <row r="49" spans="1:15" x14ac:dyDescent="0.2">
      <c r="A49" s="1777"/>
      <c r="B49" s="510">
        <v>70001</v>
      </c>
      <c r="C49" s="508">
        <v>250</v>
      </c>
      <c r="D49" s="515"/>
      <c r="E49" s="509"/>
      <c r="F49" s="506"/>
      <c r="G49" s="506"/>
      <c r="H49" s="506"/>
      <c r="I49" s="506"/>
      <c r="J49" s="509"/>
      <c r="K49" s="509"/>
      <c r="L49" s="506"/>
      <c r="M49" s="506"/>
      <c r="N49" s="506"/>
      <c r="O49" s="506"/>
    </row>
    <row r="50" spans="1:15" x14ac:dyDescent="0.2">
      <c r="A50" s="1777"/>
      <c r="B50" s="510">
        <v>90001</v>
      </c>
      <c r="C50" s="508">
        <v>250</v>
      </c>
      <c r="D50" s="515"/>
      <c r="E50" s="509"/>
      <c r="F50" s="506"/>
      <c r="G50" s="506"/>
      <c r="H50" s="506"/>
      <c r="I50" s="506"/>
      <c r="J50" s="509"/>
      <c r="K50" s="509"/>
      <c r="L50" s="506"/>
      <c r="M50" s="506"/>
      <c r="N50" s="506"/>
      <c r="O50" s="506"/>
    </row>
    <row r="51" spans="1:15" x14ac:dyDescent="0.2">
      <c r="A51" s="1777"/>
      <c r="B51" s="510">
        <v>125001</v>
      </c>
      <c r="C51" s="508">
        <v>250</v>
      </c>
      <c r="D51" s="515"/>
      <c r="E51" s="509"/>
      <c r="F51" s="506"/>
      <c r="G51" s="506"/>
      <c r="H51" s="506"/>
      <c r="I51" s="506"/>
      <c r="J51" s="509"/>
      <c r="K51" s="509"/>
      <c r="L51" s="506"/>
      <c r="M51" s="506"/>
      <c r="N51" s="506"/>
      <c r="O51" s="506"/>
    </row>
    <row r="52" spans="1:15" x14ac:dyDescent="0.2">
      <c r="A52" s="1777"/>
      <c r="B52" s="510">
        <v>175001</v>
      </c>
      <c r="C52" s="508">
        <v>250</v>
      </c>
      <c r="D52" s="515"/>
      <c r="E52" s="509"/>
      <c r="F52" s="506"/>
      <c r="G52" s="506"/>
      <c r="H52" s="506"/>
      <c r="I52" s="506"/>
      <c r="J52" s="509"/>
      <c r="K52" s="509"/>
      <c r="L52" s="506"/>
      <c r="M52" s="506"/>
      <c r="N52" s="506"/>
      <c r="O52" s="506"/>
    </row>
    <row r="53" spans="1:15" x14ac:dyDescent="0.2">
      <c r="A53" s="1777"/>
      <c r="B53" s="510">
        <v>200001</v>
      </c>
      <c r="C53" s="508">
        <v>250</v>
      </c>
      <c r="D53" s="515"/>
      <c r="E53" s="509"/>
      <c r="F53" s="506"/>
      <c r="G53" s="506"/>
      <c r="H53" s="506"/>
      <c r="I53" s="506"/>
      <c r="J53" s="509"/>
      <c r="K53" s="509"/>
      <c r="L53" s="506"/>
      <c r="M53" s="506"/>
      <c r="N53" s="506"/>
      <c r="O53" s="506"/>
    </row>
    <row r="54" spans="1:15" ht="25.5" customHeight="1" x14ac:dyDescent="0.2">
      <c r="A54" s="1777"/>
      <c r="B54" s="510">
        <v>250001</v>
      </c>
      <c r="C54" s="508">
        <v>250</v>
      </c>
      <c r="D54" s="515"/>
      <c r="E54" s="509"/>
      <c r="F54" s="506"/>
      <c r="G54" s="1771" t="s">
        <v>319</v>
      </c>
      <c r="H54" s="1772"/>
      <c r="I54" s="513" t="s">
        <v>320</v>
      </c>
      <c r="J54" s="509"/>
      <c r="K54" s="509"/>
      <c r="L54" s="506"/>
      <c r="M54" s="506"/>
      <c r="N54" s="506"/>
      <c r="O54" s="506"/>
    </row>
    <row r="55" spans="1:15" x14ac:dyDescent="0.2">
      <c r="A55" s="1777"/>
      <c r="B55" s="510">
        <v>300001</v>
      </c>
      <c r="C55" s="508">
        <v>250</v>
      </c>
      <c r="D55" s="515"/>
      <c r="E55" s="509"/>
      <c r="F55" s="506"/>
      <c r="G55" s="510">
        <v>0</v>
      </c>
      <c r="H55" s="508">
        <v>250</v>
      </c>
      <c r="I55" s="514">
        <f>IF('1.Hoja_de_Cotización'!C44&gt;0,VLOOKUP('1.Hoja_de_Cotización'!C44,comb_serv_08,2,TRUE),0)</f>
        <v>0</v>
      </c>
      <c r="J55" s="509"/>
      <c r="K55" s="509"/>
      <c r="L55" s="506"/>
      <c r="M55" s="506"/>
      <c r="N55" s="506"/>
      <c r="O55" s="506"/>
    </row>
    <row r="56" spans="1:15" x14ac:dyDescent="0.2">
      <c r="A56" s="1777"/>
      <c r="B56" s="510">
        <v>350001</v>
      </c>
      <c r="C56" s="508">
        <v>250</v>
      </c>
      <c r="D56" s="515"/>
      <c r="E56" s="509"/>
      <c r="F56" s="506"/>
      <c r="G56" s="510">
        <v>5001</v>
      </c>
      <c r="H56" s="508">
        <v>250</v>
      </c>
      <c r="I56" s="509"/>
      <c r="J56" s="509"/>
      <c r="K56" s="506"/>
      <c r="L56" s="506"/>
      <c r="M56" s="506"/>
      <c r="N56" s="506"/>
      <c r="O56" s="506"/>
    </row>
    <row r="57" spans="1:15" x14ac:dyDescent="0.2">
      <c r="A57" s="1778"/>
      <c r="B57" s="510">
        <v>450001</v>
      </c>
      <c r="C57" s="508">
        <v>250</v>
      </c>
      <c r="D57" s="515"/>
      <c r="E57" s="509"/>
      <c r="F57" s="506"/>
      <c r="G57" s="510">
        <v>18001</v>
      </c>
      <c r="H57" s="508">
        <v>250</v>
      </c>
      <c r="I57" s="509"/>
      <c r="J57" s="509"/>
      <c r="K57" s="506"/>
      <c r="L57" s="506"/>
      <c r="M57" s="506"/>
      <c r="N57" s="506"/>
      <c r="O57" s="506"/>
    </row>
    <row r="58" spans="1:15" x14ac:dyDescent="0.2">
      <c r="B58" s="506"/>
      <c r="C58" s="506"/>
      <c r="D58" s="506"/>
      <c r="E58" s="506"/>
      <c r="F58" s="506"/>
      <c r="G58" s="510">
        <v>25001</v>
      </c>
      <c r="H58" s="508">
        <v>250</v>
      </c>
      <c r="I58" s="509"/>
      <c r="J58" s="506"/>
      <c r="K58" s="506"/>
      <c r="L58" s="506"/>
      <c r="M58" s="506"/>
      <c r="N58" s="506"/>
      <c r="O58" s="506"/>
    </row>
    <row r="59" spans="1:15" x14ac:dyDescent="0.2">
      <c r="B59" s="506"/>
      <c r="C59" s="506"/>
      <c r="D59" s="506"/>
      <c r="E59" s="506"/>
      <c r="F59" s="506"/>
      <c r="G59" s="510">
        <v>30001</v>
      </c>
      <c r="H59" s="508">
        <v>250</v>
      </c>
      <c r="I59" s="509"/>
      <c r="J59" s="506"/>
      <c r="K59" s="506"/>
      <c r="L59" s="506"/>
      <c r="M59" s="506"/>
      <c r="N59" s="506"/>
      <c r="O59" s="506"/>
    </row>
    <row r="60" spans="1:15" x14ac:dyDescent="0.2">
      <c r="B60" s="506"/>
      <c r="C60" s="506"/>
      <c r="D60" s="506"/>
      <c r="E60" s="506"/>
      <c r="F60" s="506"/>
      <c r="G60" s="510">
        <v>40001</v>
      </c>
      <c r="H60" s="508">
        <v>300</v>
      </c>
      <c r="I60" s="509"/>
      <c r="J60" s="506"/>
      <c r="K60" s="506"/>
      <c r="L60" s="506"/>
      <c r="M60" s="506"/>
      <c r="N60" s="506"/>
      <c r="O60" s="506"/>
    </row>
    <row r="61" spans="1:15" x14ac:dyDescent="0.2">
      <c r="B61" s="506"/>
      <c r="C61" s="506"/>
      <c r="D61" s="506"/>
      <c r="E61" s="520"/>
      <c r="F61" s="506"/>
      <c r="G61" s="510">
        <v>50001</v>
      </c>
      <c r="H61" s="508">
        <v>300</v>
      </c>
      <c r="I61" s="509"/>
      <c r="J61" s="520"/>
      <c r="K61" s="506"/>
      <c r="L61" s="506"/>
      <c r="M61" s="506"/>
      <c r="N61" s="506"/>
      <c r="O61" s="506"/>
    </row>
    <row r="62" spans="1:15" x14ac:dyDescent="0.2">
      <c r="A62" s="1775" t="s">
        <v>338</v>
      </c>
      <c r="B62" s="1769" t="s">
        <v>321</v>
      </c>
      <c r="C62" s="1770"/>
      <c r="D62" s="511" t="s">
        <v>322</v>
      </c>
      <c r="E62" s="509"/>
      <c r="F62" s="506"/>
      <c r="G62" s="510">
        <v>62501</v>
      </c>
      <c r="H62" s="508">
        <v>350</v>
      </c>
      <c r="I62" s="509"/>
      <c r="J62" s="509"/>
      <c r="K62" s="506"/>
      <c r="L62" s="506"/>
      <c r="M62" s="506"/>
      <c r="N62" s="506"/>
      <c r="O62" s="506"/>
    </row>
    <row r="63" spans="1:15" x14ac:dyDescent="0.2">
      <c r="A63" s="1775"/>
      <c r="B63" s="510">
        <v>0</v>
      </c>
      <c r="C63" s="508">
        <v>250</v>
      </c>
      <c r="D63" s="514">
        <f>IF('1.Hoja_de_Cotización'!C44&gt;0,VLOOKUP('1.Hoja_de_Cotización'!C44,comb_serv_04,2,TRUE),0)</f>
        <v>0</v>
      </c>
      <c r="E63" s="509"/>
      <c r="F63" s="506"/>
      <c r="G63" s="510">
        <v>70001</v>
      </c>
      <c r="H63" s="508">
        <v>350</v>
      </c>
      <c r="I63" s="509"/>
      <c r="J63" s="509"/>
      <c r="K63" s="506"/>
      <c r="L63" s="506"/>
      <c r="M63" s="506"/>
      <c r="N63" s="506"/>
      <c r="O63" s="506"/>
    </row>
    <row r="64" spans="1:15" x14ac:dyDescent="0.2">
      <c r="A64" s="1775"/>
      <c r="B64" s="510">
        <v>5001</v>
      </c>
      <c r="C64" s="508">
        <v>250</v>
      </c>
      <c r="D64" s="515"/>
      <c r="E64" s="506"/>
      <c r="F64" s="506"/>
      <c r="G64" s="506"/>
      <c r="H64" s="506"/>
      <c r="I64" s="506"/>
      <c r="J64" s="506"/>
      <c r="K64" s="506"/>
      <c r="L64" s="506"/>
      <c r="M64" s="506"/>
      <c r="N64" s="506"/>
      <c r="O64" s="506"/>
    </row>
    <row r="65" spans="1:15" x14ac:dyDescent="0.2">
      <c r="A65" s="1775"/>
      <c r="B65" s="510">
        <v>18001</v>
      </c>
      <c r="C65" s="508">
        <v>250</v>
      </c>
      <c r="D65" s="515"/>
      <c r="E65" s="506"/>
      <c r="F65" s="506"/>
      <c r="G65" s="506"/>
      <c r="H65" s="506"/>
      <c r="I65" s="506"/>
      <c r="J65" s="506"/>
      <c r="K65" s="506"/>
      <c r="L65" s="506"/>
      <c r="M65" s="506"/>
      <c r="N65" s="506"/>
      <c r="O65" s="506"/>
    </row>
    <row r="66" spans="1:15" x14ac:dyDescent="0.2">
      <c r="A66" s="1775"/>
      <c r="B66" s="510">
        <v>25001</v>
      </c>
      <c r="C66" s="508">
        <v>250</v>
      </c>
      <c r="D66" s="515"/>
      <c r="E66" s="506"/>
      <c r="F66" s="506"/>
      <c r="G66" s="506"/>
      <c r="H66" s="506"/>
      <c r="I66" s="506"/>
      <c r="J66" s="506"/>
      <c r="K66" s="506"/>
      <c r="L66" s="506"/>
      <c r="M66" s="506"/>
      <c r="N66" s="506"/>
      <c r="O66" s="506"/>
    </row>
    <row r="67" spans="1:15" x14ac:dyDescent="0.2">
      <c r="A67" s="1775"/>
      <c r="B67" s="510">
        <v>30001</v>
      </c>
      <c r="C67" s="508">
        <v>250</v>
      </c>
      <c r="D67" s="515"/>
      <c r="E67" s="506"/>
      <c r="F67" s="506"/>
      <c r="G67" s="506"/>
      <c r="H67" s="506"/>
      <c r="I67" s="506"/>
      <c r="J67" s="506"/>
      <c r="K67" s="506"/>
      <c r="L67" s="506"/>
      <c r="M67" s="506"/>
      <c r="N67" s="506"/>
      <c r="O67" s="506"/>
    </row>
    <row r="68" spans="1:15" ht="15.75" customHeight="1" x14ac:dyDescent="0.2">
      <c r="A68" s="1775"/>
      <c r="B68" s="510">
        <v>40001</v>
      </c>
      <c r="C68" s="508">
        <v>300</v>
      </c>
      <c r="D68" s="515"/>
      <c r="E68" s="506"/>
      <c r="F68" s="506"/>
      <c r="G68" s="506"/>
      <c r="H68" s="506"/>
      <c r="I68" s="506"/>
      <c r="J68" s="506"/>
      <c r="K68" s="506"/>
      <c r="L68" s="506"/>
      <c r="M68" s="506"/>
      <c r="N68" s="506"/>
      <c r="O68" s="506"/>
    </row>
    <row r="69" spans="1:15" ht="26.25" customHeight="1" x14ac:dyDescent="0.3">
      <c r="A69" s="1775"/>
      <c r="B69" s="510">
        <v>50001</v>
      </c>
      <c r="C69" s="508">
        <v>300</v>
      </c>
      <c r="D69" s="515"/>
      <c r="E69" s="521"/>
      <c r="F69" s="506"/>
      <c r="G69" s="1779" t="s">
        <v>323</v>
      </c>
      <c r="H69" s="1779"/>
      <c r="I69" s="522" t="s">
        <v>324</v>
      </c>
      <c r="J69" s="521"/>
      <c r="K69" s="521"/>
      <c r="L69" s="506"/>
      <c r="M69" s="506"/>
      <c r="N69" s="506"/>
      <c r="O69" s="506"/>
    </row>
    <row r="70" spans="1:15" x14ac:dyDescent="0.2">
      <c r="A70" s="1775"/>
      <c r="B70" s="510">
        <v>62501</v>
      </c>
      <c r="C70" s="508">
        <v>350</v>
      </c>
      <c r="D70" s="515"/>
      <c r="E70" s="509"/>
      <c r="F70" s="506"/>
      <c r="G70" s="510">
        <v>0</v>
      </c>
      <c r="H70" s="523">
        <v>70</v>
      </c>
      <c r="I70" s="524">
        <f>IF('1.Hoja_de_Cotización'!C44&gt;0,VLOOKUP('1.Hoja_de_Cotización'!C44,comb_serv_11,2,TRUE),0)</f>
        <v>0</v>
      </c>
      <c r="J70" s="509"/>
      <c r="K70" s="509"/>
      <c r="L70" s="506"/>
      <c r="M70" s="506"/>
      <c r="N70" s="506"/>
      <c r="O70" s="506"/>
    </row>
    <row r="71" spans="1:15" x14ac:dyDescent="0.2">
      <c r="A71" s="1775"/>
      <c r="B71" s="510">
        <v>70001</v>
      </c>
      <c r="C71" s="508">
        <v>350</v>
      </c>
      <c r="D71" s="515"/>
      <c r="E71" s="509"/>
      <c r="F71" s="506"/>
      <c r="G71" s="510">
        <v>5001</v>
      </c>
      <c r="H71" s="523">
        <v>70</v>
      </c>
      <c r="I71" s="515"/>
      <c r="J71" s="509"/>
      <c r="K71" s="509"/>
      <c r="L71" s="506"/>
      <c r="M71" s="506"/>
      <c r="N71" s="506"/>
      <c r="O71" s="506"/>
    </row>
    <row r="72" spans="1:15" x14ac:dyDescent="0.2">
      <c r="B72" s="518"/>
      <c r="C72" s="518"/>
      <c r="D72" s="509"/>
      <c r="E72" s="509"/>
      <c r="F72" s="506"/>
      <c r="G72" s="510">
        <v>25001</v>
      </c>
      <c r="H72" s="523">
        <v>100</v>
      </c>
      <c r="I72" s="515"/>
      <c r="J72" s="509"/>
      <c r="K72" s="509"/>
      <c r="L72" s="506"/>
      <c r="M72" s="506"/>
      <c r="N72" s="506"/>
      <c r="O72" s="506"/>
    </row>
    <row r="73" spans="1:15" x14ac:dyDescent="0.2">
      <c r="B73" s="509"/>
      <c r="C73" s="509"/>
      <c r="D73" s="509"/>
      <c r="E73" s="509"/>
      <c r="F73" s="506"/>
      <c r="G73" s="510">
        <v>40001</v>
      </c>
      <c r="H73" s="523">
        <v>140</v>
      </c>
      <c r="I73" s="515"/>
      <c r="J73" s="509"/>
      <c r="K73" s="509"/>
      <c r="L73" s="506"/>
      <c r="M73" s="506"/>
      <c r="N73" s="506"/>
      <c r="O73" s="506"/>
    </row>
    <row r="74" spans="1:15" x14ac:dyDescent="0.2">
      <c r="B74" s="509"/>
      <c r="C74" s="509"/>
      <c r="D74" s="509"/>
      <c r="E74" s="509"/>
      <c r="F74" s="506"/>
      <c r="G74" s="510">
        <v>62501</v>
      </c>
      <c r="H74" s="523">
        <v>140</v>
      </c>
      <c r="I74" s="515"/>
      <c r="J74" s="509"/>
      <c r="K74" s="509"/>
      <c r="L74" s="506"/>
      <c r="M74" s="506"/>
      <c r="N74" s="506"/>
      <c r="O74" s="506"/>
    </row>
    <row r="75" spans="1:15" x14ac:dyDescent="0.2">
      <c r="B75" s="506"/>
      <c r="C75" s="506"/>
      <c r="D75" s="506"/>
      <c r="E75" s="506"/>
      <c r="F75" s="506"/>
      <c r="G75" s="510">
        <v>80001</v>
      </c>
      <c r="H75" s="523">
        <v>140</v>
      </c>
      <c r="I75" s="515"/>
      <c r="J75" s="506"/>
      <c r="K75" s="509"/>
      <c r="L75" s="506"/>
      <c r="M75" s="506"/>
      <c r="N75" s="506"/>
      <c r="O75" s="506"/>
    </row>
    <row r="76" spans="1:15" x14ac:dyDescent="0.2">
      <c r="B76" s="1769" t="s">
        <v>29</v>
      </c>
      <c r="C76" s="1770"/>
      <c r="D76" s="511" t="s">
        <v>325</v>
      </c>
      <c r="E76" s="506"/>
      <c r="F76" s="506"/>
      <c r="G76" s="510">
        <v>100001</v>
      </c>
      <c r="H76" s="523">
        <v>140</v>
      </c>
      <c r="I76" s="515"/>
      <c r="J76" s="506"/>
      <c r="K76" s="509"/>
      <c r="L76" s="506"/>
      <c r="M76" s="506"/>
      <c r="N76" s="506"/>
      <c r="O76" s="506"/>
    </row>
    <row r="77" spans="1:15" x14ac:dyDescent="0.2">
      <c r="B77" s="510">
        <v>0</v>
      </c>
      <c r="C77" s="508">
        <v>150</v>
      </c>
      <c r="D77" s="514">
        <f>IF('1.Hoja_de_Cotización'!C44&gt;0,VLOOKUP('1.Hoja_de_Cotización'!C44,comb_serv_14,2,TRUE),0)</f>
        <v>0</v>
      </c>
      <c r="E77" s="506"/>
      <c r="F77" s="506"/>
      <c r="G77" s="510">
        <v>150001</v>
      </c>
      <c r="H77" s="523">
        <v>150</v>
      </c>
      <c r="I77" s="515"/>
      <c r="J77" s="506"/>
      <c r="K77" s="509"/>
      <c r="L77" s="506"/>
      <c r="M77" s="506"/>
      <c r="N77" s="506"/>
      <c r="O77" s="506"/>
    </row>
    <row r="78" spans="1:15" x14ac:dyDescent="0.2">
      <c r="B78" s="510">
        <v>5001</v>
      </c>
      <c r="C78" s="508">
        <v>150</v>
      </c>
      <c r="D78" s="515"/>
      <c r="E78" s="506"/>
      <c r="F78" s="506"/>
      <c r="G78" s="510">
        <v>200001</v>
      </c>
      <c r="H78" s="523">
        <v>150</v>
      </c>
      <c r="I78" s="515"/>
      <c r="J78" s="506"/>
      <c r="K78" s="509"/>
      <c r="L78" s="506"/>
      <c r="M78" s="506"/>
      <c r="N78" s="506"/>
      <c r="O78" s="506"/>
    </row>
    <row r="79" spans="1:15" x14ac:dyDescent="0.2">
      <c r="B79" s="510">
        <v>25001</v>
      </c>
      <c r="C79" s="508">
        <v>150</v>
      </c>
      <c r="D79" s="515"/>
      <c r="E79" s="506"/>
      <c r="F79" s="506"/>
      <c r="G79" s="510">
        <v>250001</v>
      </c>
      <c r="H79" s="523">
        <v>170</v>
      </c>
      <c r="I79" s="515"/>
      <c r="J79" s="506"/>
      <c r="K79" s="509"/>
      <c r="L79" s="506"/>
      <c r="M79" s="506"/>
      <c r="N79" s="506"/>
      <c r="O79" s="506"/>
    </row>
    <row r="80" spans="1:15" x14ac:dyDescent="0.2">
      <c r="B80" s="510">
        <v>40001</v>
      </c>
      <c r="C80" s="508">
        <v>150</v>
      </c>
      <c r="D80" s="515"/>
      <c r="E80" s="506"/>
      <c r="F80" s="506"/>
      <c r="G80" s="510">
        <v>350001</v>
      </c>
      <c r="H80" s="523">
        <v>170</v>
      </c>
      <c r="I80" s="515"/>
      <c r="J80" s="506"/>
      <c r="K80" s="509"/>
      <c r="L80" s="506"/>
      <c r="M80" s="506"/>
      <c r="N80" s="506"/>
      <c r="O80" s="506"/>
    </row>
    <row r="81" spans="2:15" x14ac:dyDescent="0.2">
      <c r="B81" s="510">
        <v>62501</v>
      </c>
      <c r="C81" s="508">
        <v>150</v>
      </c>
      <c r="D81" s="515"/>
      <c r="E81" s="506"/>
      <c r="F81" s="506"/>
      <c r="G81" s="506"/>
      <c r="H81" s="506"/>
      <c r="I81" s="506"/>
      <c r="J81" s="506"/>
      <c r="K81" s="506"/>
      <c r="L81" s="506"/>
      <c r="M81" s="506"/>
      <c r="N81" s="506"/>
      <c r="O81" s="506"/>
    </row>
    <row r="82" spans="2:15" ht="15" x14ac:dyDescent="0.3">
      <c r="B82" s="510">
        <v>80001</v>
      </c>
      <c r="C82" s="508">
        <v>150</v>
      </c>
      <c r="D82" s="515"/>
      <c r="E82" s="506"/>
      <c r="F82" s="506"/>
      <c r="G82" s="1780" t="s">
        <v>326</v>
      </c>
      <c r="H82" s="1781"/>
      <c r="I82" s="525" t="s">
        <v>327</v>
      </c>
      <c r="J82" s="506"/>
      <c r="K82" s="506"/>
      <c r="L82" s="506"/>
      <c r="M82" s="506"/>
      <c r="N82" s="506"/>
      <c r="O82" s="506"/>
    </row>
    <row r="83" spans="2:15" x14ac:dyDescent="0.2">
      <c r="B83" s="510">
        <v>100001</v>
      </c>
      <c r="C83" s="508">
        <v>150</v>
      </c>
      <c r="D83" s="515"/>
      <c r="E83" s="506"/>
      <c r="F83" s="506"/>
      <c r="G83" s="510">
        <v>0</v>
      </c>
      <c r="H83" s="523">
        <v>75</v>
      </c>
      <c r="I83" s="524">
        <f>IF('1.Hoja_de_Cotización'!C44&gt;0,VLOOKUP('1.Hoja_de_Cotización'!C44,comb_serv_12,2,TRUE),0)</f>
        <v>0</v>
      </c>
      <c r="J83" s="506"/>
      <c r="K83" s="506"/>
      <c r="L83" s="506"/>
      <c r="M83" s="506"/>
      <c r="N83" s="506"/>
      <c r="O83" s="506"/>
    </row>
    <row r="84" spans="2:15" x14ac:dyDescent="0.2">
      <c r="B84" s="510">
        <v>150001</v>
      </c>
      <c r="C84" s="508">
        <v>150</v>
      </c>
      <c r="D84" s="515"/>
      <c r="E84" s="506"/>
      <c r="F84" s="506"/>
      <c r="G84" s="510">
        <v>5000</v>
      </c>
      <c r="H84" s="523">
        <v>75</v>
      </c>
      <c r="I84" s="515"/>
      <c r="J84" s="506"/>
      <c r="K84" s="506"/>
      <c r="L84" s="506"/>
      <c r="M84" s="506"/>
      <c r="N84" s="506"/>
      <c r="O84" s="506"/>
    </row>
    <row r="85" spans="2:15" x14ac:dyDescent="0.2">
      <c r="B85" s="510">
        <v>200001</v>
      </c>
      <c r="C85" s="508">
        <v>150</v>
      </c>
      <c r="D85" s="515"/>
      <c r="E85" s="512"/>
      <c r="F85" s="506"/>
      <c r="G85" s="510">
        <v>25001</v>
      </c>
      <c r="H85" s="523">
        <v>75</v>
      </c>
      <c r="I85" s="515"/>
      <c r="J85" s="512"/>
      <c r="K85" s="506"/>
      <c r="L85" s="506"/>
      <c r="M85" s="506"/>
      <c r="N85" s="506"/>
      <c r="O85" s="506"/>
    </row>
    <row r="86" spans="2:15" ht="15" customHeight="1" x14ac:dyDescent="0.2">
      <c r="B86" s="510">
        <v>250001</v>
      </c>
      <c r="C86" s="508">
        <v>150</v>
      </c>
      <c r="D86" s="515"/>
      <c r="E86" s="509"/>
      <c r="F86" s="506"/>
      <c r="G86" s="510">
        <v>40001</v>
      </c>
      <c r="H86" s="523">
        <v>75</v>
      </c>
      <c r="I86" s="515"/>
      <c r="J86" s="509"/>
      <c r="K86" s="506"/>
      <c r="L86" s="506"/>
      <c r="M86" s="506"/>
      <c r="N86" s="506"/>
      <c r="O86" s="506"/>
    </row>
    <row r="87" spans="2:15" x14ac:dyDescent="0.2">
      <c r="B87" s="510">
        <v>350001</v>
      </c>
      <c r="C87" s="508">
        <v>150</v>
      </c>
      <c r="D87" s="515"/>
      <c r="E87" s="509"/>
      <c r="F87" s="506"/>
      <c r="G87" s="510">
        <v>62501</v>
      </c>
      <c r="H87" s="523">
        <v>75</v>
      </c>
      <c r="I87" s="515"/>
      <c r="J87" s="509"/>
      <c r="K87" s="506"/>
      <c r="L87" s="506"/>
      <c r="M87" s="506"/>
      <c r="N87" s="506"/>
      <c r="O87" s="506"/>
    </row>
    <row r="88" spans="2:15" x14ac:dyDescent="0.2">
      <c r="B88" s="509"/>
      <c r="C88" s="509"/>
      <c r="D88" s="509"/>
      <c r="E88" s="509"/>
      <c r="F88" s="506"/>
      <c r="G88" s="506"/>
      <c r="H88" s="506"/>
      <c r="I88" s="506"/>
      <c r="J88" s="509"/>
      <c r="K88" s="506"/>
      <c r="L88" s="506"/>
      <c r="M88" s="506"/>
      <c r="N88" s="506"/>
      <c r="O88" s="506"/>
    </row>
    <row r="89" spans="2:15" x14ac:dyDescent="0.2">
      <c r="B89" s="509"/>
      <c r="C89" s="509"/>
      <c r="D89" s="509"/>
      <c r="E89" s="509"/>
      <c r="F89" s="506"/>
      <c r="G89" s="506"/>
      <c r="H89" s="506"/>
      <c r="I89" s="506"/>
      <c r="J89" s="509"/>
      <c r="K89" s="506"/>
      <c r="L89" s="506"/>
      <c r="M89" s="506"/>
      <c r="N89" s="506"/>
      <c r="O89" s="506"/>
    </row>
    <row r="90" spans="2:15" x14ac:dyDescent="0.2">
      <c r="B90" s="509"/>
      <c r="C90" s="509"/>
      <c r="D90" s="509"/>
      <c r="E90" s="509"/>
      <c r="F90" s="506"/>
      <c r="G90" s="506"/>
      <c r="H90" s="506"/>
      <c r="I90" s="506"/>
      <c r="J90" s="509"/>
      <c r="K90" s="506"/>
      <c r="L90" s="506"/>
      <c r="M90" s="506"/>
      <c r="N90" s="506"/>
      <c r="O90" s="506"/>
    </row>
    <row r="91" spans="2:15" ht="15" customHeight="1" x14ac:dyDescent="0.3">
      <c r="B91" s="506"/>
      <c r="C91" s="506"/>
      <c r="D91" s="506"/>
      <c r="E91" s="506"/>
      <c r="F91" s="506"/>
      <c r="G91" s="1780" t="s">
        <v>328</v>
      </c>
      <c r="H91" s="1781"/>
      <c r="I91" s="525" t="s">
        <v>329</v>
      </c>
      <c r="J91" s="506"/>
      <c r="K91" s="506"/>
      <c r="L91" s="506"/>
      <c r="M91" s="506"/>
      <c r="N91" s="506"/>
      <c r="O91" s="506"/>
    </row>
    <row r="92" spans="2:15" x14ac:dyDescent="0.2">
      <c r="B92" s="506"/>
      <c r="C92" s="506"/>
      <c r="D92" s="506"/>
      <c r="E92" s="506"/>
      <c r="F92" s="506"/>
      <c r="G92" s="510">
        <v>5000</v>
      </c>
      <c r="H92" s="523">
        <v>500</v>
      </c>
      <c r="I92" s="524">
        <f>IF('1.Hoja_de_Cotización'!C44&gt;0,VLOOKUP('1.Hoja_de_Cotización'!C44,comb_serv_13,2,TRUE),0)</f>
        <v>0</v>
      </c>
      <c r="J92" s="506"/>
      <c r="K92" s="506"/>
      <c r="L92" s="506"/>
      <c r="M92" s="506"/>
      <c r="N92" s="506"/>
      <c r="O92" s="506"/>
    </row>
    <row r="93" spans="2:15" ht="12.75" customHeight="1" x14ac:dyDescent="0.2">
      <c r="B93" s="1782" t="s">
        <v>330</v>
      </c>
      <c r="C93" s="1783"/>
      <c r="D93" s="525">
        <v>15</v>
      </c>
      <c r="E93" s="506"/>
      <c r="F93" s="506"/>
      <c r="G93" s="510">
        <v>25001</v>
      </c>
      <c r="H93" s="523">
        <v>500</v>
      </c>
      <c r="I93" s="506"/>
      <c r="J93" s="506"/>
      <c r="K93" s="506"/>
      <c r="L93" s="506"/>
      <c r="M93" s="506"/>
      <c r="N93" s="506"/>
      <c r="O93" s="506"/>
    </row>
    <row r="94" spans="2:15" x14ac:dyDescent="0.2">
      <c r="B94" s="510">
        <v>0</v>
      </c>
      <c r="C94" s="508">
        <v>0</v>
      </c>
      <c r="D94" s="514">
        <f>IF('1.Hoja_de_Cotización'!C44&gt;0,VLOOKUP('1.Hoja_de_Cotización'!C44,comb_serv_15,2,TRUE),0)</f>
        <v>0</v>
      </c>
      <c r="E94" s="506"/>
      <c r="F94" s="506"/>
      <c r="G94" s="510">
        <v>40001</v>
      </c>
      <c r="H94" s="523">
        <v>500</v>
      </c>
      <c r="I94" s="506"/>
      <c r="J94" s="506"/>
      <c r="K94" s="506"/>
      <c r="L94" s="506"/>
      <c r="M94" s="506"/>
      <c r="N94" s="506"/>
      <c r="O94" s="506"/>
    </row>
    <row r="95" spans="2:15" x14ac:dyDescent="0.2">
      <c r="B95" s="510">
        <v>350001</v>
      </c>
      <c r="C95" s="508">
        <v>0</v>
      </c>
      <c r="D95" s="515"/>
      <c r="E95" s="506"/>
      <c r="F95" s="506"/>
      <c r="G95" s="510">
        <v>62501</v>
      </c>
      <c r="H95" s="523">
        <v>500</v>
      </c>
      <c r="I95" s="506"/>
      <c r="J95" s="506"/>
      <c r="K95" s="506"/>
      <c r="L95" s="506"/>
      <c r="M95" s="506"/>
      <c r="N95" s="506"/>
      <c r="O95" s="506"/>
    </row>
    <row r="96" spans="2:15" x14ac:dyDescent="0.2">
      <c r="B96" s="506"/>
      <c r="C96" s="526"/>
      <c r="D96" s="509"/>
      <c r="E96" s="506"/>
      <c r="F96" s="506"/>
      <c r="G96" s="510">
        <v>80001</v>
      </c>
      <c r="H96" s="523">
        <v>500</v>
      </c>
      <c r="I96" s="506"/>
      <c r="J96" s="506"/>
      <c r="K96" s="506"/>
      <c r="L96" s="506"/>
      <c r="M96" s="506"/>
      <c r="N96" s="506"/>
      <c r="O96" s="506"/>
    </row>
    <row r="97" spans="2:15" x14ac:dyDescent="0.2">
      <c r="B97" s="506"/>
      <c r="C97" s="506"/>
      <c r="D97" s="506"/>
      <c r="E97" s="506"/>
      <c r="F97" s="506"/>
      <c r="G97" s="510">
        <v>100001</v>
      </c>
      <c r="H97" s="523">
        <v>500</v>
      </c>
      <c r="I97" s="506"/>
      <c r="J97" s="506"/>
      <c r="K97" s="506"/>
      <c r="L97" s="506"/>
      <c r="M97" s="506"/>
      <c r="N97" s="506"/>
      <c r="O97" s="506"/>
    </row>
    <row r="98" spans="2:15" x14ac:dyDescent="0.2">
      <c r="B98" s="506"/>
      <c r="C98" s="506"/>
      <c r="D98" s="506"/>
      <c r="E98" s="506"/>
      <c r="F98" s="506"/>
      <c r="G98" s="510">
        <v>150001</v>
      </c>
      <c r="H98" s="523">
        <v>500</v>
      </c>
      <c r="I98" s="506"/>
      <c r="J98" s="506"/>
      <c r="K98" s="506"/>
      <c r="L98" s="506"/>
      <c r="M98" s="506"/>
      <c r="N98" s="506"/>
      <c r="O98" s="506"/>
    </row>
    <row r="99" spans="2:15" x14ac:dyDescent="0.2">
      <c r="B99" s="506"/>
      <c r="C99" s="506"/>
      <c r="D99" s="506"/>
      <c r="E99" s="506"/>
      <c r="F99" s="506"/>
      <c r="G99" s="510">
        <v>200001</v>
      </c>
      <c r="H99" s="523">
        <v>500</v>
      </c>
      <c r="I99" s="506"/>
      <c r="J99" s="506"/>
      <c r="K99" s="506"/>
      <c r="L99" s="506"/>
      <c r="M99" s="506"/>
      <c r="N99" s="506"/>
      <c r="O99" s="506"/>
    </row>
    <row r="100" spans="2:15" x14ac:dyDescent="0.2">
      <c r="B100" s="506"/>
      <c r="C100" s="506"/>
      <c r="D100" s="506"/>
      <c r="E100" s="506"/>
      <c r="F100" s="506"/>
      <c r="G100" s="510">
        <v>250001</v>
      </c>
      <c r="H100" s="523">
        <v>500</v>
      </c>
      <c r="I100" s="506"/>
      <c r="J100" s="506"/>
      <c r="K100" s="506"/>
      <c r="L100" s="506"/>
      <c r="M100" s="506"/>
      <c r="N100" s="506"/>
      <c r="O100" s="506"/>
    </row>
    <row r="101" spans="2:15" x14ac:dyDescent="0.2">
      <c r="B101" s="506"/>
      <c r="C101" s="506"/>
      <c r="D101" s="506"/>
      <c r="E101" s="506"/>
      <c r="F101" s="506"/>
      <c r="G101" s="510">
        <v>350001</v>
      </c>
      <c r="H101" s="523">
        <v>500</v>
      </c>
      <c r="I101" s="506"/>
      <c r="J101" s="506"/>
      <c r="K101" s="506"/>
      <c r="L101" s="506"/>
      <c r="M101" s="506"/>
      <c r="N101" s="506"/>
      <c r="O101" s="506"/>
    </row>
    <row r="102" spans="2:15" x14ac:dyDescent="0.2">
      <c r="B102" s="506"/>
      <c r="C102" s="506"/>
      <c r="D102" s="506"/>
      <c r="E102" s="506"/>
      <c r="F102" s="506"/>
      <c r="G102" s="506"/>
      <c r="H102" s="506"/>
      <c r="I102" s="506"/>
      <c r="J102" s="506"/>
      <c r="K102" s="506"/>
      <c r="L102" s="506"/>
      <c r="M102" s="506"/>
      <c r="N102" s="506"/>
      <c r="O102" s="506"/>
    </row>
    <row r="103" spans="2:15" x14ac:dyDescent="0.2">
      <c r="B103" s="506"/>
      <c r="C103" s="506"/>
      <c r="D103" s="506"/>
      <c r="E103" s="506"/>
      <c r="F103" s="506"/>
      <c r="G103" s="506"/>
      <c r="H103" s="506"/>
      <c r="I103" s="506"/>
      <c r="J103" s="506"/>
      <c r="K103" s="506"/>
      <c r="L103" s="506"/>
      <c r="M103" s="506"/>
      <c r="N103" s="506"/>
      <c r="O103" s="506"/>
    </row>
    <row r="104" spans="2:15" x14ac:dyDescent="0.2">
      <c r="B104" s="506"/>
      <c r="C104" s="506"/>
      <c r="D104" s="506"/>
      <c r="E104" s="506"/>
      <c r="F104" s="506"/>
      <c r="G104" s="506"/>
      <c r="H104" s="506"/>
      <c r="I104" s="506"/>
      <c r="J104" s="506"/>
      <c r="K104" s="506"/>
      <c r="L104" s="506"/>
      <c r="M104" s="506"/>
      <c r="N104" s="506"/>
      <c r="O104" s="506"/>
    </row>
    <row r="105" spans="2:15" x14ac:dyDescent="0.2">
      <c r="B105" s="506"/>
      <c r="C105" s="506"/>
      <c r="D105" s="506"/>
      <c r="E105" s="506"/>
      <c r="F105" s="506"/>
      <c r="G105" s="506"/>
      <c r="H105" s="506"/>
      <c r="I105" s="506"/>
      <c r="J105" s="506"/>
      <c r="K105" s="506"/>
      <c r="L105" s="506"/>
      <c r="M105" s="506"/>
      <c r="N105" s="506"/>
      <c r="O105" s="506"/>
    </row>
    <row r="106" spans="2:15" x14ac:dyDescent="0.2">
      <c r="B106" s="506"/>
      <c r="C106" s="506"/>
      <c r="D106" s="506"/>
      <c r="E106" s="506"/>
      <c r="F106" s="506"/>
      <c r="G106" s="506"/>
      <c r="H106" s="506"/>
      <c r="I106" s="506"/>
      <c r="J106" s="506"/>
      <c r="K106" s="506"/>
      <c r="L106" s="506"/>
      <c r="M106" s="506"/>
      <c r="N106" s="506"/>
      <c r="O106" s="506"/>
    </row>
    <row r="107" spans="2:15" x14ac:dyDescent="0.2">
      <c r="B107" s="506"/>
      <c r="C107" s="506"/>
      <c r="D107" s="506"/>
      <c r="E107" s="506"/>
      <c r="F107" s="506"/>
      <c r="G107" s="506"/>
      <c r="H107" s="506"/>
      <c r="I107" s="506"/>
      <c r="J107" s="506"/>
      <c r="K107" s="506"/>
      <c r="L107" s="506"/>
      <c r="M107" s="506"/>
      <c r="N107" s="506"/>
      <c r="O107" s="506"/>
    </row>
    <row r="108" spans="2:15" x14ac:dyDescent="0.2">
      <c r="B108" s="506"/>
      <c r="C108" s="506"/>
      <c r="D108" s="506"/>
      <c r="E108" s="506"/>
      <c r="F108" s="506"/>
      <c r="G108" s="506"/>
      <c r="H108" s="506"/>
      <c r="I108" s="506"/>
      <c r="J108" s="506"/>
      <c r="K108" s="506"/>
      <c r="L108" s="506"/>
      <c r="M108" s="506"/>
      <c r="N108" s="506"/>
      <c r="O108" s="506"/>
    </row>
    <row r="109" spans="2:15" x14ac:dyDescent="0.2">
      <c r="B109" s="506"/>
      <c r="C109" s="506"/>
      <c r="D109" s="506"/>
      <c r="E109" s="506"/>
      <c r="F109" s="506"/>
      <c r="G109" s="506"/>
      <c r="H109" s="506"/>
      <c r="I109" s="506"/>
      <c r="J109" s="506"/>
      <c r="K109" s="506"/>
      <c r="L109" s="506"/>
      <c r="M109" s="506"/>
      <c r="N109" s="506"/>
      <c r="O109" s="506"/>
    </row>
    <row r="110" spans="2:15" x14ac:dyDescent="0.2">
      <c r="B110" s="506"/>
      <c r="C110" s="506"/>
      <c r="D110" s="506"/>
      <c r="E110" s="506"/>
      <c r="F110" s="506"/>
      <c r="G110" s="506"/>
      <c r="J110" s="506"/>
      <c r="K110" s="506"/>
    </row>
    <row r="111" spans="2:15" x14ac:dyDescent="0.2">
      <c r="E111" s="506"/>
      <c r="J111" s="506"/>
      <c r="K111" s="506"/>
    </row>
    <row r="112" spans="2:15" x14ac:dyDescent="0.2">
      <c r="E112" s="506"/>
      <c r="J112" s="506"/>
      <c r="K112" s="506"/>
    </row>
    <row r="113" spans="5:11" x14ac:dyDescent="0.2">
      <c r="E113" s="506"/>
      <c r="J113" s="506"/>
      <c r="K113" s="506"/>
    </row>
    <row r="114" spans="5:11" x14ac:dyDescent="0.2">
      <c r="E114" s="506"/>
      <c r="J114" s="506"/>
      <c r="K114" s="506"/>
    </row>
    <row r="115" spans="5:11" x14ac:dyDescent="0.2">
      <c r="E115" s="506"/>
      <c r="J115" s="506"/>
      <c r="K115" s="506"/>
    </row>
    <row r="116" spans="5:11" x14ac:dyDescent="0.2">
      <c r="E116" s="506"/>
      <c r="J116" s="506"/>
      <c r="K116" s="506"/>
    </row>
    <row r="117" spans="5:11" x14ac:dyDescent="0.2">
      <c r="E117" s="506"/>
      <c r="J117" s="506"/>
    </row>
    <row r="118" spans="5:11" x14ac:dyDescent="0.2">
      <c r="E118" s="506"/>
      <c r="J118" s="506"/>
    </row>
    <row r="119" spans="5:11" x14ac:dyDescent="0.2">
      <c r="E119" s="506"/>
      <c r="J119" s="506"/>
    </row>
    <row r="120" spans="5:11" x14ac:dyDescent="0.2">
      <c r="E120" s="506"/>
      <c r="J120" s="506"/>
    </row>
    <row r="121" spans="5:11" x14ac:dyDescent="0.2">
      <c r="E121" s="506"/>
      <c r="J121" s="506"/>
    </row>
    <row r="122" spans="5:11" x14ac:dyDescent="0.2">
      <c r="E122" s="506"/>
      <c r="J122" s="506"/>
    </row>
    <row r="123" spans="5:11" x14ac:dyDescent="0.2">
      <c r="E123" s="506"/>
      <c r="J123" s="506"/>
    </row>
    <row r="124" spans="5:11" x14ac:dyDescent="0.2">
      <c r="E124" s="506"/>
      <c r="J124" s="506"/>
    </row>
    <row r="125" spans="5:11" x14ac:dyDescent="0.2">
      <c r="E125" s="506"/>
      <c r="J125" s="506"/>
    </row>
    <row r="126" spans="5:11" x14ac:dyDescent="0.2">
      <c r="E126" s="506"/>
      <c r="J126" s="506"/>
    </row>
    <row r="127" spans="5:11" x14ac:dyDescent="0.2">
      <c r="E127" s="506"/>
      <c r="J127" s="506"/>
    </row>
    <row r="128" spans="5:11" x14ac:dyDescent="0.2">
      <c r="E128" s="506"/>
      <c r="J128" s="506"/>
    </row>
    <row r="129" spans="5:10" x14ac:dyDescent="0.2">
      <c r="E129" s="506"/>
      <c r="J129" s="506"/>
    </row>
    <row r="130" spans="5:10" x14ac:dyDescent="0.2">
      <c r="E130" s="506"/>
      <c r="J130" s="506"/>
    </row>
    <row r="131" spans="5:10" x14ac:dyDescent="0.2">
      <c r="E131" s="506"/>
      <c r="J131" s="506"/>
    </row>
    <row r="132" spans="5:10" x14ac:dyDescent="0.2">
      <c r="E132" s="506"/>
      <c r="J132" s="506"/>
    </row>
    <row r="133" spans="5:10" x14ac:dyDescent="0.2">
      <c r="E133" s="506"/>
      <c r="J133" s="506"/>
    </row>
    <row r="134" spans="5:10" x14ac:dyDescent="0.2">
      <c r="E134" s="506"/>
      <c r="J134" s="506"/>
    </row>
    <row r="135" spans="5:10" x14ac:dyDescent="0.2">
      <c r="E135" s="506"/>
      <c r="J135" s="506"/>
    </row>
    <row r="136" spans="5:10" x14ac:dyDescent="0.2">
      <c r="E136" s="506"/>
      <c r="J136" s="506"/>
    </row>
    <row r="137" spans="5:10" x14ac:dyDescent="0.2">
      <c r="E137" s="506"/>
      <c r="J137" s="506"/>
    </row>
    <row r="138" spans="5:10" x14ac:dyDescent="0.2">
      <c r="E138" s="506"/>
      <c r="J138" s="506"/>
    </row>
    <row r="139" spans="5:10" x14ac:dyDescent="0.2">
      <c r="E139" s="506"/>
      <c r="J139" s="506"/>
    </row>
    <row r="140" spans="5:10" x14ac:dyDescent="0.2">
      <c r="E140" s="506"/>
      <c r="J140" s="506"/>
    </row>
    <row r="141" spans="5:10" x14ac:dyDescent="0.2">
      <c r="E141" s="506"/>
      <c r="J141" s="506"/>
    </row>
    <row r="142" spans="5:10" x14ac:dyDescent="0.2">
      <c r="E142" s="506"/>
      <c r="J142" s="506"/>
    </row>
    <row r="143" spans="5:10" x14ac:dyDescent="0.2">
      <c r="E143" s="506"/>
      <c r="J143" s="506"/>
    </row>
    <row r="144" spans="5:10" x14ac:dyDescent="0.2">
      <c r="E144" s="506"/>
      <c r="J144" s="506"/>
    </row>
    <row r="145" spans="5:10" x14ac:dyDescent="0.2">
      <c r="E145" s="506"/>
      <c r="J145" s="506"/>
    </row>
    <row r="146" spans="5:10" x14ac:dyDescent="0.2">
      <c r="E146" s="506"/>
      <c r="J146" s="506"/>
    </row>
    <row r="147" spans="5:10" x14ac:dyDescent="0.2">
      <c r="E147" s="506"/>
      <c r="J147" s="506"/>
    </row>
    <row r="148" spans="5:10" x14ac:dyDescent="0.2">
      <c r="E148" s="506"/>
      <c r="J148" s="506"/>
    </row>
    <row r="149" spans="5:10" x14ac:dyDescent="0.2">
      <c r="E149" s="506"/>
      <c r="J149" s="506"/>
    </row>
    <row r="150" spans="5:10" x14ac:dyDescent="0.2">
      <c r="E150" s="506"/>
      <c r="J150" s="506"/>
    </row>
    <row r="151" spans="5:10" x14ac:dyDescent="0.2">
      <c r="E151" s="506"/>
      <c r="J151" s="506"/>
    </row>
    <row r="152" spans="5:10" x14ac:dyDescent="0.2">
      <c r="E152" s="506"/>
      <c r="J152" s="506"/>
    </row>
    <row r="153" spans="5:10" x14ac:dyDescent="0.2">
      <c r="E153" s="506"/>
      <c r="J153" s="506"/>
    </row>
    <row r="154" spans="5:10" x14ac:dyDescent="0.2">
      <c r="E154" s="506"/>
      <c r="J154" s="506"/>
    </row>
    <row r="155" spans="5:10" x14ac:dyDescent="0.2">
      <c r="E155" s="506"/>
      <c r="J155" s="506"/>
    </row>
    <row r="156" spans="5:10" x14ac:dyDescent="0.2">
      <c r="E156" s="506"/>
      <c r="J156" s="506"/>
    </row>
    <row r="157" spans="5:10" x14ac:dyDescent="0.2">
      <c r="E157" s="506"/>
      <c r="J157" s="506"/>
    </row>
    <row r="158" spans="5:10" x14ac:dyDescent="0.2">
      <c r="E158" s="506"/>
      <c r="J158" s="506"/>
    </row>
    <row r="159" spans="5:10" x14ac:dyDescent="0.2">
      <c r="E159" s="506"/>
      <c r="J159" s="506"/>
    </row>
    <row r="160" spans="5:10" x14ac:dyDescent="0.2">
      <c r="E160" s="506"/>
      <c r="J160" s="506"/>
    </row>
    <row r="161" spans="5:10" x14ac:dyDescent="0.2">
      <c r="E161" s="506"/>
      <c r="J161" s="506"/>
    </row>
    <row r="162" spans="5:10" x14ac:dyDescent="0.2">
      <c r="E162" s="506"/>
      <c r="J162" s="506"/>
    </row>
    <row r="163" spans="5:10" x14ac:dyDescent="0.2">
      <c r="E163" s="506"/>
      <c r="J163" s="506"/>
    </row>
    <row r="164" spans="5:10" x14ac:dyDescent="0.2">
      <c r="E164" s="506"/>
      <c r="J164" s="506"/>
    </row>
    <row r="165" spans="5:10" x14ac:dyDescent="0.2">
      <c r="E165" s="506"/>
      <c r="J165" s="506"/>
    </row>
    <row r="166" spans="5:10" x14ac:dyDescent="0.2">
      <c r="E166" s="506"/>
      <c r="J166" s="506"/>
    </row>
    <row r="167" spans="5:10" x14ac:dyDescent="0.2">
      <c r="E167" s="506"/>
      <c r="J167" s="506"/>
    </row>
    <row r="168" spans="5:10" x14ac:dyDescent="0.2">
      <c r="E168" s="506"/>
      <c r="J168" s="506"/>
    </row>
    <row r="169" spans="5:10" x14ac:dyDescent="0.2">
      <c r="E169" s="506"/>
      <c r="J169" s="506"/>
    </row>
    <row r="170" spans="5:10" x14ac:dyDescent="0.2">
      <c r="E170" s="506"/>
      <c r="J170" s="506"/>
    </row>
    <row r="171" spans="5:10" x14ac:dyDescent="0.2">
      <c r="E171" s="506"/>
      <c r="J171" s="506"/>
    </row>
    <row r="172" spans="5:10" x14ac:dyDescent="0.2">
      <c r="E172" s="506"/>
      <c r="J172" s="506"/>
    </row>
    <row r="173" spans="5:10" x14ac:dyDescent="0.2">
      <c r="E173" s="506"/>
      <c r="J173" s="506"/>
    </row>
    <row r="174" spans="5:10" x14ac:dyDescent="0.2">
      <c r="E174" s="506"/>
      <c r="J174" s="506"/>
    </row>
    <row r="175" spans="5:10" x14ac:dyDescent="0.2">
      <c r="E175" s="506"/>
      <c r="J175" s="506"/>
    </row>
    <row r="176" spans="5:10" x14ac:dyDescent="0.2">
      <c r="E176" s="506"/>
      <c r="J176" s="506"/>
    </row>
    <row r="177" spans="5:10" x14ac:dyDescent="0.2">
      <c r="E177" s="506"/>
      <c r="J177" s="506"/>
    </row>
    <row r="178" spans="5:10" x14ac:dyDescent="0.2">
      <c r="E178" s="506"/>
      <c r="J178" s="506"/>
    </row>
    <row r="179" spans="5:10" x14ac:dyDescent="0.2">
      <c r="E179" s="506"/>
      <c r="J179" s="506"/>
    </row>
    <row r="180" spans="5:10" x14ac:dyDescent="0.2">
      <c r="E180" s="506"/>
      <c r="J180" s="506"/>
    </row>
    <row r="181" spans="5:10" x14ac:dyDescent="0.2">
      <c r="E181" s="506"/>
      <c r="J181" s="506"/>
    </row>
  </sheetData>
  <mergeCells count="21">
    <mergeCell ref="G82:H82"/>
    <mergeCell ref="G91:H91"/>
    <mergeCell ref="B93:C93"/>
    <mergeCell ref="F2:F20"/>
    <mergeCell ref="K2:K20"/>
    <mergeCell ref="B76:C76"/>
    <mergeCell ref="A2:A20"/>
    <mergeCell ref="A24:A43"/>
    <mergeCell ref="A46:A57"/>
    <mergeCell ref="A62:A71"/>
    <mergeCell ref="G30:H30"/>
    <mergeCell ref="B46:C46"/>
    <mergeCell ref="G54:H54"/>
    <mergeCell ref="B62:C62"/>
    <mergeCell ref="G69:H69"/>
    <mergeCell ref="B1:C1"/>
    <mergeCell ref="G1:H1"/>
    <mergeCell ref="L1:M1"/>
    <mergeCell ref="B24:C24"/>
    <mergeCell ref="G24:H24"/>
    <mergeCell ref="L24:M24"/>
  </mergeCells>
  <pageMargins left="0.70866141732283472" right="0.70866141732283472" top="0.74803149606299213" bottom="0.74803149606299213" header="0.31496062992125984" footer="0.31496062992125984"/>
  <pageSetup scale="8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B26"/>
  <sheetViews>
    <sheetView topLeftCell="A9" workbookViewId="0">
      <selection activeCell="A16" sqref="A16"/>
    </sheetView>
  </sheetViews>
  <sheetFormatPr baseColWidth="10" defaultColWidth="11.42578125" defaultRowHeight="12.75" x14ac:dyDescent="0.2"/>
  <cols>
    <col min="1" max="16384" width="11.42578125" style="1"/>
  </cols>
  <sheetData>
    <row r="1" spans="1:2" ht="15" x14ac:dyDescent="0.25">
      <c r="A1" s="1784" t="s">
        <v>395</v>
      </c>
      <c r="B1" s="1785"/>
    </row>
    <row r="2" spans="1:2" x14ac:dyDescent="0.2">
      <c r="A2" s="503"/>
      <c r="B2" s="503"/>
    </row>
    <row r="3" spans="1:2" x14ac:dyDescent="0.2">
      <c r="A3" s="1769" t="s">
        <v>303</v>
      </c>
      <c r="B3" s="1770"/>
    </row>
    <row r="4" spans="1:2" x14ac:dyDescent="0.2">
      <c r="A4" s="504" t="s">
        <v>396</v>
      </c>
      <c r="B4" s="504">
        <v>200</v>
      </c>
    </row>
    <row r="5" spans="1:2" x14ac:dyDescent="0.2">
      <c r="A5" s="503"/>
      <c r="B5" s="503"/>
    </row>
    <row r="6" spans="1:2" x14ac:dyDescent="0.2">
      <c r="A6" s="1769" t="s">
        <v>309</v>
      </c>
      <c r="B6" s="1770"/>
    </row>
    <row r="7" spans="1:2" x14ac:dyDescent="0.2">
      <c r="A7" s="504" t="s">
        <v>396</v>
      </c>
      <c r="B7" s="505">
        <v>75</v>
      </c>
    </row>
    <row r="8" spans="1:2" x14ac:dyDescent="0.2">
      <c r="A8" s="506"/>
      <c r="B8" s="507"/>
    </row>
    <row r="9" spans="1:2" x14ac:dyDescent="0.2">
      <c r="A9" s="1769" t="s">
        <v>400</v>
      </c>
      <c r="B9" s="1770"/>
    </row>
    <row r="10" spans="1:2" x14ac:dyDescent="0.2">
      <c r="A10" s="504" t="s">
        <v>396</v>
      </c>
      <c r="B10" s="508">
        <v>200</v>
      </c>
    </row>
    <row r="11" spans="1:2" x14ac:dyDescent="0.2">
      <c r="A11" s="506"/>
      <c r="B11" s="507"/>
    </row>
    <row r="12" spans="1:2" x14ac:dyDescent="0.2">
      <c r="A12" s="1769" t="s">
        <v>311</v>
      </c>
      <c r="B12" s="1770"/>
    </row>
    <row r="13" spans="1:2" x14ac:dyDescent="0.2">
      <c r="A13" s="504" t="s">
        <v>396</v>
      </c>
      <c r="B13" s="505">
        <v>200</v>
      </c>
    </row>
    <row r="14" spans="1:2" x14ac:dyDescent="0.2">
      <c r="A14" s="506"/>
      <c r="B14" s="507"/>
    </row>
    <row r="15" spans="1:2" x14ac:dyDescent="0.2">
      <c r="A15" s="1769" t="s">
        <v>317</v>
      </c>
      <c r="B15" s="1770"/>
    </row>
    <row r="16" spans="1:2" x14ac:dyDescent="0.2">
      <c r="A16" s="504" t="s">
        <v>396</v>
      </c>
      <c r="B16" s="508">
        <v>200</v>
      </c>
    </row>
    <row r="17" spans="1:2" x14ac:dyDescent="0.2">
      <c r="A17" s="506"/>
      <c r="B17" s="507"/>
    </row>
    <row r="18" spans="1:2" x14ac:dyDescent="0.2">
      <c r="A18" s="506"/>
      <c r="B18" s="506"/>
    </row>
    <row r="19" spans="1:2" x14ac:dyDescent="0.2">
      <c r="A19" s="1769" t="s">
        <v>397</v>
      </c>
      <c r="B19" s="1770"/>
    </row>
    <row r="20" spans="1:2" x14ac:dyDescent="0.2">
      <c r="A20" s="504" t="s">
        <v>396</v>
      </c>
      <c r="B20" s="508"/>
    </row>
    <row r="21" spans="1:2" x14ac:dyDescent="0.2">
      <c r="A21" s="509"/>
      <c r="B21" s="509"/>
    </row>
    <row r="22" spans="1:2" x14ac:dyDescent="0.2">
      <c r="A22" s="1769" t="s">
        <v>398</v>
      </c>
      <c r="B22" s="1770"/>
    </row>
    <row r="23" spans="1:2" x14ac:dyDescent="0.2">
      <c r="A23" s="510">
        <v>0</v>
      </c>
      <c r="B23" s="508">
        <v>75</v>
      </c>
    </row>
    <row r="24" spans="1:2" x14ac:dyDescent="0.2">
      <c r="A24" s="509"/>
      <c r="B24" s="509"/>
    </row>
    <row r="25" spans="1:2" x14ac:dyDescent="0.2">
      <c r="A25" s="1773" t="s">
        <v>315</v>
      </c>
      <c r="B25" s="1774"/>
    </row>
    <row r="26" spans="1:2" x14ac:dyDescent="0.2">
      <c r="A26" s="504" t="s">
        <v>396</v>
      </c>
      <c r="B26" s="508">
        <v>200</v>
      </c>
    </row>
  </sheetData>
  <sheetProtection algorithmName="SHA-512" hashValue="Ozlih+TiZBzh7kDyBqJsrYNqVzcQoK7/7dvTwLtnjVh80QaLBIP+gu/kmMpk5+OSdOyQ8+bg6baMqwFRgKtPSQ==" saltValue="TKapzNRbPy0hlvEkhN7Ssg==" spinCount="100000" sheet="1" objects="1" scenarios="1"/>
  <mergeCells count="9">
    <mergeCell ref="A19:B19"/>
    <mergeCell ref="A22:B22"/>
    <mergeCell ref="A25:B25"/>
    <mergeCell ref="A1:B1"/>
    <mergeCell ref="A3:B3"/>
    <mergeCell ref="A6:B6"/>
    <mergeCell ref="A9:B9"/>
    <mergeCell ref="A12:B12"/>
    <mergeCell ref="A15:B1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2"/>
  <dimension ref="A1:CS153"/>
  <sheetViews>
    <sheetView showGridLines="0" topLeftCell="E28" zoomScaleNormal="100" workbookViewId="0">
      <selection activeCell="AZ11" sqref="AZ11:AZ25"/>
    </sheetView>
  </sheetViews>
  <sheetFormatPr baseColWidth="10" defaultRowHeight="15" x14ac:dyDescent="0.25"/>
  <cols>
    <col min="1" max="1" width="20.42578125" customWidth="1"/>
    <col min="2" max="2" width="21.28515625" customWidth="1"/>
    <col min="3" max="3" width="22.85546875" customWidth="1"/>
    <col min="7" max="8" width="16.28515625" customWidth="1"/>
    <col min="9" max="9" width="4.7109375" customWidth="1"/>
    <col min="10" max="10" width="20.140625" style="1132" customWidth="1"/>
    <col min="11" max="11" width="19" style="1132" customWidth="1"/>
    <col min="12" max="12" width="24.7109375" customWidth="1"/>
    <col min="13" max="13" width="19.5703125" customWidth="1"/>
    <col min="14" max="14" width="12.85546875" style="1132" customWidth="1"/>
    <col min="15" max="15" width="34.42578125" customWidth="1"/>
    <col min="16" max="16" width="25.7109375" customWidth="1"/>
    <col min="17" max="17" width="11.85546875" customWidth="1"/>
    <col min="18" max="18" width="14.5703125" customWidth="1"/>
    <col min="19" max="19" width="5.85546875" customWidth="1"/>
    <col min="20" max="20" width="31.28515625" customWidth="1"/>
    <col min="21" max="21" width="20.5703125" style="1132" bestFit="1" customWidth="1"/>
    <col min="22" max="22" width="12.140625" customWidth="1"/>
    <col min="23" max="23" width="28.5703125" bestFit="1" customWidth="1"/>
    <col min="24" max="24" width="21.28515625" customWidth="1"/>
    <col min="25" max="27" width="13.85546875" customWidth="1"/>
    <col min="28" max="28" width="11" customWidth="1"/>
    <col min="29" max="29" width="4.140625" customWidth="1"/>
    <col min="30" max="30" width="23.5703125" bestFit="1" customWidth="1"/>
    <col min="31" max="31" width="24.28515625" customWidth="1"/>
    <col min="32" max="32" width="16.5703125" customWidth="1"/>
    <col min="33" max="33" width="13.7109375" customWidth="1"/>
    <col min="34" max="35" width="12.140625" customWidth="1"/>
    <col min="36" max="36" width="4.7109375" customWidth="1"/>
    <col min="37" max="37" width="21" customWidth="1"/>
    <col min="38" max="38" width="21.5703125" bestFit="1" customWidth="1"/>
    <col min="39" max="39" width="18.85546875" customWidth="1"/>
    <col min="40" max="40" width="18.5703125" customWidth="1"/>
    <col min="41" max="42" width="14" customWidth="1"/>
    <col min="45" max="45" width="4.7109375" customWidth="1"/>
    <col min="46" max="46" width="21.85546875" customWidth="1"/>
    <col min="47" max="47" width="20" style="1132" customWidth="1"/>
    <col min="48" max="48" width="14.7109375" customWidth="1"/>
    <col min="49" max="49" width="31.42578125" customWidth="1"/>
    <col min="50" max="50" width="16.7109375" bestFit="1" customWidth="1"/>
    <col min="51" max="51" width="17.28515625" customWidth="1"/>
    <col min="52" max="52" width="12.5703125" style="1132" customWidth="1"/>
    <col min="53" max="53" width="13" customWidth="1"/>
    <col min="54" max="54" width="15.140625" customWidth="1"/>
    <col min="55" max="55" width="9.140625" customWidth="1"/>
    <col min="56" max="56" width="6.140625" customWidth="1"/>
    <col min="57" max="57" width="20.42578125" style="1132" customWidth="1"/>
    <col min="58" max="58" width="15.7109375" bestFit="1" customWidth="1"/>
    <col min="59" max="59" width="14.140625" customWidth="1"/>
    <col min="60" max="60" width="19.28515625" customWidth="1"/>
    <col min="61" max="61" width="24.85546875" customWidth="1"/>
    <col min="62" max="62" width="21.42578125" customWidth="1"/>
    <col min="64" max="64" width="15.28515625" customWidth="1"/>
    <col min="65" max="65" width="13.42578125" customWidth="1"/>
    <col min="68" max="68" width="4.7109375" customWidth="1"/>
    <col min="69" max="69" width="28" customWidth="1"/>
    <col min="70" max="71" width="19" customWidth="1"/>
    <col min="73" max="73" width="18.5703125" customWidth="1"/>
    <col min="74" max="74" width="12" customWidth="1"/>
    <col min="77" max="77" width="4.7109375" customWidth="1"/>
    <col min="78" max="78" width="23.5703125" bestFit="1" customWidth="1"/>
    <col min="81" max="81" width="16.5703125" customWidth="1"/>
    <col min="84" max="84" width="4.7109375" customWidth="1"/>
    <col min="85" max="85" width="23.5703125" bestFit="1" customWidth="1"/>
    <col min="86" max="86" width="10.140625" customWidth="1"/>
    <col min="88" max="88" width="15.85546875" customWidth="1"/>
    <col min="91" max="91" width="8" customWidth="1"/>
    <col min="93" max="93" width="33.7109375" bestFit="1" customWidth="1"/>
    <col min="94" max="94" width="29.85546875" customWidth="1"/>
  </cols>
  <sheetData>
    <row r="1" spans="1:97" ht="18.75" x14ac:dyDescent="0.3">
      <c r="A1" s="1991" t="s">
        <v>2093</v>
      </c>
      <c r="B1" s="1991"/>
      <c r="C1" s="1991"/>
      <c r="D1" s="1991"/>
      <c r="E1" s="1991"/>
      <c r="F1" s="1991"/>
      <c r="G1" s="1991"/>
      <c r="H1" s="1991"/>
      <c r="I1" s="1991"/>
      <c r="J1" s="1310"/>
      <c r="K1" s="1310"/>
      <c r="L1" s="1372"/>
      <c r="M1" s="1372"/>
      <c r="N1" s="1310"/>
      <c r="O1" s="1372"/>
      <c r="P1" s="1372"/>
      <c r="Q1" s="1372"/>
      <c r="R1" s="1991"/>
      <c r="S1" s="1991"/>
      <c r="T1" s="1991"/>
      <c r="U1" s="1991"/>
      <c r="V1" s="1991" t="s">
        <v>2093</v>
      </c>
      <c r="W1" s="1991"/>
      <c r="X1" s="1991"/>
      <c r="Y1" s="1991"/>
      <c r="Z1" s="1991"/>
      <c r="AA1" s="1991"/>
      <c r="AB1" s="1991"/>
      <c r="AC1" s="1991"/>
      <c r="AD1" s="1991"/>
      <c r="AE1" s="1991"/>
      <c r="AF1" s="1991"/>
      <c r="AG1" s="1991" t="s">
        <v>2093</v>
      </c>
      <c r="AH1" s="1991"/>
      <c r="AI1" s="1991"/>
      <c r="AJ1" s="1991"/>
      <c r="AK1" s="1991"/>
      <c r="AL1" s="1991"/>
      <c r="AM1" s="1991"/>
      <c r="AN1" s="1991"/>
      <c r="AO1" s="1991"/>
      <c r="AP1" s="1991"/>
      <c r="AQ1" s="1991"/>
      <c r="AR1" s="1991" t="s">
        <v>2093</v>
      </c>
      <c r="AS1" s="1991"/>
      <c r="AT1" s="1372"/>
      <c r="AU1" s="1310"/>
      <c r="AV1" s="1372"/>
      <c r="AW1" s="1372"/>
      <c r="AX1" s="1372"/>
      <c r="AY1" s="1372"/>
      <c r="AZ1" s="1310"/>
      <c r="BA1" s="1372"/>
      <c r="BB1" s="1372"/>
      <c r="BC1" s="1372"/>
      <c r="BD1" s="1991"/>
      <c r="BE1" s="1991"/>
      <c r="BF1" s="1991"/>
      <c r="BG1" s="1991"/>
      <c r="BH1" s="1991"/>
      <c r="BI1" s="1991"/>
      <c r="BJ1" s="1991"/>
      <c r="BK1" s="1991"/>
      <c r="BL1" s="1991"/>
      <c r="BM1" s="1372"/>
      <c r="BN1" s="1991"/>
      <c r="BO1" s="1991"/>
      <c r="BP1" s="1991"/>
      <c r="BQ1" s="1991"/>
      <c r="BR1" s="1991"/>
      <c r="BS1" s="1991"/>
      <c r="BT1" s="1991"/>
      <c r="BU1" s="1991" t="s">
        <v>2093</v>
      </c>
      <c r="BV1" s="1991"/>
      <c r="BW1" s="1991"/>
      <c r="BX1" s="1991"/>
      <c r="BY1" s="1991"/>
      <c r="BZ1" s="1991"/>
      <c r="CA1" s="1991"/>
      <c r="CB1" s="1991"/>
      <c r="CC1" s="1991"/>
      <c r="CD1" s="1991"/>
      <c r="CE1" s="1991"/>
      <c r="CF1" s="1991" t="s">
        <v>2093</v>
      </c>
      <c r="CG1" s="1991"/>
      <c r="CH1" s="1991"/>
      <c r="CI1" s="1991"/>
      <c r="CJ1" s="1991"/>
      <c r="CK1" s="1991"/>
      <c r="CL1" s="1991"/>
      <c r="CM1" s="1991"/>
      <c r="CN1" s="1372"/>
      <c r="CO1" s="1991"/>
      <c r="CP1" s="1991"/>
      <c r="CQ1" s="1183"/>
    </row>
    <row r="2" spans="1:97" ht="15.75" thickBot="1" x14ac:dyDescent="0.3">
      <c r="A2" s="1225" t="s">
        <v>2480</v>
      </c>
      <c r="S2" s="1123"/>
    </row>
    <row r="3" spans="1:97" ht="16.5" thickBot="1" x14ac:dyDescent="0.3">
      <c r="A3" s="1909" t="s">
        <v>2094</v>
      </c>
      <c r="B3" s="1910"/>
      <c r="C3" s="1910"/>
      <c r="D3" s="1910"/>
      <c r="E3" s="1910"/>
      <c r="F3" s="1910"/>
      <c r="G3" s="1910"/>
      <c r="H3" s="1911"/>
      <c r="J3" s="1828" t="s">
        <v>2095</v>
      </c>
      <c r="K3" s="1828"/>
      <c r="L3" s="1828"/>
      <c r="M3" s="1828"/>
      <c r="N3" s="1828"/>
      <c r="O3" s="1828"/>
      <c r="P3" s="1828"/>
      <c r="Q3" s="1828"/>
      <c r="R3" s="1828"/>
      <c r="S3" s="1128"/>
      <c r="T3" s="1855" t="s">
        <v>2096</v>
      </c>
      <c r="U3" s="1855"/>
      <c r="V3" s="1855"/>
      <c r="W3" s="1855"/>
      <c r="X3" s="1855"/>
      <c r="Y3" s="1855"/>
      <c r="Z3" s="1855"/>
      <c r="AA3" s="1855"/>
      <c r="AB3" s="1855"/>
      <c r="AC3" s="1231"/>
      <c r="AD3" s="1912" t="s">
        <v>16</v>
      </c>
      <c r="AE3" s="1913"/>
      <c r="AF3" s="1913"/>
      <c r="AG3" s="1913"/>
      <c r="AH3" s="1913"/>
      <c r="AI3" s="1914"/>
      <c r="AJ3" s="1098"/>
      <c r="AK3" s="1886" t="s">
        <v>2097</v>
      </c>
      <c r="AL3" s="1887"/>
      <c r="AM3" s="1887"/>
      <c r="AN3" s="1887"/>
      <c r="AO3" s="1887"/>
      <c r="AP3" s="1887"/>
      <c r="AQ3" s="1887"/>
      <c r="AR3" s="1888"/>
      <c r="AS3" s="1098"/>
      <c r="AT3" s="1836" t="s">
        <v>1066</v>
      </c>
      <c r="AU3" s="1836"/>
      <c r="AV3" s="1836"/>
      <c r="AW3" s="1836"/>
      <c r="AX3" s="1836"/>
      <c r="AY3" s="1836"/>
      <c r="AZ3" s="1836"/>
      <c r="BA3" s="1836"/>
      <c r="BB3" s="1836"/>
      <c r="BC3" s="1836"/>
      <c r="BE3" s="1879" t="s">
        <v>1089</v>
      </c>
      <c r="BF3" s="1880"/>
      <c r="BG3" s="1880"/>
      <c r="BH3" s="1880"/>
      <c r="BI3" s="1880"/>
      <c r="BJ3" s="1880"/>
      <c r="BK3" s="1880"/>
      <c r="BL3" s="1880"/>
      <c r="BM3" s="1880"/>
      <c r="BN3" s="1880"/>
      <c r="BO3" s="1881"/>
      <c r="BQ3" s="1872" t="s">
        <v>1700</v>
      </c>
      <c r="BR3" s="1872"/>
      <c r="BS3" s="1872"/>
      <c r="BT3" s="1872"/>
      <c r="BU3" s="1872"/>
      <c r="BV3" s="1872"/>
      <c r="BW3" s="1872"/>
      <c r="BX3" s="1872"/>
      <c r="BZ3" s="1979" t="s">
        <v>1123</v>
      </c>
      <c r="CA3" s="1980"/>
      <c r="CB3" s="1980"/>
      <c r="CC3" s="1980"/>
      <c r="CD3" s="1980"/>
      <c r="CE3" s="1981"/>
      <c r="CG3" s="1982" t="s">
        <v>1701</v>
      </c>
      <c r="CH3" s="1983"/>
      <c r="CI3" s="1983"/>
      <c r="CJ3" s="1983"/>
      <c r="CK3" s="1983"/>
      <c r="CL3" s="1984"/>
      <c r="CO3" s="1992" t="s">
        <v>2212</v>
      </c>
      <c r="CP3" s="1993"/>
      <c r="CQ3" s="1993"/>
      <c r="CR3" s="1993"/>
      <c r="CS3" s="1994"/>
    </row>
    <row r="4" spans="1:97" ht="16.5" thickBot="1" x14ac:dyDescent="0.3">
      <c r="A4" s="1909" t="s">
        <v>1702</v>
      </c>
      <c r="B4" s="1910"/>
      <c r="C4" s="1910"/>
      <c r="D4" s="1910"/>
      <c r="E4" s="1910"/>
      <c r="F4" s="1910"/>
      <c r="G4" s="1910"/>
      <c r="H4" s="1911"/>
      <c r="J4" s="1828" t="s">
        <v>1702</v>
      </c>
      <c r="K4" s="1828"/>
      <c r="L4" s="1828"/>
      <c r="M4" s="1828"/>
      <c r="N4" s="1828"/>
      <c r="O4" s="1828"/>
      <c r="P4" s="1828"/>
      <c r="Q4" s="1828"/>
      <c r="R4" s="1828"/>
      <c r="S4" s="1128"/>
      <c r="T4" s="1855" t="s">
        <v>1814</v>
      </c>
      <c r="U4" s="1855"/>
      <c r="V4" s="1855"/>
      <c r="W4" s="1855"/>
      <c r="X4" s="1855"/>
      <c r="Y4" s="1855"/>
      <c r="Z4" s="1855"/>
      <c r="AA4" s="1855"/>
      <c r="AB4" s="1855"/>
      <c r="AC4" s="1231"/>
      <c r="AD4" s="1912" t="s">
        <v>1702</v>
      </c>
      <c r="AE4" s="1913"/>
      <c r="AF4" s="1913"/>
      <c r="AG4" s="1913"/>
      <c r="AH4" s="1913"/>
      <c r="AI4" s="1914"/>
      <c r="AJ4" s="1098"/>
      <c r="AK4" s="1886" t="s">
        <v>1702</v>
      </c>
      <c r="AL4" s="1887"/>
      <c r="AM4" s="1887"/>
      <c r="AN4" s="1887"/>
      <c r="AO4" s="1887"/>
      <c r="AP4" s="1887"/>
      <c r="AQ4" s="1887"/>
      <c r="AR4" s="1888"/>
      <c r="AS4" s="1098"/>
      <c r="AT4" s="1836" t="s">
        <v>2141</v>
      </c>
      <c r="AU4" s="1836"/>
      <c r="AV4" s="1836"/>
      <c r="AW4" s="1836"/>
      <c r="AX4" s="1836"/>
      <c r="AY4" s="1836"/>
      <c r="AZ4" s="1836"/>
      <c r="BA4" s="1836"/>
      <c r="BB4" s="1836"/>
      <c r="BC4" s="1836"/>
      <c r="BE4" s="1879" t="s">
        <v>1702</v>
      </c>
      <c r="BF4" s="1880"/>
      <c r="BG4" s="1880"/>
      <c r="BH4" s="1880"/>
      <c r="BI4" s="1880"/>
      <c r="BJ4" s="1880"/>
      <c r="BK4" s="1880"/>
      <c r="BL4" s="1880"/>
      <c r="BM4" s="1880"/>
      <c r="BN4" s="1880"/>
      <c r="BO4" s="1881"/>
      <c r="BQ4" s="1872" t="s">
        <v>1702</v>
      </c>
      <c r="BR4" s="1872"/>
      <c r="BS4" s="1872"/>
      <c r="BT4" s="1872"/>
      <c r="BU4" s="1872"/>
      <c r="BV4" s="1872"/>
      <c r="BW4" s="1872"/>
      <c r="BX4" s="1872"/>
      <c r="BZ4" s="1979" t="s">
        <v>1702</v>
      </c>
      <c r="CA4" s="1980"/>
      <c r="CB4" s="1980"/>
      <c r="CC4" s="1980"/>
      <c r="CD4" s="1980"/>
      <c r="CE4" s="1981"/>
      <c r="CG4" s="1982" t="s">
        <v>1702</v>
      </c>
      <c r="CH4" s="1983"/>
      <c r="CI4" s="1983"/>
      <c r="CJ4" s="1983"/>
      <c r="CK4" s="1983"/>
      <c r="CL4" s="1984"/>
      <c r="CO4" s="1995"/>
      <c r="CP4" s="1996"/>
      <c r="CQ4" s="1996"/>
      <c r="CR4" s="1996"/>
      <c r="CS4" s="1997"/>
    </row>
    <row r="5" spans="1:97" ht="45.75" thickBot="1" x14ac:dyDescent="0.3">
      <c r="A5" s="1099" t="s">
        <v>1703</v>
      </c>
      <c r="B5" s="1100" t="s">
        <v>1704</v>
      </c>
      <c r="C5" s="1101" t="s">
        <v>1705</v>
      </c>
      <c r="D5" s="1100" t="s">
        <v>1706</v>
      </c>
      <c r="E5" s="1102" t="s">
        <v>1707</v>
      </c>
      <c r="F5" s="1221" t="s">
        <v>2135</v>
      </c>
      <c r="G5" s="1103" t="s">
        <v>1708</v>
      </c>
      <c r="H5" s="1103" t="s">
        <v>52</v>
      </c>
      <c r="J5" s="1311" t="s">
        <v>1703</v>
      </c>
      <c r="K5" s="1286" t="s">
        <v>1704</v>
      </c>
      <c r="L5" s="1286" t="s">
        <v>1705</v>
      </c>
      <c r="M5" s="1165" t="s">
        <v>1706</v>
      </c>
      <c r="N5" s="1272" t="s">
        <v>2135</v>
      </c>
      <c r="O5" s="1165" t="s">
        <v>1681</v>
      </c>
      <c r="P5" s="1165" t="s">
        <v>541</v>
      </c>
      <c r="Q5" s="1312" t="s">
        <v>1707</v>
      </c>
      <c r="R5" s="1179" t="s">
        <v>52</v>
      </c>
      <c r="S5" s="1128"/>
      <c r="T5" s="1373" t="s">
        <v>931</v>
      </c>
      <c r="U5" s="1177" t="s">
        <v>1704</v>
      </c>
      <c r="V5" s="1373" t="s">
        <v>1706</v>
      </c>
      <c r="W5" s="1373" t="s">
        <v>1681</v>
      </c>
      <c r="X5" s="1373" t="s">
        <v>541</v>
      </c>
      <c r="Y5" s="1373" t="s">
        <v>170</v>
      </c>
      <c r="Z5" s="1272" t="s">
        <v>2135</v>
      </c>
      <c r="AA5" s="1177" t="s">
        <v>78</v>
      </c>
      <c r="AB5" s="1373" t="s">
        <v>52</v>
      </c>
      <c r="AC5" s="1232"/>
      <c r="AD5" s="1105" t="s">
        <v>1709</v>
      </c>
      <c r="AE5" s="1122" t="s">
        <v>2184</v>
      </c>
      <c r="AF5" s="1144" t="s">
        <v>1809</v>
      </c>
      <c r="AG5" s="1108" t="s">
        <v>1707</v>
      </c>
      <c r="AH5" s="1216" t="s">
        <v>78</v>
      </c>
      <c r="AI5" s="1104" t="s">
        <v>52</v>
      </c>
      <c r="AJ5" s="1098"/>
      <c r="AK5" s="1105" t="s">
        <v>1709</v>
      </c>
      <c r="AL5" s="1106" t="s">
        <v>1704</v>
      </c>
      <c r="AM5" s="1144" t="s">
        <v>1810</v>
      </c>
      <c r="AN5" s="1108" t="s">
        <v>1707</v>
      </c>
      <c r="AO5" s="1221" t="s">
        <v>78</v>
      </c>
      <c r="AP5" s="1221" t="s">
        <v>2135</v>
      </c>
      <c r="AQ5" s="1109" t="s">
        <v>1708</v>
      </c>
      <c r="AR5" s="1104" t="s">
        <v>52</v>
      </c>
      <c r="AS5" s="1110"/>
      <c r="AT5" s="1165" t="s">
        <v>1709</v>
      </c>
      <c r="AU5" s="1286" t="s">
        <v>2098</v>
      </c>
      <c r="AV5" s="1165" t="s">
        <v>1706</v>
      </c>
      <c r="AW5" s="1286" t="s">
        <v>1681</v>
      </c>
      <c r="AX5" s="1286" t="s">
        <v>541</v>
      </c>
      <c r="AY5" s="1312" t="s">
        <v>1707</v>
      </c>
      <c r="AZ5" s="1179" t="s">
        <v>1708</v>
      </c>
      <c r="BA5" s="1272" t="s">
        <v>2135</v>
      </c>
      <c r="BB5" s="1313" t="s">
        <v>78</v>
      </c>
      <c r="BC5" s="1179" t="s">
        <v>52</v>
      </c>
      <c r="BE5" s="1314" t="s">
        <v>1709</v>
      </c>
      <c r="BF5" s="1182" t="s">
        <v>1710</v>
      </c>
      <c r="BG5" s="1314" t="s">
        <v>1704</v>
      </c>
      <c r="BH5" s="1314" t="s">
        <v>1711</v>
      </c>
      <c r="BI5" s="1182" t="s">
        <v>1681</v>
      </c>
      <c r="BJ5" s="1315" t="s">
        <v>541</v>
      </c>
      <c r="BK5" s="1182" t="s">
        <v>1706</v>
      </c>
      <c r="BL5" s="1316" t="s">
        <v>1707</v>
      </c>
      <c r="BM5" s="1317" t="s">
        <v>2135</v>
      </c>
      <c r="BN5" s="1318" t="s">
        <v>78</v>
      </c>
      <c r="BO5" s="1318" t="s">
        <v>52</v>
      </c>
      <c r="BQ5" s="1373" t="s">
        <v>1709</v>
      </c>
      <c r="BR5" s="1286" t="s">
        <v>1704</v>
      </c>
      <c r="BS5" s="1286" t="s">
        <v>1712</v>
      </c>
      <c r="BT5" s="1373" t="s">
        <v>1706</v>
      </c>
      <c r="BU5" s="1178" t="s">
        <v>1707</v>
      </c>
      <c r="BV5" s="1272" t="s">
        <v>2135</v>
      </c>
      <c r="BW5" s="1179" t="s">
        <v>78</v>
      </c>
      <c r="BX5" s="1179" t="s">
        <v>52</v>
      </c>
      <c r="BZ5" s="1105" t="s">
        <v>1709</v>
      </c>
      <c r="CA5" s="1111" t="s">
        <v>1704</v>
      </c>
      <c r="CB5" s="1107" t="s">
        <v>1706</v>
      </c>
      <c r="CC5" s="1108" t="s">
        <v>1707</v>
      </c>
      <c r="CD5" s="1109" t="s">
        <v>78</v>
      </c>
      <c r="CE5" s="1104" t="s">
        <v>52</v>
      </c>
      <c r="CG5" s="1105" t="s">
        <v>1709</v>
      </c>
      <c r="CH5" s="1111" t="s">
        <v>1704</v>
      </c>
      <c r="CI5" s="1107" t="s">
        <v>1706</v>
      </c>
      <c r="CJ5" s="1108" t="s">
        <v>1707</v>
      </c>
      <c r="CK5" s="1109" t="s">
        <v>78</v>
      </c>
      <c r="CL5" s="1109" t="s">
        <v>52</v>
      </c>
      <c r="CO5" s="1271" t="s">
        <v>1704</v>
      </c>
      <c r="CP5" s="1373" t="s">
        <v>1706</v>
      </c>
      <c r="CQ5" s="1178" t="s">
        <v>1707</v>
      </c>
      <c r="CR5" s="1272" t="s">
        <v>2135</v>
      </c>
      <c r="CS5" s="1273" t="s">
        <v>52</v>
      </c>
    </row>
    <row r="6" spans="1:97" ht="30" customHeight="1" x14ac:dyDescent="0.25">
      <c r="A6" s="1145" t="s">
        <v>1713</v>
      </c>
      <c r="B6" s="1353" t="s">
        <v>1714</v>
      </c>
      <c r="C6" s="1302" t="s">
        <v>1360</v>
      </c>
      <c r="D6" s="1302">
        <v>0.02</v>
      </c>
      <c r="E6" s="1302">
        <v>0</v>
      </c>
      <c r="F6" s="1916">
        <v>8.56</v>
      </c>
      <c r="G6" s="1302">
        <v>0.02</v>
      </c>
      <c r="H6" s="1986" t="s">
        <v>1715</v>
      </c>
      <c r="J6" s="1852" t="s">
        <v>2462</v>
      </c>
      <c r="K6" s="1792" t="s">
        <v>1771</v>
      </c>
      <c r="L6" s="1790" t="s">
        <v>1716</v>
      </c>
      <c r="M6" s="1790" t="s">
        <v>1717</v>
      </c>
      <c r="N6" s="1838">
        <v>8.56</v>
      </c>
      <c r="O6" s="1342" t="s">
        <v>1718</v>
      </c>
      <c r="P6" s="1341" t="s">
        <v>1798</v>
      </c>
      <c r="Q6" s="1341">
        <v>5.7500000000000002E-2</v>
      </c>
      <c r="R6" s="1832" t="s">
        <v>1719</v>
      </c>
      <c r="S6" s="1128"/>
      <c r="T6" s="1365" t="s">
        <v>1815</v>
      </c>
      <c r="U6" s="1342" t="s">
        <v>1816</v>
      </c>
      <c r="V6" s="1789">
        <v>0.3</v>
      </c>
      <c r="W6" s="1340" t="s">
        <v>2010</v>
      </c>
      <c r="X6" s="1354" t="s">
        <v>2011</v>
      </c>
      <c r="Y6" s="1341" t="s">
        <v>2464</v>
      </c>
      <c r="Z6" s="1835">
        <v>8.56</v>
      </c>
      <c r="AA6" s="1790" t="s">
        <v>797</v>
      </c>
      <c r="AB6" s="1792" t="s">
        <v>2133</v>
      </c>
      <c r="AC6" s="1233"/>
      <c r="AD6" s="1112" t="s">
        <v>1713</v>
      </c>
      <c r="AE6" s="1303" t="s">
        <v>1720</v>
      </c>
      <c r="AF6" s="1295">
        <v>0.85</v>
      </c>
      <c r="AG6" s="1190" t="s">
        <v>1762</v>
      </c>
      <c r="AH6" s="1863">
        <v>0.01</v>
      </c>
      <c r="AI6" s="1869" t="s">
        <v>1722</v>
      </c>
      <c r="AJ6" s="1098"/>
      <c r="AK6" s="1113" t="s">
        <v>1713</v>
      </c>
      <c r="AL6" s="1303" t="s">
        <v>1723</v>
      </c>
      <c r="AM6" s="1367">
        <v>0.9</v>
      </c>
      <c r="AN6" s="1190">
        <v>5.7500000000000002E-2</v>
      </c>
      <c r="AO6" s="1960" t="s">
        <v>797</v>
      </c>
      <c r="AP6" s="1963">
        <v>8.56</v>
      </c>
      <c r="AQ6" s="1219" t="s">
        <v>1724</v>
      </c>
      <c r="AR6" s="1966" t="s">
        <v>1719</v>
      </c>
      <c r="AS6" s="1098"/>
      <c r="AT6" s="1893" t="s">
        <v>1713</v>
      </c>
      <c r="AU6" s="1915" t="s">
        <v>1723</v>
      </c>
      <c r="AV6" s="1787">
        <v>0.1</v>
      </c>
      <c r="AW6" s="1357" t="s">
        <v>1823</v>
      </c>
      <c r="AX6" s="1363" t="s">
        <v>1798</v>
      </c>
      <c r="AY6" s="1341">
        <v>5.7500000000000002E-2</v>
      </c>
      <c r="AZ6" s="1831" t="s">
        <v>1724</v>
      </c>
      <c r="BA6" s="1843">
        <v>8.56</v>
      </c>
      <c r="BB6" s="1847" t="s">
        <v>797</v>
      </c>
      <c r="BC6" s="1831" t="s">
        <v>1719</v>
      </c>
      <c r="BE6" s="1792" t="s">
        <v>1713</v>
      </c>
      <c r="BF6" s="1792" t="s">
        <v>2463</v>
      </c>
      <c r="BG6" s="1793" t="s">
        <v>1735</v>
      </c>
      <c r="BH6" s="1786">
        <v>1300</v>
      </c>
      <c r="BI6" s="1180" t="s">
        <v>2012</v>
      </c>
      <c r="BJ6" s="1339" t="s">
        <v>1798</v>
      </c>
      <c r="BK6" s="1787">
        <v>0.3</v>
      </c>
      <c r="BL6" s="1378" t="s">
        <v>1762</v>
      </c>
      <c r="BM6" s="1794">
        <v>8.56</v>
      </c>
      <c r="BN6" s="1797">
        <v>0.01</v>
      </c>
      <c r="BO6" s="1800" t="s">
        <v>2013</v>
      </c>
      <c r="BQ6" s="1341" t="s">
        <v>1713</v>
      </c>
      <c r="BR6" s="1793" t="s">
        <v>2099</v>
      </c>
      <c r="BS6" s="1793" t="s">
        <v>1726</v>
      </c>
      <c r="BT6" s="1787">
        <v>0.5</v>
      </c>
      <c r="BU6" s="1874" t="s">
        <v>2468</v>
      </c>
      <c r="BV6" s="1873">
        <v>8.56</v>
      </c>
      <c r="BW6" s="1831">
        <v>0.01</v>
      </c>
      <c r="BX6" s="1831" t="s">
        <v>1728</v>
      </c>
      <c r="BZ6" s="1112" t="s">
        <v>1713</v>
      </c>
      <c r="CA6" s="1942" t="s">
        <v>1729</v>
      </c>
      <c r="CB6" s="1945">
        <v>0.5</v>
      </c>
      <c r="CC6" s="1954" t="s">
        <v>1730</v>
      </c>
      <c r="CD6" s="1869">
        <v>0.01</v>
      </c>
      <c r="CE6" s="1869" t="s">
        <v>800</v>
      </c>
      <c r="CG6" s="1112" t="s">
        <v>1713</v>
      </c>
      <c r="CH6" s="1942" t="s">
        <v>1729</v>
      </c>
      <c r="CI6" s="1945">
        <v>0.1</v>
      </c>
      <c r="CJ6" s="1976" t="s">
        <v>1721</v>
      </c>
      <c r="CK6" s="1869">
        <v>0.01</v>
      </c>
      <c r="CL6" s="1948" t="s">
        <v>801</v>
      </c>
      <c r="CO6" s="1274" t="s">
        <v>2213</v>
      </c>
      <c r="CP6" s="1787">
        <v>0.1</v>
      </c>
      <c r="CQ6" s="1341">
        <v>0</v>
      </c>
      <c r="CR6" s="1970">
        <v>8.56</v>
      </c>
      <c r="CS6" s="1973" t="s">
        <v>2214</v>
      </c>
    </row>
    <row r="7" spans="1:97" ht="60" customHeight="1" x14ac:dyDescent="0.25">
      <c r="A7" s="1146" t="s">
        <v>1731</v>
      </c>
      <c r="B7" s="1341" t="s">
        <v>1732</v>
      </c>
      <c r="C7" s="1147">
        <v>1150</v>
      </c>
      <c r="D7" s="1133">
        <v>0.02</v>
      </c>
      <c r="E7" s="1133">
        <v>1.4999999999999999E-2</v>
      </c>
      <c r="F7" s="1917"/>
      <c r="G7" s="1133">
        <v>0.02</v>
      </c>
      <c r="H7" s="1987"/>
      <c r="J7" s="1853"/>
      <c r="K7" s="1792"/>
      <c r="L7" s="1790"/>
      <c r="M7" s="1790"/>
      <c r="N7" s="1838"/>
      <c r="O7" s="1342" t="s">
        <v>1718</v>
      </c>
      <c r="P7" s="1341" t="s">
        <v>1799</v>
      </c>
      <c r="Q7" s="1341">
        <v>5.8500000000000003E-2</v>
      </c>
      <c r="R7" s="1833"/>
      <c r="S7" s="1128"/>
      <c r="T7" s="1936" t="s">
        <v>1817</v>
      </c>
      <c r="U7" s="1792" t="s">
        <v>2100</v>
      </c>
      <c r="V7" s="1789"/>
      <c r="W7" s="1354" t="s">
        <v>1718</v>
      </c>
      <c r="X7" s="1354" t="s">
        <v>1798</v>
      </c>
      <c r="Y7" s="1341" t="s">
        <v>1762</v>
      </c>
      <c r="Z7" s="1835"/>
      <c r="AA7" s="1790"/>
      <c r="AB7" s="1792"/>
      <c r="AC7" s="1233"/>
      <c r="AD7" s="1114" t="s">
        <v>1731</v>
      </c>
      <c r="AE7" s="1304" t="s">
        <v>1753</v>
      </c>
      <c r="AF7" s="1338">
        <v>0.85</v>
      </c>
      <c r="AG7" s="1889" t="s">
        <v>1762</v>
      </c>
      <c r="AH7" s="1864"/>
      <c r="AI7" s="1870"/>
      <c r="AJ7" s="1098"/>
      <c r="AK7" s="1115" t="s">
        <v>1731</v>
      </c>
      <c r="AL7" s="1304" t="s">
        <v>1735</v>
      </c>
      <c r="AM7" s="1338">
        <v>0.8</v>
      </c>
      <c r="AN7" s="1889">
        <v>5.7500000000000002E-2</v>
      </c>
      <c r="AO7" s="1961"/>
      <c r="AP7" s="1964"/>
      <c r="AQ7" s="1831" t="s">
        <v>797</v>
      </c>
      <c r="AR7" s="1967"/>
      <c r="AS7" s="1098"/>
      <c r="AT7" s="1883"/>
      <c r="AU7" s="1915"/>
      <c r="AV7" s="1787"/>
      <c r="AW7" s="1357" t="s">
        <v>1823</v>
      </c>
      <c r="AX7" s="1363" t="s">
        <v>2465</v>
      </c>
      <c r="AY7" s="1341">
        <v>5.8500000000000003E-2</v>
      </c>
      <c r="AZ7" s="1831"/>
      <c r="BA7" s="1843"/>
      <c r="BB7" s="1847"/>
      <c r="BC7" s="1831"/>
      <c r="BE7" s="1792"/>
      <c r="BF7" s="1792"/>
      <c r="BG7" s="1793"/>
      <c r="BH7" s="1786"/>
      <c r="BI7" s="1180" t="s">
        <v>2012</v>
      </c>
      <c r="BJ7" s="1339" t="s">
        <v>1799</v>
      </c>
      <c r="BK7" s="1788"/>
      <c r="BL7" s="1378" t="s">
        <v>2469</v>
      </c>
      <c r="BM7" s="1795"/>
      <c r="BN7" s="1798"/>
      <c r="BO7" s="1801"/>
      <c r="BQ7" s="1133" t="s">
        <v>1731</v>
      </c>
      <c r="BR7" s="1793"/>
      <c r="BS7" s="1793"/>
      <c r="BT7" s="1787"/>
      <c r="BU7" s="1874"/>
      <c r="BV7" s="1873"/>
      <c r="BW7" s="1831"/>
      <c r="BX7" s="1831"/>
      <c r="BZ7" s="1114" t="s">
        <v>1731</v>
      </c>
      <c r="CA7" s="1943"/>
      <c r="CB7" s="1946"/>
      <c r="CC7" s="1955"/>
      <c r="CD7" s="1870"/>
      <c r="CE7" s="1870"/>
      <c r="CG7" s="1114" t="s">
        <v>1731</v>
      </c>
      <c r="CH7" s="1943"/>
      <c r="CI7" s="1946"/>
      <c r="CJ7" s="1977"/>
      <c r="CK7" s="1870"/>
      <c r="CL7" s="1949"/>
      <c r="CO7" s="1274" t="s">
        <v>2215</v>
      </c>
      <c r="CP7" s="1787"/>
      <c r="CQ7" s="1341">
        <v>1.4999999999999999E-2</v>
      </c>
      <c r="CR7" s="1971"/>
      <c r="CS7" s="1974"/>
    </row>
    <row r="8" spans="1:97" ht="30.75" customHeight="1" thickBot="1" x14ac:dyDescent="0.3">
      <c r="A8" s="1306" t="s">
        <v>1737</v>
      </c>
      <c r="B8" s="1341" t="s">
        <v>1811</v>
      </c>
      <c r="C8" s="1148">
        <v>1600</v>
      </c>
      <c r="D8" s="1341">
        <v>0.02</v>
      </c>
      <c r="E8" s="1133">
        <v>1.4999999999999999E-2</v>
      </c>
      <c r="F8" s="1917"/>
      <c r="G8" s="1341" t="s">
        <v>1724</v>
      </c>
      <c r="H8" s="1987"/>
      <c r="J8" s="1853"/>
      <c r="K8" s="1792"/>
      <c r="L8" s="1790"/>
      <c r="M8" s="1790"/>
      <c r="N8" s="1838"/>
      <c r="O8" s="1342" t="s">
        <v>1718</v>
      </c>
      <c r="P8" s="1341" t="s">
        <v>1800</v>
      </c>
      <c r="Q8" s="1341">
        <v>0.06</v>
      </c>
      <c r="R8" s="1833"/>
      <c r="S8" s="1128"/>
      <c r="T8" s="1936"/>
      <c r="U8" s="1792"/>
      <c r="V8" s="1789"/>
      <c r="W8" s="1354" t="s">
        <v>1718</v>
      </c>
      <c r="X8" s="1354" t="s">
        <v>1799</v>
      </c>
      <c r="Y8" s="1341" t="s">
        <v>2469</v>
      </c>
      <c r="Z8" s="1835"/>
      <c r="AA8" s="1790"/>
      <c r="AB8" s="1792"/>
      <c r="AC8" s="1233"/>
      <c r="AD8" s="1938" t="s">
        <v>1737</v>
      </c>
      <c r="AE8" s="1900" t="s">
        <v>2121</v>
      </c>
      <c r="AF8" s="1940">
        <v>0.7</v>
      </c>
      <c r="AG8" s="1890"/>
      <c r="AH8" s="1864"/>
      <c r="AI8" s="1870"/>
      <c r="AJ8" s="1110"/>
      <c r="AK8" s="1928" t="s">
        <v>1737</v>
      </c>
      <c r="AL8" s="1303" t="s">
        <v>1740</v>
      </c>
      <c r="AM8" s="1940">
        <v>0.7</v>
      </c>
      <c r="AN8" s="1890"/>
      <c r="AO8" s="1961"/>
      <c r="AP8" s="1964"/>
      <c r="AQ8" s="1831"/>
      <c r="AR8" s="1967"/>
      <c r="AS8" s="1110"/>
      <c r="AT8" s="1883"/>
      <c r="AU8" s="1915"/>
      <c r="AV8" s="1787"/>
      <c r="AW8" s="1357" t="s">
        <v>1823</v>
      </c>
      <c r="AX8" s="1357" t="s">
        <v>1800</v>
      </c>
      <c r="AY8" s="1341">
        <v>0.06</v>
      </c>
      <c r="AZ8" s="1831"/>
      <c r="BA8" s="1843"/>
      <c r="BB8" s="1847"/>
      <c r="BC8" s="1831"/>
      <c r="BE8" s="1792"/>
      <c r="BF8" s="1792"/>
      <c r="BG8" s="1793"/>
      <c r="BH8" s="1786"/>
      <c r="BI8" s="1180" t="s">
        <v>2012</v>
      </c>
      <c r="BJ8" s="1343" t="s">
        <v>1800</v>
      </c>
      <c r="BK8" s="1788"/>
      <c r="BL8" s="1135" t="s">
        <v>2464</v>
      </c>
      <c r="BM8" s="1795"/>
      <c r="BN8" s="1798"/>
      <c r="BO8" s="1801"/>
      <c r="BQ8" s="1792" t="s">
        <v>1737</v>
      </c>
      <c r="BR8" s="1793"/>
      <c r="BS8" s="1793"/>
      <c r="BT8" s="1787"/>
      <c r="BU8" s="1874"/>
      <c r="BV8" s="1873"/>
      <c r="BW8" s="1831"/>
      <c r="BX8" s="1831"/>
      <c r="BZ8" s="1958" t="s">
        <v>1737</v>
      </c>
      <c r="CA8" s="1943"/>
      <c r="CB8" s="1946"/>
      <c r="CC8" s="1955"/>
      <c r="CD8" s="1870"/>
      <c r="CE8" s="1870"/>
      <c r="CG8" s="1958" t="s">
        <v>1737</v>
      </c>
      <c r="CH8" s="1943"/>
      <c r="CI8" s="1946"/>
      <c r="CJ8" s="1977"/>
      <c r="CK8" s="1870"/>
      <c r="CL8" s="1949"/>
      <c r="CO8" s="1275" t="s">
        <v>2216</v>
      </c>
      <c r="CP8" s="1969"/>
      <c r="CQ8" s="1308">
        <v>5.7500000000000002E-2</v>
      </c>
      <c r="CR8" s="1972"/>
      <c r="CS8" s="1975"/>
    </row>
    <row r="9" spans="1:97" ht="30.75" customHeight="1" thickBot="1" x14ac:dyDescent="0.3">
      <c r="A9" s="1307"/>
      <c r="B9" s="1308" t="s">
        <v>1812</v>
      </c>
      <c r="C9" s="1149">
        <v>1800</v>
      </c>
      <c r="D9" s="1308">
        <v>0.02</v>
      </c>
      <c r="E9" s="1133">
        <v>1.4999999999999999E-2</v>
      </c>
      <c r="F9" s="1918"/>
      <c r="G9" s="1308" t="s">
        <v>797</v>
      </c>
      <c r="H9" s="1988"/>
      <c r="J9" s="1853"/>
      <c r="K9" s="1792"/>
      <c r="L9" s="1790"/>
      <c r="M9" s="1790"/>
      <c r="N9" s="1838"/>
      <c r="O9" s="1133" t="s">
        <v>1733</v>
      </c>
      <c r="P9" s="1133" t="s">
        <v>1734</v>
      </c>
      <c r="Q9" s="1341">
        <v>0.06</v>
      </c>
      <c r="R9" s="1833"/>
      <c r="S9" s="1128"/>
      <c r="T9" s="1936"/>
      <c r="U9" s="1792"/>
      <c r="V9" s="1789"/>
      <c r="W9" s="1354" t="s">
        <v>1718</v>
      </c>
      <c r="X9" s="1340" t="s">
        <v>1800</v>
      </c>
      <c r="Y9" s="1341" t="s">
        <v>2464</v>
      </c>
      <c r="Z9" s="1835"/>
      <c r="AA9" s="1790"/>
      <c r="AB9" s="1792"/>
      <c r="AC9" s="1233"/>
      <c r="AD9" s="1939"/>
      <c r="AE9" s="1901"/>
      <c r="AF9" s="1941"/>
      <c r="AG9" s="1891"/>
      <c r="AH9" s="1865"/>
      <c r="AI9" s="1871"/>
      <c r="AJ9" s="1098"/>
      <c r="AK9" s="1929"/>
      <c r="AL9" s="1224" t="s">
        <v>1744</v>
      </c>
      <c r="AM9" s="1941"/>
      <c r="AN9" s="1891"/>
      <c r="AO9" s="1962"/>
      <c r="AP9" s="1965"/>
      <c r="AQ9" s="1957"/>
      <c r="AR9" s="1968"/>
      <c r="AS9" s="1098"/>
      <c r="AT9" s="1883"/>
      <c r="AU9" s="1915"/>
      <c r="AV9" s="1787"/>
      <c r="AW9" s="1357" t="s">
        <v>1824</v>
      </c>
      <c r="AX9" s="1357" t="s">
        <v>1825</v>
      </c>
      <c r="AY9" s="1341">
        <v>0.06</v>
      </c>
      <c r="AZ9" s="1831"/>
      <c r="BA9" s="1843"/>
      <c r="BB9" s="1847"/>
      <c r="BC9" s="1831"/>
      <c r="BE9" s="1792"/>
      <c r="BF9" s="1792"/>
      <c r="BG9" s="1793"/>
      <c r="BH9" s="1786"/>
      <c r="BI9" s="1180" t="s">
        <v>1733</v>
      </c>
      <c r="BJ9" s="1343" t="s">
        <v>1734</v>
      </c>
      <c r="BK9" s="1789">
        <v>0.4</v>
      </c>
      <c r="BL9" s="1790" t="s">
        <v>2464</v>
      </c>
      <c r="BM9" s="1795"/>
      <c r="BN9" s="1798"/>
      <c r="BO9" s="1801"/>
      <c r="BQ9" s="1792"/>
      <c r="BR9" s="1793"/>
      <c r="BS9" s="1793"/>
      <c r="BT9" s="1787"/>
      <c r="BU9" s="1874"/>
      <c r="BV9" s="1873"/>
      <c r="BW9" s="1831"/>
      <c r="BX9" s="1831"/>
      <c r="BZ9" s="1959"/>
      <c r="CA9" s="1944"/>
      <c r="CB9" s="1941"/>
      <c r="CC9" s="1956"/>
      <c r="CD9" s="1871"/>
      <c r="CE9" s="1871"/>
      <c r="CG9" s="1959"/>
      <c r="CH9" s="1944"/>
      <c r="CI9" s="1941"/>
      <c r="CJ9" s="1978"/>
      <c r="CK9" s="1871"/>
      <c r="CL9" s="1950"/>
      <c r="CO9" s="1369"/>
      <c r="CP9" s="1276"/>
      <c r="CQ9" s="1369"/>
      <c r="CR9" s="1277"/>
      <c r="CS9" s="1278"/>
    </row>
    <row r="10" spans="1:97" ht="15" customHeight="1" thickBot="1" x14ac:dyDescent="0.3">
      <c r="A10" s="1116"/>
      <c r="B10" s="1116"/>
      <c r="C10" s="1116"/>
      <c r="D10" s="1117"/>
      <c r="E10" s="1118"/>
      <c r="F10" s="1118"/>
      <c r="G10" s="1118"/>
      <c r="H10" s="1118"/>
      <c r="J10" s="1853"/>
      <c r="K10" s="1792"/>
      <c r="L10" s="1790"/>
      <c r="M10" s="1790"/>
      <c r="N10" s="1838"/>
      <c r="O10" s="1133" t="s">
        <v>1738</v>
      </c>
      <c r="P10" s="1133" t="s">
        <v>1739</v>
      </c>
      <c r="Q10" s="1341">
        <v>0.06</v>
      </c>
      <c r="R10" s="1833"/>
      <c r="S10" s="1128"/>
      <c r="T10" s="1936"/>
      <c r="U10" s="1792" t="s">
        <v>2100</v>
      </c>
      <c r="V10" s="1789"/>
      <c r="W10" s="1340" t="s">
        <v>1733</v>
      </c>
      <c r="X10" s="1340" t="s">
        <v>1734</v>
      </c>
      <c r="Y10" s="1845" t="s">
        <v>2464</v>
      </c>
      <c r="Z10" s="1835"/>
      <c r="AA10" s="1790"/>
      <c r="AB10" s="1792"/>
      <c r="AC10" s="1235"/>
      <c r="AD10" s="237"/>
      <c r="AE10" s="149"/>
      <c r="AF10" s="149"/>
      <c r="AG10" s="149"/>
      <c r="AH10" s="149"/>
      <c r="AI10" s="240"/>
      <c r="AJ10" s="1098"/>
      <c r="AK10" s="1098"/>
      <c r="AL10" s="1098"/>
      <c r="AM10" s="1098"/>
      <c r="AN10" s="1098"/>
      <c r="AO10" s="1098"/>
      <c r="AP10" s="1098"/>
      <c r="AQ10" s="1098"/>
      <c r="AR10" s="1098"/>
      <c r="AS10" s="1098"/>
      <c r="AT10" s="1884"/>
      <c r="AU10" s="1915"/>
      <c r="AV10" s="1787"/>
      <c r="AW10" s="1363" t="s">
        <v>1738</v>
      </c>
      <c r="AX10" s="1363" t="s">
        <v>1739</v>
      </c>
      <c r="AY10" s="1341">
        <v>0.06</v>
      </c>
      <c r="AZ10" s="1831"/>
      <c r="BA10" s="1843"/>
      <c r="BB10" s="1847"/>
      <c r="BC10" s="1831"/>
      <c r="BE10" s="1792"/>
      <c r="BF10" s="1792"/>
      <c r="BG10" s="1793"/>
      <c r="BH10" s="1786"/>
      <c r="BI10" s="1181" t="s">
        <v>1738</v>
      </c>
      <c r="BJ10" s="1340" t="s">
        <v>2014</v>
      </c>
      <c r="BK10" s="1789"/>
      <c r="BL10" s="1790"/>
      <c r="BM10" s="1795"/>
      <c r="BN10" s="1798"/>
      <c r="BO10" s="1801"/>
      <c r="BQ10" s="1143"/>
      <c r="BR10" s="1143"/>
      <c r="BS10" s="1143"/>
      <c r="BT10" s="1143"/>
      <c r="BU10" s="1143"/>
      <c r="BV10" s="1143"/>
      <c r="BW10" s="1143"/>
      <c r="BX10" s="1143"/>
    </row>
    <row r="11" spans="1:97" ht="60.75" customHeight="1" thickBot="1" x14ac:dyDescent="0.3">
      <c r="A11" s="1909" t="s">
        <v>1747</v>
      </c>
      <c r="B11" s="1910"/>
      <c r="C11" s="1910"/>
      <c r="D11" s="1910"/>
      <c r="E11" s="1910"/>
      <c r="F11" s="1910"/>
      <c r="G11" s="1910"/>
      <c r="H11" s="1911"/>
      <c r="J11" s="1853"/>
      <c r="K11" s="1792"/>
      <c r="L11" s="1790"/>
      <c r="M11" s="1788" t="s">
        <v>1743</v>
      </c>
      <c r="N11" s="1838"/>
      <c r="O11" s="1222" t="s">
        <v>1718</v>
      </c>
      <c r="P11" s="1341" t="s">
        <v>1798</v>
      </c>
      <c r="Q11" s="1341">
        <v>5.7500000000000002E-2</v>
      </c>
      <c r="R11" s="1833"/>
      <c r="S11" s="1128"/>
      <c r="T11" s="1358" t="s">
        <v>1818</v>
      </c>
      <c r="U11" s="1792"/>
      <c r="V11" s="1789"/>
      <c r="W11" s="1340" t="s">
        <v>2015</v>
      </c>
      <c r="X11" s="1340" t="s">
        <v>1739</v>
      </c>
      <c r="Y11" s="1845"/>
      <c r="Z11" s="1835"/>
      <c r="AA11" s="1790"/>
      <c r="AB11" s="1792"/>
      <c r="AC11" s="1235"/>
      <c r="AD11" s="1912" t="s">
        <v>1747</v>
      </c>
      <c r="AE11" s="1913"/>
      <c r="AF11" s="1913"/>
      <c r="AG11" s="1913"/>
      <c r="AH11" s="1913"/>
      <c r="AI11" s="1914"/>
      <c r="AJ11" s="1098"/>
      <c r="AK11" s="1886" t="s">
        <v>1747</v>
      </c>
      <c r="AL11" s="1887"/>
      <c r="AM11" s="1887"/>
      <c r="AN11" s="1887"/>
      <c r="AO11" s="1887"/>
      <c r="AP11" s="1887"/>
      <c r="AQ11" s="1887"/>
      <c r="AR11" s="1888"/>
      <c r="AS11" s="1110"/>
      <c r="AT11" s="1882" t="s">
        <v>1731</v>
      </c>
      <c r="AU11" s="1793" t="s">
        <v>1735</v>
      </c>
      <c r="AV11" s="1787">
        <v>0.2</v>
      </c>
      <c r="AW11" s="1357" t="s">
        <v>1823</v>
      </c>
      <c r="AX11" s="1363" t="s">
        <v>1798</v>
      </c>
      <c r="AY11" s="1341">
        <v>5.7500000000000002E-2</v>
      </c>
      <c r="AZ11" s="1831" t="s">
        <v>797</v>
      </c>
      <c r="BA11" s="1843"/>
      <c r="BB11" s="1847"/>
      <c r="BC11" s="1831"/>
      <c r="BE11" s="1803" t="s">
        <v>1731</v>
      </c>
      <c r="BF11" s="1792"/>
      <c r="BG11" s="1793" t="s">
        <v>1736</v>
      </c>
      <c r="BH11" s="1786">
        <v>1800</v>
      </c>
      <c r="BI11" s="1180" t="s">
        <v>2012</v>
      </c>
      <c r="BJ11" s="1339" t="s">
        <v>1798</v>
      </c>
      <c r="BK11" s="1787">
        <v>0.3</v>
      </c>
      <c r="BL11" s="1378" t="s">
        <v>1762</v>
      </c>
      <c r="BM11" s="1795"/>
      <c r="BN11" s="1798"/>
      <c r="BO11" s="1801"/>
      <c r="BQ11" s="1872" t="s">
        <v>1747</v>
      </c>
      <c r="BR11" s="1872"/>
      <c r="BS11" s="1872"/>
      <c r="BT11" s="1872"/>
      <c r="BU11" s="1872"/>
      <c r="BV11" s="1872"/>
      <c r="BW11" s="1872"/>
      <c r="BX11" s="1872"/>
      <c r="BZ11" s="1979" t="s">
        <v>1747</v>
      </c>
      <c r="CA11" s="1980"/>
      <c r="CB11" s="1980"/>
      <c r="CC11" s="1980"/>
      <c r="CD11" s="1980"/>
      <c r="CE11" s="1981"/>
      <c r="CG11" s="1982" t="s">
        <v>1747</v>
      </c>
      <c r="CH11" s="1983"/>
      <c r="CI11" s="1983"/>
      <c r="CJ11" s="1983"/>
      <c r="CK11" s="1983"/>
      <c r="CL11" s="1984"/>
      <c r="CO11" s="1985"/>
      <c r="CP11" s="1985"/>
      <c r="CQ11" s="1985"/>
      <c r="CR11" s="1985"/>
      <c r="CS11" s="1985"/>
    </row>
    <row r="12" spans="1:97" ht="60.75" customHeight="1" thickBot="1" x14ac:dyDescent="0.3">
      <c r="A12" s="1099" t="s">
        <v>1703</v>
      </c>
      <c r="B12" s="1100" t="s">
        <v>1704</v>
      </c>
      <c r="C12" s="1101" t="s">
        <v>1711</v>
      </c>
      <c r="D12" s="1120" t="s">
        <v>1706</v>
      </c>
      <c r="E12" s="1121" t="s">
        <v>170</v>
      </c>
      <c r="F12" s="1221" t="s">
        <v>2135</v>
      </c>
      <c r="G12" s="1103" t="s">
        <v>1708</v>
      </c>
      <c r="H12" s="1103" t="s">
        <v>52</v>
      </c>
      <c r="J12" s="1853"/>
      <c r="K12" s="1792"/>
      <c r="L12" s="1790"/>
      <c r="M12" s="1788"/>
      <c r="N12" s="1838"/>
      <c r="O12" s="1222" t="s">
        <v>1718</v>
      </c>
      <c r="P12" s="1341" t="s">
        <v>1799</v>
      </c>
      <c r="Q12" s="1341">
        <v>5.8500000000000003E-2</v>
      </c>
      <c r="R12" s="1833"/>
      <c r="S12" s="1128"/>
      <c r="AC12" s="1236"/>
      <c r="AD12" s="1105" t="s">
        <v>1709</v>
      </c>
      <c r="AE12" s="1122" t="s">
        <v>2184</v>
      </c>
      <c r="AF12" s="1144" t="s">
        <v>1810</v>
      </c>
      <c r="AG12" s="1108" t="s">
        <v>1707</v>
      </c>
      <c r="AH12" s="1216" t="s">
        <v>78</v>
      </c>
      <c r="AI12" s="1104" t="s">
        <v>52</v>
      </c>
      <c r="AJ12" s="1098"/>
      <c r="AK12" s="1105" t="s">
        <v>1709</v>
      </c>
      <c r="AL12" s="1106" t="s">
        <v>1704</v>
      </c>
      <c r="AM12" s="1107" t="s">
        <v>1810</v>
      </c>
      <c r="AN12" s="1108" t="s">
        <v>1707</v>
      </c>
      <c r="AO12" s="1221" t="s">
        <v>78</v>
      </c>
      <c r="AP12" s="1221" t="s">
        <v>2135</v>
      </c>
      <c r="AQ12" s="1109" t="s">
        <v>1708</v>
      </c>
      <c r="AR12" s="1104" t="s">
        <v>52</v>
      </c>
      <c r="AS12" s="1098"/>
      <c r="AT12" s="1883"/>
      <c r="AU12" s="1793"/>
      <c r="AV12" s="1787"/>
      <c r="AW12" s="1357" t="s">
        <v>1823</v>
      </c>
      <c r="AX12" s="1363" t="s">
        <v>2465</v>
      </c>
      <c r="AY12" s="1341">
        <v>5.8500000000000003E-2</v>
      </c>
      <c r="AZ12" s="1831"/>
      <c r="BA12" s="1843"/>
      <c r="BB12" s="1847"/>
      <c r="BC12" s="1831"/>
      <c r="BE12" s="1803"/>
      <c r="BF12" s="1792"/>
      <c r="BG12" s="1793"/>
      <c r="BH12" s="1786"/>
      <c r="BI12" s="1180" t="s">
        <v>2012</v>
      </c>
      <c r="BJ12" s="1339" t="s">
        <v>1799</v>
      </c>
      <c r="BK12" s="1788"/>
      <c r="BL12" s="1378" t="s">
        <v>2469</v>
      </c>
      <c r="BM12" s="1795"/>
      <c r="BN12" s="1798"/>
      <c r="BO12" s="1801"/>
      <c r="BQ12" s="1373" t="s">
        <v>1709</v>
      </c>
      <c r="BR12" s="1373" t="s">
        <v>1704</v>
      </c>
      <c r="BS12" s="1373" t="s">
        <v>1712</v>
      </c>
      <c r="BT12" s="1373" t="s">
        <v>1706</v>
      </c>
      <c r="BU12" s="1178" t="s">
        <v>1707</v>
      </c>
      <c r="BV12" s="1272" t="s">
        <v>2135</v>
      </c>
      <c r="BW12" s="1179" t="s">
        <v>78</v>
      </c>
      <c r="BX12" s="1179" t="s">
        <v>52</v>
      </c>
      <c r="BZ12" s="1105" t="s">
        <v>1709</v>
      </c>
      <c r="CA12" s="1122" t="s">
        <v>1704</v>
      </c>
      <c r="CB12" s="1107" t="s">
        <v>1706</v>
      </c>
      <c r="CC12" s="1108" t="s">
        <v>1707</v>
      </c>
      <c r="CD12" s="1109" t="s">
        <v>78</v>
      </c>
      <c r="CE12" s="1104" t="s">
        <v>52</v>
      </c>
      <c r="CG12" s="1105" t="s">
        <v>1709</v>
      </c>
      <c r="CH12" s="1122" t="s">
        <v>1704</v>
      </c>
      <c r="CI12" s="1107" t="s">
        <v>1706</v>
      </c>
      <c r="CJ12" s="1108" t="s">
        <v>1707</v>
      </c>
      <c r="CK12" s="1109" t="s">
        <v>78</v>
      </c>
      <c r="CL12" s="1109" t="s">
        <v>52</v>
      </c>
      <c r="CO12" s="1279"/>
      <c r="CP12" s="1280"/>
      <c r="CQ12" s="1281"/>
      <c r="CR12" s="1279"/>
      <c r="CS12" s="1155"/>
    </row>
    <row r="13" spans="1:97" ht="30.75" customHeight="1" x14ac:dyDescent="0.25">
      <c r="A13" s="1150" t="s">
        <v>1713</v>
      </c>
      <c r="B13" s="1344" t="s">
        <v>2138</v>
      </c>
      <c r="C13" s="1302" t="s">
        <v>1360</v>
      </c>
      <c r="D13" s="1927">
        <v>0.15</v>
      </c>
      <c r="E13" s="1364">
        <v>0</v>
      </c>
      <c r="F13" s="1916">
        <v>8.56</v>
      </c>
      <c r="G13" s="1302">
        <v>0.02</v>
      </c>
      <c r="H13" s="1931" t="s">
        <v>1715</v>
      </c>
      <c r="J13" s="1853"/>
      <c r="K13" s="1792"/>
      <c r="L13" s="1790"/>
      <c r="M13" s="1788"/>
      <c r="N13" s="1838"/>
      <c r="O13" s="1222" t="s">
        <v>1718</v>
      </c>
      <c r="P13" s="1135" t="s">
        <v>1800</v>
      </c>
      <c r="Q13" s="1341">
        <v>0.06</v>
      </c>
      <c r="R13" s="1833"/>
      <c r="S13" s="1128"/>
      <c r="T13" s="1904" t="s">
        <v>2096</v>
      </c>
      <c r="U13" s="1904"/>
      <c r="V13" s="1904"/>
      <c r="W13" s="1904"/>
      <c r="X13" s="1904"/>
      <c r="Y13" s="1904"/>
      <c r="Z13" s="1904"/>
      <c r="AA13" s="1904"/>
      <c r="AB13" s="1904"/>
      <c r="AC13" s="1231"/>
      <c r="AD13" s="1112" t="s">
        <v>1713</v>
      </c>
      <c r="AE13" s="1303" t="s">
        <v>1720</v>
      </c>
      <c r="AF13" s="1367">
        <v>0.85</v>
      </c>
      <c r="AG13" s="1190" t="s">
        <v>1762</v>
      </c>
      <c r="AH13" s="1863">
        <v>0.01</v>
      </c>
      <c r="AI13" s="1869" t="s">
        <v>1722</v>
      </c>
      <c r="AJ13" s="1098"/>
      <c r="AK13" s="1113" t="s">
        <v>1713</v>
      </c>
      <c r="AL13" s="1303" t="s">
        <v>1723</v>
      </c>
      <c r="AM13" s="1934">
        <v>0.85</v>
      </c>
      <c r="AN13" s="1190">
        <v>5.7500000000000002E-2</v>
      </c>
      <c r="AO13" s="1863" t="s">
        <v>797</v>
      </c>
      <c r="AP13" s="1866">
        <v>8.56</v>
      </c>
      <c r="AQ13" s="1217" t="s">
        <v>1724</v>
      </c>
      <c r="AR13" s="1869" t="s">
        <v>1719</v>
      </c>
      <c r="AS13" s="1098"/>
      <c r="AT13" s="1883"/>
      <c r="AU13" s="1793"/>
      <c r="AV13" s="1787"/>
      <c r="AW13" s="1357" t="s">
        <v>1823</v>
      </c>
      <c r="AX13" s="1357" t="s">
        <v>1800</v>
      </c>
      <c r="AY13" s="1341">
        <v>0.06</v>
      </c>
      <c r="AZ13" s="1831"/>
      <c r="BA13" s="1843"/>
      <c r="BB13" s="1847"/>
      <c r="BC13" s="1831"/>
      <c r="BE13" s="1803"/>
      <c r="BF13" s="1792"/>
      <c r="BG13" s="1793"/>
      <c r="BH13" s="1786"/>
      <c r="BI13" s="1180" t="s">
        <v>2012</v>
      </c>
      <c r="BJ13" s="1343" t="s">
        <v>1800</v>
      </c>
      <c r="BK13" s="1788"/>
      <c r="BL13" s="1135" t="s">
        <v>2464</v>
      </c>
      <c r="BM13" s="1795"/>
      <c r="BN13" s="1798"/>
      <c r="BO13" s="1801"/>
      <c r="BQ13" s="1341" t="s">
        <v>1713</v>
      </c>
      <c r="BR13" s="1793" t="s">
        <v>2099</v>
      </c>
      <c r="BS13" s="1793" t="s">
        <v>1726</v>
      </c>
      <c r="BT13" s="1787">
        <v>0.5</v>
      </c>
      <c r="BU13" s="1874" t="s">
        <v>2468</v>
      </c>
      <c r="BV13" s="1873">
        <v>8.56</v>
      </c>
      <c r="BW13" s="1831">
        <v>0.01</v>
      </c>
      <c r="BX13" s="1831" t="s">
        <v>1728</v>
      </c>
      <c r="BZ13" s="1112" t="s">
        <v>1713</v>
      </c>
      <c r="CA13" s="1942" t="s">
        <v>1729</v>
      </c>
      <c r="CB13" s="1945">
        <v>0.5</v>
      </c>
      <c r="CC13" s="1954" t="s">
        <v>1730</v>
      </c>
      <c r="CD13" s="1869">
        <v>0.01</v>
      </c>
      <c r="CE13" s="1869" t="s">
        <v>800</v>
      </c>
      <c r="CG13" s="1112" t="s">
        <v>1713</v>
      </c>
      <c r="CH13" s="1942" t="s">
        <v>1729</v>
      </c>
      <c r="CI13" s="1945">
        <v>0.15</v>
      </c>
      <c r="CJ13" s="1942" t="s">
        <v>1721</v>
      </c>
      <c r="CK13" s="1869">
        <v>0.01</v>
      </c>
      <c r="CL13" s="1948" t="s">
        <v>801</v>
      </c>
      <c r="CO13" s="1947"/>
      <c r="CP13" s="1951"/>
      <c r="CQ13" s="1952"/>
      <c r="CR13" s="1953"/>
      <c r="CS13" s="1947"/>
    </row>
    <row r="14" spans="1:97" ht="28.5" customHeight="1" x14ac:dyDescent="0.25">
      <c r="A14" s="1139" t="s">
        <v>1731</v>
      </c>
      <c r="B14" s="1355" t="s">
        <v>1749</v>
      </c>
      <c r="C14" s="1147">
        <v>1150</v>
      </c>
      <c r="D14" s="1789"/>
      <c r="E14" s="1133">
        <v>1.4999999999999999E-2</v>
      </c>
      <c r="F14" s="1917"/>
      <c r="G14" s="1133">
        <v>0.02</v>
      </c>
      <c r="H14" s="1932"/>
      <c r="J14" s="1853"/>
      <c r="K14" s="1792"/>
      <c r="L14" s="1790"/>
      <c r="M14" s="1788"/>
      <c r="N14" s="1838"/>
      <c r="O14" s="1135" t="s">
        <v>1733</v>
      </c>
      <c r="P14" s="1136" t="s">
        <v>1734</v>
      </c>
      <c r="Q14" s="1341">
        <v>0.06</v>
      </c>
      <c r="R14" s="1833"/>
      <c r="S14" s="1128"/>
      <c r="T14" s="1855" t="s">
        <v>1819</v>
      </c>
      <c r="U14" s="1855"/>
      <c r="V14" s="1855"/>
      <c r="W14" s="1855"/>
      <c r="X14" s="1855"/>
      <c r="Y14" s="1855"/>
      <c r="Z14" s="1855"/>
      <c r="AA14" s="1855"/>
      <c r="AB14" s="1855"/>
      <c r="AC14" s="1232"/>
      <c r="AD14" s="1114" t="s">
        <v>1731</v>
      </c>
      <c r="AE14" s="1304" t="s">
        <v>1753</v>
      </c>
      <c r="AF14" s="1338">
        <v>0.85</v>
      </c>
      <c r="AG14" s="1889" t="s">
        <v>1762</v>
      </c>
      <c r="AH14" s="1864"/>
      <c r="AI14" s="1870"/>
      <c r="AJ14" s="1098"/>
      <c r="AK14" s="1115" t="s">
        <v>1731</v>
      </c>
      <c r="AL14" s="1304" t="s">
        <v>1735</v>
      </c>
      <c r="AM14" s="1935"/>
      <c r="AN14" s="1889">
        <v>5.7500000000000002E-2</v>
      </c>
      <c r="AO14" s="1864"/>
      <c r="AP14" s="1867"/>
      <c r="AQ14" s="1859" t="s">
        <v>797</v>
      </c>
      <c r="AR14" s="1870"/>
      <c r="AS14" s="1110"/>
      <c r="AT14" s="1883"/>
      <c r="AU14" s="1793"/>
      <c r="AV14" s="1787"/>
      <c r="AW14" s="1354" t="s">
        <v>1824</v>
      </c>
      <c r="AX14" s="1354" t="s">
        <v>1825</v>
      </c>
      <c r="AY14" s="1341">
        <v>0.06</v>
      </c>
      <c r="AZ14" s="1831"/>
      <c r="BA14" s="1843"/>
      <c r="BB14" s="1847"/>
      <c r="BC14" s="1831"/>
      <c r="BE14" s="1803"/>
      <c r="BF14" s="1792"/>
      <c r="BG14" s="1793"/>
      <c r="BH14" s="1786"/>
      <c r="BI14" s="1180" t="s">
        <v>1733</v>
      </c>
      <c r="BJ14" s="1343" t="s">
        <v>1734</v>
      </c>
      <c r="BK14" s="1789">
        <v>0.4</v>
      </c>
      <c r="BL14" s="1790" t="s">
        <v>2464</v>
      </c>
      <c r="BM14" s="1795"/>
      <c r="BN14" s="1798"/>
      <c r="BO14" s="1801"/>
      <c r="BQ14" s="1133" t="s">
        <v>1731</v>
      </c>
      <c r="BR14" s="1793"/>
      <c r="BS14" s="1793"/>
      <c r="BT14" s="1787"/>
      <c r="BU14" s="1874"/>
      <c r="BV14" s="1873"/>
      <c r="BW14" s="1831"/>
      <c r="BX14" s="1831"/>
      <c r="BZ14" s="1114" t="s">
        <v>1731</v>
      </c>
      <c r="CA14" s="1943"/>
      <c r="CB14" s="1946"/>
      <c r="CC14" s="1955"/>
      <c r="CD14" s="1870"/>
      <c r="CE14" s="1870"/>
      <c r="CG14" s="1114" t="s">
        <v>1731</v>
      </c>
      <c r="CH14" s="1943"/>
      <c r="CI14" s="1946"/>
      <c r="CJ14" s="1943"/>
      <c r="CK14" s="1870"/>
      <c r="CL14" s="1949"/>
      <c r="CO14" s="1947"/>
      <c r="CP14" s="1951"/>
      <c r="CQ14" s="1952"/>
      <c r="CR14" s="1953"/>
      <c r="CS14" s="1947"/>
    </row>
    <row r="15" spans="1:97" ht="28.5" customHeight="1" x14ac:dyDescent="0.25">
      <c r="A15" s="1989" t="s">
        <v>1750</v>
      </c>
      <c r="B15" s="1355" t="s">
        <v>1811</v>
      </c>
      <c r="C15" s="1148">
        <v>1600</v>
      </c>
      <c r="D15" s="1789"/>
      <c r="E15" s="1133">
        <v>1.4999999999999999E-2</v>
      </c>
      <c r="F15" s="1917"/>
      <c r="G15" s="1341" t="s">
        <v>1724</v>
      </c>
      <c r="H15" s="1932"/>
      <c r="J15" s="1853"/>
      <c r="K15" s="1792"/>
      <c r="L15" s="1790"/>
      <c r="M15" s="1788"/>
      <c r="N15" s="1838"/>
      <c r="O15" s="1355" t="s">
        <v>1738</v>
      </c>
      <c r="P15" s="1355" t="s">
        <v>1739</v>
      </c>
      <c r="Q15" s="1341">
        <v>0.06</v>
      </c>
      <c r="R15" s="1833"/>
      <c r="S15" s="1128"/>
      <c r="T15" s="1373" t="s">
        <v>931</v>
      </c>
      <c r="U15" s="1177" t="s">
        <v>1704</v>
      </c>
      <c r="V15" s="1373" t="s">
        <v>1706</v>
      </c>
      <c r="W15" s="1373" t="s">
        <v>1681</v>
      </c>
      <c r="X15" s="1373" t="s">
        <v>541</v>
      </c>
      <c r="Y15" s="1373" t="s">
        <v>170</v>
      </c>
      <c r="Z15" s="1272" t="s">
        <v>2135</v>
      </c>
      <c r="AA15" s="1177" t="s">
        <v>78</v>
      </c>
      <c r="AB15" s="1373" t="s">
        <v>52</v>
      </c>
      <c r="AC15" s="1233"/>
      <c r="AD15" s="1938" t="s">
        <v>1737</v>
      </c>
      <c r="AE15" s="1900" t="s">
        <v>2121</v>
      </c>
      <c r="AF15" s="1940">
        <v>0.7</v>
      </c>
      <c r="AG15" s="1890"/>
      <c r="AH15" s="1864"/>
      <c r="AI15" s="1870"/>
      <c r="AJ15" s="1098"/>
      <c r="AK15" s="1928" t="s">
        <v>1737</v>
      </c>
      <c r="AL15" s="1303" t="s">
        <v>1740</v>
      </c>
      <c r="AM15" s="1152">
        <v>0.8</v>
      </c>
      <c r="AN15" s="1890"/>
      <c r="AO15" s="1864"/>
      <c r="AP15" s="1867"/>
      <c r="AQ15" s="1859"/>
      <c r="AR15" s="1870"/>
      <c r="AS15" s="1098"/>
      <c r="AT15" s="1884"/>
      <c r="AU15" s="1793"/>
      <c r="AV15" s="1787"/>
      <c r="AW15" s="1343" t="s">
        <v>1738</v>
      </c>
      <c r="AX15" s="1343" t="s">
        <v>1739</v>
      </c>
      <c r="AY15" s="1341">
        <v>0.06</v>
      </c>
      <c r="AZ15" s="1831"/>
      <c r="BA15" s="1843"/>
      <c r="BB15" s="1847"/>
      <c r="BC15" s="1831"/>
      <c r="BE15" s="1803"/>
      <c r="BF15" s="1792"/>
      <c r="BG15" s="1793"/>
      <c r="BH15" s="1786"/>
      <c r="BI15" s="1181" t="s">
        <v>1738</v>
      </c>
      <c r="BJ15" s="1340" t="s">
        <v>2014</v>
      </c>
      <c r="BK15" s="1789"/>
      <c r="BL15" s="1790"/>
      <c r="BM15" s="1795"/>
      <c r="BN15" s="1798"/>
      <c r="BO15" s="1801"/>
      <c r="BQ15" s="1792" t="s">
        <v>1737</v>
      </c>
      <c r="BR15" s="1793"/>
      <c r="BS15" s="1793"/>
      <c r="BT15" s="1787"/>
      <c r="BU15" s="1874"/>
      <c r="BV15" s="1873"/>
      <c r="BW15" s="1831"/>
      <c r="BX15" s="1831"/>
      <c r="BZ15" s="1938" t="s">
        <v>1737</v>
      </c>
      <c r="CA15" s="1943"/>
      <c r="CB15" s="1946"/>
      <c r="CC15" s="1955"/>
      <c r="CD15" s="1870"/>
      <c r="CE15" s="1870"/>
      <c r="CG15" s="1938" t="s">
        <v>1737</v>
      </c>
      <c r="CH15" s="1943"/>
      <c r="CI15" s="1946"/>
      <c r="CJ15" s="1943"/>
      <c r="CK15" s="1870"/>
      <c r="CL15" s="1949"/>
      <c r="CO15" s="1947"/>
      <c r="CP15" s="1951"/>
      <c r="CQ15" s="1952"/>
      <c r="CR15" s="1953"/>
      <c r="CS15" s="1947"/>
    </row>
    <row r="16" spans="1:97" ht="60.75" customHeight="1" thickBot="1" x14ac:dyDescent="0.3">
      <c r="A16" s="1862"/>
      <c r="B16" s="1305" t="s">
        <v>1813</v>
      </c>
      <c r="C16" s="1149">
        <v>1800</v>
      </c>
      <c r="D16" s="1930"/>
      <c r="E16" s="1133">
        <v>1.4999999999999999E-2</v>
      </c>
      <c r="F16" s="1918"/>
      <c r="G16" s="1308" t="s">
        <v>797</v>
      </c>
      <c r="H16" s="1933"/>
      <c r="J16" s="1853"/>
      <c r="K16" s="1792"/>
      <c r="L16" s="1790"/>
      <c r="M16" s="1937" t="s">
        <v>1748</v>
      </c>
      <c r="N16" s="1838"/>
      <c r="O16" s="1342" t="s">
        <v>1718</v>
      </c>
      <c r="P16" s="1341" t="s">
        <v>1798</v>
      </c>
      <c r="Q16" s="1341">
        <v>5.7500000000000002E-2</v>
      </c>
      <c r="R16" s="1833"/>
      <c r="S16" s="1128"/>
      <c r="T16" s="1365" t="s">
        <v>1815</v>
      </c>
      <c r="U16" s="1342" t="s">
        <v>1816</v>
      </c>
      <c r="V16" s="1789">
        <v>0.3</v>
      </c>
      <c r="W16" s="1340" t="s">
        <v>2010</v>
      </c>
      <c r="X16" s="1340" t="s">
        <v>2011</v>
      </c>
      <c r="Y16" s="1341" t="s">
        <v>2464</v>
      </c>
      <c r="Z16" s="1835">
        <v>8.56</v>
      </c>
      <c r="AA16" s="1790" t="s">
        <v>797</v>
      </c>
      <c r="AB16" s="1792" t="s">
        <v>2133</v>
      </c>
      <c r="AC16" s="1233"/>
      <c r="AD16" s="1939"/>
      <c r="AE16" s="1901"/>
      <c r="AF16" s="1941"/>
      <c r="AG16" s="1891"/>
      <c r="AH16" s="1865"/>
      <c r="AI16" s="1871"/>
      <c r="AJ16" s="1098"/>
      <c r="AK16" s="1929"/>
      <c r="AL16" s="1224" t="s">
        <v>1744</v>
      </c>
      <c r="AM16" s="1153">
        <v>0.7</v>
      </c>
      <c r="AN16" s="1891"/>
      <c r="AO16" s="1865"/>
      <c r="AP16" s="1868"/>
      <c r="AQ16" s="1860"/>
      <c r="AR16" s="1871"/>
      <c r="AS16" s="1098"/>
      <c r="AT16" s="1893" t="s">
        <v>1737</v>
      </c>
      <c r="AU16" s="1919" t="s">
        <v>1741</v>
      </c>
      <c r="AV16" s="1940">
        <v>0.3</v>
      </c>
      <c r="AW16" s="1357" t="s">
        <v>1823</v>
      </c>
      <c r="AX16" s="1363" t="s">
        <v>1798</v>
      </c>
      <c r="AY16" s="1341">
        <v>5.7500000000000002E-2</v>
      </c>
      <c r="AZ16" s="1831"/>
      <c r="BA16" s="1843"/>
      <c r="BB16" s="1847"/>
      <c r="BC16" s="1831"/>
      <c r="BE16" s="1792" t="s">
        <v>1737</v>
      </c>
      <c r="BF16" s="1792" t="s">
        <v>2467</v>
      </c>
      <c r="BG16" s="1793" t="s">
        <v>1735</v>
      </c>
      <c r="BH16" s="1786">
        <v>1300</v>
      </c>
      <c r="BI16" s="1180" t="s">
        <v>2012</v>
      </c>
      <c r="BJ16" s="1339" t="s">
        <v>1798</v>
      </c>
      <c r="BK16" s="1787">
        <v>0.3</v>
      </c>
      <c r="BL16" s="1378" t="s">
        <v>1762</v>
      </c>
      <c r="BM16" s="1795"/>
      <c r="BN16" s="1798"/>
      <c r="BO16" s="1801"/>
      <c r="BQ16" s="1792"/>
      <c r="BR16" s="1793"/>
      <c r="BS16" s="1793"/>
      <c r="BT16" s="1787"/>
      <c r="BU16" s="1874"/>
      <c r="BV16" s="1873"/>
      <c r="BW16" s="1831"/>
      <c r="BX16" s="1831"/>
      <c r="BZ16" s="1939"/>
      <c r="CA16" s="1944"/>
      <c r="CB16" s="1941"/>
      <c r="CC16" s="1956"/>
      <c r="CD16" s="1871"/>
      <c r="CE16" s="1871"/>
      <c r="CG16" s="1939"/>
      <c r="CH16" s="1944"/>
      <c r="CI16" s="1941"/>
      <c r="CJ16" s="1944"/>
      <c r="CK16" s="1871"/>
      <c r="CL16" s="1950"/>
      <c r="CO16" s="1947"/>
      <c r="CP16" s="1951"/>
      <c r="CQ16" s="1952"/>
      <c r="CR16" s="1953"/>
      <c r="CS16" s="1947"/>
    </row>
    <row r="17" spans="1:97" ht="29.25" customHeight="1" thickBot="1" x14ac:dyDescent="0.3">
      <c r="J17" s="1853"/>
      <c r="K17" s="1792"/>
      <c r="L17" s="1790"/>
      <c r="M17" s="1937"/>
      <c r="N17" s="1838"/>
      <c r="O17" s="1342" t="s">
        <v>1718</v>
      </c>
      <c r="P17" s="1341" t="s">
        <v>1799</v>
      </c>
      <c r="Q17" s="1341">
        <v>5.8500000000000003E-2</v>
      </c>
      <c r="R17" s="1833"/>
      <c r="S17" s="1128"/>
      <c r="T17" s="1936" t="s">
        <v>1817</v>
      </c>
      <c r="U17" s="1792" t="s">
        <v>2100</v>
      </c>
      <c r="V17" s="1789"/>
      <c r="W17" s="1354" t="s">
        <v>1718</v>
      </c>
      <c r="X17" s="1354" t="s">
        <v>1798</v>
      </c>
      <c r="Y17" s="1341" t="s">
        <v>1762</v>
      </c>
      <c r="Z17" s="1835"/>
      <c r="AA17" s="1790"/>
      <c r="AB17" s="1792"/>
      <c r="AC17" s="1233"/>
      <c r="AD17" s="237"/>
      <c r="AE17" s="149"/>
      <c r="AF17" s="149"/>
      <c r="AG17" s="149"/>
      <c r="AH17" s="149"/>
      <c r="AI17" s="240"/>
      <c r="AJ17" s="1098"/>
      <c r="AK17" s="1098"/>
      <c r="AL17" s="1098"/>
      <c r="AM17" s="1098"/>
      <c r="AN17" s="1098"/>
      <c r="AO17" s="1098"/>
      <c r="AP17" s="1098"/>
      <c r="AQ17" s="1098"/>
      <c r="AR17" s="1098"/>
      <c r="AS17" s="1110"/>
      <c r="AT17" s="1894"/>
      <c r="AU17" s="1920"/>
      <c r="AV17" s="1946"/>
      <c r="AW17" s="1357" t="s">
        <v>1823</v>
      </c>
      <c r="AX17" s="1363" t="s">
        <v>2465</v>
      </c>
      <c r="AY17" s="1341">
        <v>5.8500000000000003E-2</v>
      </c>
      <c r="AZ17" s="1831"/>
      <c r="BA17" s="1843"/>
      <c r="BB17" s="1847"/>
      <c r="BC17" s="1831"/>
      <c r="BE17" s="1792"/>
      <c r="BF17" s="1792"/>
      <c r="BG17" s="1793"/>
      <c r="BH17" s="1786"/>
      <c r="BI17" s="1180" t="s">
        <v>2012</v>
      </c>
      <c r="BJ17" s="1339" t="s">
        <v>1799</v>
      </c>
      <c r="BK17" s="1788"/>
      <c r="BL17" s="1378" t="s">
        <v>2469</v>
      </c>
      <c r="BM17" s="1795"/>
      <c r="BN17" s="1798"/>
      <c r="BO17" s="1801"/>
      <c r="BQ17" s="1143"/>
      <c r="BR17" s="1143"/>
      <c r="BS17" s="1143"/>
      <c r="BT17" s="1143"/>
      <c r="BU17" s="1143"/>
      <c r="BV17" s="1143"/>
      <c r="BW17" s="1143"/>
      <c r="BX17" s="1143"/>
      <c r="CO17" s="1282"/>
      <c r="CP17" s="153"/>
      <c r="CQ17" s="153"/>
      <c r="CR17" s="153"/>
      <c r="CS17" s="153"/>
    </row>
    <row r="18" spans="1:97" ht="16.5" customHeight="1" thickBot="1" x14ac:dyDescent="0.3">
      <c r="A18" s="1909" t="s">
        <v>1752</v>
      </c>
      <c r="B18" s="1910"/>
      <c r="C18" s="1910"/>
      <c r="D18" s="1910"/>
      <c r="E18" s="1910"/>
      <c r="F18" s="1910"/>
      <c r="G18" s="1910"/>
      <c r="H18" s="1911"/>
      <c r="J18" s="1853"/>
      <c r="K18" s="1792"/>
      <c r="L18" s="1790"/>
      <c r="M18" s="1937"/>
      <c r="N18" s="1838"/>
      <c r="O18" s="1342" t="s">
        <v>1718</v>
      </c>
      <c r="P18" s="1341" t="s">
        <v>1800</v>
      </c>
      <c r="Q18" s="1341">
        <v>0.06</v>
      </c>
      <c r="R18" s="1833"/>
      <c r="S18" s="1128"/>
      <c r="T18" s="1936"/>
      <c r="U18" s="1792"/>
      <c r="V18" s="1789"/>
      <c r="W18" s="1354" t="s">
        <v>1718</v>
      </c>
      <c r="X18" s="1354" t="s">
        <v>1799</v>
      </c>
      <c r="Y18" s="1341" t="s">
        <v>2469</v>
      </c>
      <c r="Z18" s="1835"/>
      <c r="AA18" s="1790"/>
      <c r="AB18" s="1792"/>
      <c r="AC18" s="1233"/>
      <c r="AD18" s="1912" t="s">
        <v>2101</v>
      </c>
      <c r="AE18" s="1913"/>
      <c r="AF18" s="1913"/>
      <c r="AG18" s="1913"/>
      <c r="AH18" s="1913"/>
      <c r="AI18" s="1914"/>
      <c r="AJ18" s="1098"/>
      <c r="AK18" s="1886" t="s">
        <v>1757</v>
      </c>
      <c r="AL18" s="1887"/>
      <c r="AM18" s="1887"/>
      <c r="AN18" s="1887"/>
      <c r="AO18" s="1887"/>
      <c r="AP18" s="1887"/>
      <c r="AQ18" s="1887"/>
      <c r="AR18" s="1888"/>
      <c r="AS18" s="1098"/>
      <c r="AT18" s="1894"/>
      <c r="AU18" s="1920"/>
      <c r="AV18" s="1946"/>
      <c r="AW18" s="1357" t="s">
        <v>1823</v>
      </c>
      <c r="AX18" s="1357" t="s">
        <v>1800</v>
      </c>
      <c r="AY18" s="1341">
        <v>0.06</v>
      </c>
      <c r="AZ18" s="1831"/>
      <c r="BA18" s="1843"/>
      <c r="BB18" s="1847"/>
      <c r="BC18" s="1831"/>
      <c r="BE18" s="1792"/>
      <c r="BF18" s="1792"/>
      <c r="BG18" s="1793"/>
      <c r="BH18" s="1786"/>
      <c r="BI18" s="1180" t="s">
        <v>2012</v>
      </c>
      <c r="BJ18" s="1343" t="s">
        <v>1800</v>
      </c>
      <c r="BK18" s="1788"/>
      <c r="BL18" s="1135" t="s">
        <v>2464</v>
      </c>
      <c r="BM18" s="1795"/>
      <c r="BN18" s="1798"/>
      <c r="BO18" s="1801"/>
      <c r="BQ18" s="1872" t="s">
        <v>1758</v>
      </c>
      <c r="BR18" s="1872"/>
      <c r="BS18" s="1872"/>
      <c r="BT18" s="1872"/>
      <c r="BU18" s="1872"/>
      <c r="BV18" s="1872"/>
      <c r="BW18" s="1872"/>
      <c r="BX18" s="1360"/>
      <c r="CO18" s="153"/>
      <c r="CP18" s="153"/>
      <c r="CQ18" s="153"/>
      <c r="CR18" s="153"/>
      <c r="CS18" s="153"/>
    </row>
    <row r="19" spans="1:97" ht="32.25" customHeight="1" thickBot="1" x14ac:dyDescent="0.3">
      <c r="A19" s="1099" t="s">
        <v>1703</v>
      </c>
      <c r="B19" s="1100" t="s">
        <v>1704</v>
      </c>
      <c r="C19" s="1101" t="s">
        <v>1711</v>
      </c>
      <c r="D19" s="1100" t="s">
        <v>1706</v>
      </c>
      <c r="E19" s="1100" t="s">
        <v>170</v>
      </c>
      <c r="F19" s="1221" t="s">
        <v>2135</v>
      </c>
      <c r="G19" s="1223" t="s">
        <v>1708</v>
      </c>
      <c r="H19" s="1154" t="s">
        <v>52</v>
      </c>
      <c r="J19" s="1853"/>
      <c r="K19" s="1792"/>
      <c r="L19" s="1790"/>
      <c r="M19" s="1937"/>
      <c r="N19" s="1838"/>
      <c r="O19" s="1355" t="s">
        <v>1733</v>
      </c>
      <c r="P19" s="1355" t="s">
        <v>1734</v>
      </c>
      <c r="Q19" s="1341">
        <v>0.06</v>
      </c>
      <c r="R19" s="1833"/>
      <c r="S19" s="1128"/>
      <c r="T19" s="1936"/>
      <c r="U19" s="1792"/>
      <c r="V19" s="1789"/>
      <c r="W19" s="1354" t="s">
        <v>1718</v>
      </c>
      <c r="X19" s="1340" t="s">
        <v>1800</v>
      </c>
      <c r="Y19" s="1341" t="s">
        <v>2464</v>
      </c>
      <c r="Z19" s="1835"/>
      <c r="AA19" s="1790"/>
      <c r="AB19" s="1792"/>
      <c r="AC19" s="1235"/>
      <c r="AD19" s="1192" t="s">
        <v>1709</v>
      </c>
      <c r="AE19" s="1122" t="s">
        <v>2184</v>
      </c>
      <c r="AF19" s="1193" t="s">
        <v>1810</v>
      </c>
      <c r="AG19" s="1194" t="s">
        <v>1707</v>
      </c>
      <c r="AH19" s="1216" t="s">
        <v>78</v>
      </c>
      <c r="AI19" s="1195" t="s">
        <v>52</v>
      </c>
      <c r="AJ19" s="1098"/>
      <c r="AK19" s="1105" t="s">
        <v>1709</v>
      </c>
      <c r="AL19" s="1106" t="s">
        <v>1704</v>
      </c>
      <c r="AM19" s="1107" t="s">
        <v>1810</v>
      </c>
      <c r="AN19" s="1108" t="s">
        <v>1707</v>
      </c>
      <c r="AO19" s="1221" t="s">
        <v>78</v>
      </c>
      <c r="AP19" s="1221" t="s">
        <v>2135</v>
      </c>
      <c r="AQ19" s="1109" t="s">
        <v>1708</v>
      </c>
      <c r="AR19" s="1104" t="s">
        <v>52</v>
      </c>
      <c r="AS19" s="1098"/>
      <c r="AT19" s="1894"/>
      <c r="AU19" s="1920"/>
      <c r="AV19" s="1946"/>
      <c r="AW19" s="1354" t="s">
        <v>1824</v>
      </c>
      <c r="AX19" s="1354" t="s">
        <v>1825</v>
      </c>
      <c r="AY19" s="1341">
        <v>0.06</v>
      </c>
      <c r="AZ19" s="1831"/>
      <c r="BA19" s="1843"/>
      <c r="BB19" s="1847"/>
      <c r="BC19" s="1831"/>
      <c r="BE19" s="1792"/>
      <c r="BF19" s="1792"/>
      <c r="BG19" s="1793"/>
      <c r="BH19" s="1786"/>
      <c r="BI19" s="1180" t="s">
        <v>1733</v>
      </c>
      <c r="BJ19" s="1343" t="s">
        <v>1734</v>
      </c>
      <c r="BK19" s="1789">
        <v>0.4</v>
      </c>
      <c r="BL19" s="1790" t="s">
        <v>2464</v>
      </c>
      <c r="BM19" s="1795"/>
      <c r="BN19" s="1798"/>
      <c r="BO19" s="1801"/>
      <c r="BQ19" s="1373" t="s">
        <v>1709</v>
      </c>
      <c r="BR19" s="1373" t="s">
        <v>1704</v>
      </c>
      <c r="BS19" s="1373" t="s">
        <v>1712</v>
      </c>
      <c r="BT19" s="1373" t="s">
        <v>1706</v>
      </c>
      <c r="BU19" s="1178" t="s">
        <v>1707</v>
      </c>
      <c r="BV19" s="1272" t="s">
        <v>2135</v>
      </c>
      <c r="BW19" s="1179" t="s">
        <v>78</v>
      </c>
      <c r="BX19" s="1179" t="s">
        <v>52</v>
      </c>
      <c r="CO19" s="1283"/>
      <c r="CP19" s="1283"/>
      <c r="CQ19" s="153"/>
      <c r="CR19" s="153"/>
      <c r="CS19" s="153"/>
    </row>
    <row r="20" spans="1:97" ht="29.25" customHeight="1" x14ac:dyDescent="0.25">
      <c r="A20" s="1150" t="s">
        <v>1713</v>
      </c>
      <c r="B20" s="1344" t="s">
        <v>2138</v>
      </c>
      <c r="C20" s="1302" t="s">
        <v>1360</v>
      </c>
      <c r="D20" s="1927">
        <v>0.15</v>
      </c>
      <c r="E20" s="1364">
        <v>0</v>
      </c>
      <c r="F20" s="1916">
        <v>8.56</v>
      </c>
      <c r="G20" s="1302">
        <v>0.02</v>
      </c>
      <c r="H20" s="1931" t="s">
        <v>1715</v>
      </c>
      <c r="J20" s="1853"/>
      <c r="K20" s="1792"/>
      <c r="L20" s="1790"/>
      <c r="M20" s="1937"/>
      <c r="N20" s="1838"/>
      <c r="O20" s="1371" t="s">
        <v>1739</v>
      </c>
      <c r="P20" s="1371" t="s">
        <v>1739</v>
      </c>
      <c r="Q20" s="1341">
        <v>0.06</v>
      </c>
      <c r="R20" s="1834"/>
      <c r="S20" s="1128"/>
      <c r="T20" s="1936"/>
      <c r="U20" s="1792" t="s">
        <v>2100</v>
      </c>
      <c r="V20" s="1789"/>
      <c r="W20" s="1340" t="s">
        <v>1733</v>
      </c>
      <c r="X20" s="1340" t="s">
        <v>1734</v>
      </c>
      <c r="Y20" s="1845" t="s">
        <v>2464</v>
      </c>
      <c r="Z20" s="1835"/>
      <c r="AA20" s="1790"/>
      <c r="AB20" s="1792"/>
      <c r="AC20" s="1236"/>
      <c r="AD20" s="1196" t="s">
        <v>2103</v>
      </c>
      <c r="AE20" s="1296" t="s">
        <v>1720</v>
      </c>
      <c r="AF20" s="1295">
        <v>0.85</v>
      </c>
      <c r="AG20" s="1190" t="s">
        <v>1762</v>
      </c>
      <c r="AH20" s="1863">
        <v>0.01</v>
      </c>
      <c r="AI20" s="1869" t="s">
        <v>1722</v>
      </c>
      <c r="AJ20" s="1369"/>
      <c r="AK20" s="1124" t="s">
        <v>1761</v>
      </c>
      <c r="AL20" s="1303" t="s">
        <v>1723</v>
      </c>
      <c r="AM20" s="1367">
        <v>0.8</v>
      </c>
      <c r="AN20" s="1905" t="s">
        <v>2482</v>
      </c>
      <c r="AO20" s="1863">
        <v>0.01</v>
      </c>
      <c r="AP20" s="1866">
        <v>8.56</v>
      </c>
      <c r="AQ20" s="1217" t="s">
        <v>1724</v>
      </c>
      <c r="AR20" s="1869" t="s">
        <v>1719</v>
      </c>
      <c r="AS20" s="1110"/>
      <c r="AT20" s="1894"/>
      <c r="AU20" s="1921"/>
      <c r="AV20" s="1990"/>
      <c r="AW20" s="1343" t="s">
        <v>1738</v>
      </c>
      <c r="AX20" s="1343" t="s">
        <v>1739</v>
      </c>
      <c r="AY20" s="1341">
        <v>0.06</v>
      </c>
      <c r="AZ20" s="1831"/>
      <c r="BA20" s="1843"/>
      <c r="BB20" s="1847"/>
      <c r="BC20" s="1831"/>
      <c r="BE20" s="1792"/>
      <c r="BF20" s="1792"/>
      <c r="BG20" s="1793"/>
      <c r="BH20" s="1786"/>
      <c r="BI20" s="1181" t="s">
        <v>1738</v>
      </c>
      <c r="BJ20" s="1340" t="s">
        <v>2014</v>
      </c>
      <c r="BK20" s="1789"/>
      <c r="BL20" s="1790"/>
      <c r="BM20" s="1795"/>
      <c r="BN20" s="1798"/>
      <c r="BO20" s="1801"/>
      <c r="BQ20" s="1341" t="s">
        <v>1761</v>
      </c>
      <c r="BR20" s="1793" t="s">
        <v>2099</v>
      </c>
      <c r="BS20" s="1793" t="s">
        <v>1726</v>
      </c>
      <c r="BT20" s="1787">
        <v>0.5</v>
      </c>
      <c r="BU20" s="1789" t="s">
        <v>2483</v>
      </c>
      <c r="BV20" s="1873">
        <v>8.56</v>
      </c>
      <c r="BW20" s="1831">
        <v>0.01</v>
      </c>
      <c r="BX20" s="1831" t="s">
        <v>1728</v>
      </c>
      <c r="CO20" s="1283"/>
      <c r="CP20" s="1284"/>
      <c r="CQ20" s="153"/>
      <c r="CR20" s="153"/>
      <c r="CS20" s="153"/>
    </row>
    <row r="21" spans="1:97" ht="60" customHeight="1" x14ac:dyDescent="0.25">
      <c r="A21" s="1151" t="s">
        <v>1759</v>
      </c>
      <c r="B21" s="1355" t="s">
        <v>1749</v>
      </c>
      <c r="C21" s="1147">
        <v>1150</v>
      </c>
      <c r="D21" s="1789"/>
      <c r="E21" s="1133">
        <v>1.4999999999999999E-2</v>
      </c>
      <c r="F21" s="1917"/>
      <c r="G21" s="1133">
        <v>0.02</v>
      </c>
      <c r="H21" s="1932"/>
      <c r="J21" s="1853"/>
      <c r="K21" s="1915" t="s">
        <v>1753</v>
      </c>
      <c r="L21" s="1793" t="s">
        <v>1754</v>
      </c>
      <c r="M21" s="1892" t="s">
        <v>1755</v>
      </c>
      <c r="N21" s="1838">
        <v>8.56</v>
      </c>
      <c r="O21" s="1342" t="s">
        <v>1718</v>
      </c>
      <c r="P21" s="1341" t="s">
        <v>1798</v>
      </c>
      <c r="Q21" s="1341">
        <v>5.7500000000000002E-2</v>
      </c>
      <c r="R21" s="1832" t="s">
        <v>1719</v>
      </c>
      <c r="S21" s="1128"/>
      <c r="T21" s="1358" t="s">
        <v>1818</v>
      </c>
      <c r="U21" s="1792"/>
      <c r="V21" s="1789"/>
      <c r="W21" s="1340" t="s">
        <v>2015</v>
      </c>
      <c r="X21" s="1340" t="s">
        <v>1739</v>
      </c>
      <c r="Y21" s="1845"/>
      <c r="Z21" s="1835"/>
      <c r="AA21" s="1790"/>
      <c r="AB21" s="1792"/>
      <c r="AC21" s="1231"/>
      <c r="AD21" s="1197" t="s">
        <v>2104</v>
      </c>
      <c r="AE21" s="1304" t="s">
        <v>1753</v>
      </c>
      <c r="AF21" s="1362">
        <v>0.85</v>
      </c>
      <c r="AG21" s="1889" t="s">
        <v>1762</v>
      </c>
      <c r="AH21" s="1864"/>
      <c r="AI21" s="1870"/>
      <c r="AJ21" s="1369"/>
      <c r="AK21" s="1124" t="s">
        <v>1731</v>
      </c>
      <c r="AL21" s="1304" t="s">
        <v>1735</v>
      </c>
      <c r="AM21" s="1338">
        <v>0.8</v>
      </c>
      <c r="AN21" s="1857"/>
      <c r="AO21" s="1864"/>
      <c r="AP21" s="1867"/>
      <c r="AQ21" s="1859" t="s">
        <v>797</v>
      </c>
      <c r="AR21" s="1870"/>
      <c r="AS21" s="1369"/>
      <c r="AT21" s="1894"/>
      <c r="AU21" s="1922" t="s">
        <v>1745</v>
      </c>
      <c r="AV21" s="1925">
        <v>0.3</v>
      </c>
      <c r="AW21" s="1357" t="s">
        <v>1823</v>
      </c>
      <c r="AX21" s="1363" t="s">
        <v>1798</v>
      </c>
      <c r="AY21" s="1341">
        <v>5.7500000000000002E-2</v>
      </c>
      <c r="AZ21" s="1831"/>
      <c r="BA21" s="1843"/>
      <c r="BB21" s="1847"/>
      <c r="BC21" s="1831"/>
      <c r="BE21" s="1792"/>
      <c r="BF21" s="1792"/>
      <c r="BG21" s="1793" t="s">
        <v>1736</v>
      </c>
      <c r="BH21" s="1786">
        <v>1700</v>
      </c>
      <c r="BI21" s="1180" t="s">
        <v>2012</v>
      </c>
      <c r="BJ21" s="1339" t="s">
        <v>1798</v>
      </c>
      <c r="BK21" s="1787">
        <v>0.3</v>
      </c>
      <c r="BL21" s="1378" t="s">
        <v>1762</v>
      </c>
      <c r="BM21" s="1795"/>
      <c r="BN21" s="1798"/>
      <c r="BO21" s="1801"/>
      <c r="BQ21" s="1133" t="s">
        <v>1731</v>
      </c>
      <c r="BR21" s="1793"/>
      <c r="BS21" s="1793"/>
      <c r="BT21" s="1787"/>
      <c r="BU21" s="1787"/>
      <c r="BV21" s="1873"/>
      <c r="BW21" s="1831"/>
      <c r="BX21" s="1831"/>
      <c r="CO21" s="1283"/>
      <c r="CP21" s="1284"/>
      <c r="CQ21" s="153"/>
      <c r="CR21" s="153"/>
      <c r="CS21" s="153"/>
    </row>
    <row r="22" spans="1:97" ht="60" customHeight="1" x14ac:dyDescent="0.25">
      <c r="A22" s="1151" t="s">
        <v>1750</v>
      </c>
      <c r="B22" s="1355" t="s">
        <v>1811</v>
      </c>
      <c r="C22" s="1148">
        <v>1600</v>
      </c>
      <c r="D22" s="1789"/>
      <c r="E22" s="1133">
        <v>1.4999999999999999E-2</v>
      </c>
      <c r="F22" s="1917"/>
      <c r="G22" s="1341" t="s">
        <v>1724</v>
      </c>
      <c r="H22" s="1932"/>
      <c r="J22" s="1853"/>
      <c r="K22" s="1915"/>
      <c r="L22" s="1793"/>
      <c r="M22" s="1892"/>
      <c r="N22" s="1838"/>
      <c r="O22" s="1342" t="s">
        <v>1718</v>
      </c>
      <c r="P22" s="1341" t="s">
        <v>1799</v>
      </c>
      <c r="Q22" s="1341">
        <v>5.8500000000000003E-2</v>
      </c>
      <c r="R22" s="1833"/>
      <c r="S22" s="1128"/>
      <c r="T22" s="1309"/>
      <c r="U22" s="1320"/>
      <c r="V22" s="1098"/>
      <c r="W22" s="1098"/>
      <c r="X22" s="1098"/>
      <c r="Y22" s="1098"/>
      <c r="Z22" s="1098"/>
      <c r="AA22" s="1098"/>
      <c r="AB22" s="1234"/>
      <c r="AC22" s="1232"/>
      <c r="AD22" s="1898" t="s">
        <v>2105</v>
      </c>
      <c r="AE22" s="1900" t="s">
        <v>2121</v>
      </c>
      <c r="AF22" s="1902">
        <v>0.7</v>
      </c>
      <c r="AG22" s="1890"/>
      <c r="AH22" s="1864"/>
      <c r="AI22" s="1870"/>
      <c r="AJ22" s="1369"/>
      <c r="AK22" s="1861" t="s">
        <v>1764</v>
      </c>
      <c r="AL22" s="1304" t="s">
        <v>1741</v>
      </c>
      <c r="AM22" s="1338">
        <v>0.7</v>
      </c>
      <c r="AN22" s="1857"/>
      <c r="AO22" s="1864"/>
      <c r="AP22" s="1867"/>
      <c r="AQ22" s="1859"/>
      <c r="AR22" s="1870"/>
      <c r="AS22" s="1369"/>
      <c r="AT22" s="1894"/>
      <c r="AU22" s="1923"/>
      <c r="AV22" s="1926"/>
      <c r="AW22" s="1357" t="s">
        <v>1823</v>
      </c>
      <c r="AX22" s="1363" t="s">
        <v>2465</v>
      </c>
      <c r="AY22" s="1341">
        <v>5.8500000000000003E-2</v>
      </c>
      <c r="AZ22" s="1831"/>
      <c r="BA22" s="1843"/>
      <c r="BB22" s="1847"/>
      <c r="BC22" s="1831"/>
      <c r="BE22" s="1792"/>
      <c r="BF22" s="1792"/>
      <c r="BG22" s="1793"/>
      <c r="BH22" s="1786"/>
      <c r="BI22" s="1180" t="s">
        <v>2012</v>
      </c>
      <c r="BJ22" s="1339" t="s">
        <v>1799</v>
      </c>
      <c r="BK22" s="1788"/>
      <c r="BL22" s="1378" t="s">
        <v>2469</v>
      </c>
      <c r="BM22" s="1795"/>
      <c r="BN22" s="1798"/>
      <c r="BO22" s="1801"/>
      <c r="BQ22" s="1792" t="s">
        <v>1765</v>
      </c>
      <c r="BR22" s="1793"/>
      <c r="BS22" s="1793"/>
      <c r="BT22" s="1787"/>
      <c r="BU22" s="1787"/>
      <c r="BV22" s="1873"/>
      <c r="BW22" s="1831"/>
      <c r="BX22" s="1831"/>
      <c r="CO22" s="1283"/>
      <c r="CP22" s="1284"/>
      <c r="CQ22" s="153"/>
      <c r="CR22" s="153"/>
      <c r="CS22" s="153"/>
    </row>
    <row r="23" spans="1:97" ht="60.75" customHeight="1" thickBot="1" x14ac:dyDescent="0.3">
      <c r="A23" s="1198" t="s">
        <v>2106</v>
      </c>
      <c r="B23" s="1305" t="s">
        <v>1813</v>
      </c>
      <c r="C23" s="1149">
        <v>1800</v>
      </c>
      <c r="D23" s="1930"/>
      <c r="E23" s="1133">
        <v>1.4999999999999999E-2</v>
      </c>
      <c r="F23" s="1918"/>
      <c r="G23" s="1308" t="s">
        <v>797</v>
      </c>
      <c r="H23" s="1933"/>
      <c r="J23" s="1853"/>
      <c r="K23" s="1915"/>
      <c r="L23" s="1793"/>
      <c r="M23" s="1892"/>
      <c r="N23" s="1838"/>
      <c r="O23" s="1342" t="s">
        <v>1718</v>
      </c>
      <c r="P23" s="1341" t="s">
        <v>1800</v>
      </c>
      <c r="Q23" s="1341">
        <v>0.06</v>
      </c>
      <c r="R23" s="1833"/>
      <c r="S23" s="1128"/>
      <c r="T23" s="1904" t="s">
        <v>2102</v>
      </c>
      <c r="U23" s="1904"/>
      <c r="V23" s="1904"/>
      <c r="W23" s="1904"/>
      <c r="X23" s="1904"/>
      <c r="Y23" s="1904"/>
      <c r="Z23" s="1904"/>
      <c r="AA23" s="1904"/>
      <c r="AB23" s="1904"/>
      <c r="AC23" s="1233"/>
      <c r="AD23" s="1899"/>
      <c r="AE23" s="1901"/>
      <c r="AF23" s="1903"/>
      <c r="AG23" s="1891"/>
      <c r="AH23" s="1865"/>
      <c r="AI23" s="1871"/>
      <c r="AJ23" s="1369"/>
      <c r="AK23" s="1862"/>
      <c r="AL23" s="1119" t="s">
        <v>1745</v>
      </c>
      <c r="AM23" s="1366">
        <v>0.7</v>
      </c>
      <c r="AN23" s="1858"/>
      <c r="AO23" s="1865"/>
      <c r="AP23" s="1868"/>
      <c r="AQ23" s="1860"/>
      <c r="AR23" s="1871"/>
      <c r="AS23" s="1369"/>
      <c r="AT23" s="1894"/>
      <c r="AU23" s="1923"/>
      <c r="AV23" s="1926"/>
      <c r="AW23" s="1357" t="s">
        <v>1823</v>
      </c>
      <c r="AX23" s="1357" t="s">
        <v>1800</v>
      </c>
      <c r="AY23" s="1341">
        <v>0.06</v>
      </c>
      <c r="AZ23" s="1831"/>
      <c r="BA23" s="1843"/>
      <c r="BB23" s="1847"/>
      <c r="BC23" s="1831"/>
      <c r="BE23" s="1792"/>
      <c r="BF23" s="1792"/>
      <c r="BG23" s="1793"/>
      <c r="BH23" s="1786"/>
      <c r="BI23" s="1180" t="s">
        <v>2012</v>
      </c>
      <c r="BJ23" s="1343" t="s">
        <v>1800</v>
      </c>
      <c r="BK23" s="1788"/>
      <c r="BL23" s="1135" t="s">
        <v>2464</v>
      </c>
      <c r="BM23" s="1795"/>
      <c r="BN23" s="1798"/>
      <c r="BO23" s="1801"/>
      <c r="BQ23" s="1792"/>
      <c r="BR23" s="1793"/>
      <c r="BS23" s="1793"/>
      <c r="BT23" s="1787"/>
      <c r="BU23" s="1787"/>
      <c r="BV23" s="1873"/>
      <c r="BW23" s="1831"/>
      <c r="BX23" s="1831"/>
    </row>
    <row r="24" spans="1:97" ht="29.25" customHeight="1" thickBot="1" x14ac:dyDescent="0.3">
      <c r="J24" s="1853"/>
      <c r="K24" s="1915"/>
      <c r="L24" s="1793"/>
      <c r="M24" s="1892"/>
      <c r="N24" s="1838"/>
      <c r="O24" s="1355" t="s">
        <v>1733</v>
      </c>
      <c r="P24" s="1371" t="s">
        <v>1734</v>
      </c>
      <c r="Q24" s="1341">
        <v>0.06</v>
      </c>
      <c r="R24" s="1833"/>
      <c r="S24" s="1128"/>
      <c r="T24" s="1855" t="s">
        <v>2139</v>
      </c>
      <c r="U24" s="1855"/>
      <c r="V24" s="1855"/>
      <c r="W24" s="1855"/>
      <c r="X24" s="1855"/>
      <c r="Y24" s="1855"/>
      <c r="Z24" s="1855"/>
      <c r="AA24" s="1855"/>
      <c r="AB24" s="1855"/>
      <c r="AC24" s="1233"/>
      <c r="AD24" s="237"/>
      <c r="AE24" s="149"/>
      <c r="AF24" s="149"/>
      <c r="AG24" s="149"/>
      <c r="AH24" s="149"/>
      <c r="AI24" s="240"/>
      <c r="AT24" s="1894"/>
      <c r="AU24" s="1923"/>
      <c r="AV24" s="1926"/>
      <c r="AW24" s="1354" t="s">
        <v>1824</v>
      </c>
      <c r="AX24" s="1354" t="s">
        <v>1825</v>
      </c>
      <c r="AY24" s="1341">
        <v>0.06</v>
      </c>
      <c r="AZ24" s="1831"/>
      <c r="BA24" s="1843"/>
      <c r="BB24" s="1847"/>
      <c r="BC24" s="1831"/>
      <c r="BE24" s="1792"/>
      <c r="BF24" s="1792"/>
      <c r="BG24" s="1793"/>
      <c r="BH24" s="1786"/>
      <c r="BI24" s="1180" t="s">
        <v>1733</v>
      </c>
      <c r="BJ24" s="1343" t="s">
        <v>1734</v>
      </c>
      <c r="BK24" s="1789">
        <v>0.4</v>
      </c>
      <c r="BL24" s="1790" t="s">
        <v>2464</v>
      </c>
      <c r="BM24" s="1795"/>
      <c r="BN24" s="1798"/>
      <c r="BO24" s="1801"/>
      <c r="BQ24" s="1143"/>
      <c r="BR24" s="1143"/>
      <c r="BS24" s="1143"/>
      <c r="BT24" s="1143"/>
      <c r="BU24" s="1143"/>
      <c r="BV24" s="1143"/>
      <c r="BW24" s="1143"/>
      <c r="BX24" s="1143"/>
    </row>
    <row r="25" spans="1:97" ht="30.75" thickBot="1" x14ac:dyDescent="0.3">
      <c r="A25" s="1909" t="s">
        <v>1763</v>
      </c>
      <c r="B25" s="1910"/>
      <c r="C25" s="1910"/>
      <c r="D25" s="1910"/>
      <c r="E25" s="1910"/>
      <c r="F25" s="1910"/>
      <c r="G25" s="1910"/>
      <c r="H25" s="1911"/>
      <c r="J25" s="1853"/>
      <c r="K25" s="1915"/>
      <c r="L25" s="1793"/>
      <c r="M25" s="1892"/>
      <c r="N25" s="1838"/>
      <c r="O25" s="1355" t="s">
        <v>1738</v>
      </c>
      <c r="P25" s="1355" t="s">
        <v>1739</v>
      </c>
      <c r="Q25" s="1341">
        <v>0.06</v>
      </c>
      <c r="R25" s="1833"/>
      <c r="S25" s="1128"/>
      <c r="T25" s="1373" t="s">
        <v>931</v>
      </c>
      <c r="U25" s="1177" t="s">
        <v>1704</v>
      </c>
      <c r="V25" s="1373" t="s">
        <v>1706</v>
      </c>
      <c r="W25" s="1373" t="s">
        <v>1681</v>
      </c>
      <c r="X25" s="1373" t="s">
        <v>541</v>
      </c>
      <c r="Y25" s="1373" t="s">
        <v>170</v>
      </c>
      <c r="Z25" s="1272" t="s">
        <v>2135</v>
      </c>
      <c r="AA25" s="1177" t="s">
        <v>2185</v>
      </c>
      <c r="AB25" s="1373" t="s">
        <v>52</v>
      </c>
      <c r="AC25" s="1233"/>
      <c r="AD25" s="1912" t="s">
        <v>2107</v>
      </c>
      <c r="AE25" s="1913"/>
      <c r="AF25" s="1913"/>
      <c r="AG25" s="1913"/>
      <c r="AH25" s="1913"/>
      <c r="AI25" s="1914"/>
      <c r="AK25" s="1886" t="s">
        <v>1767</v>
      </c>
      <c r="AL25" s="1887"/>
      <c r="AM25" s="1887"/>
      <c r="AN25" s="1887"/>
      <c r="AO25" s="1887"/>
      <c r="AP25" s="1887"/>
      <c r="AQ25" s="1887"/>
      <c r="AR25" s="1888"/>
      <c r="AT25" s="1895"/>
      <c r="AU25" s="1924"/>
      <c r="AV25" s="1927"/>
      <c r="AW25" s="1343" t="s">
        <v>1738</v>
      </c>
      <c r="AX25" s="1343" t="s">
        <v>1739</v>
      </c>
      <c r="AY25" s="1341">
        <v>0.06</v>
      </c>
      <c r="AZ25" s="1831"/>
      <c r="BA25" s="1843"/>
      <c r="BB25" s="1847"/>
      <c r="BC25" s="1831"/>
      <c r="BE25" s="1792"/>
      <c r="BF25" s="1792"/>
      <c r="BG25" s="1793"/>
      <c r="BH25" s="1786"/>
      <c r="BI25" s="1181" t="s">
        <v>1738</v>
      </c>
      <c r="BJ25" s="1340" t="s">
        <v>2014</v>
      </c>
      <c r="BK25" s="1789"/>
      <c r="BL25" s="1790"/>
      <c r="BM25" s="1795"/>
      <c r="BN25" s="1798"/>
      <c r="BO25" s="1801"/>
      <c r="BQ25" s="1872" t="s">
        <v>1768</v>
      </c>
      <c r="BR25" s="1872"/>
      <c r="BS25" s="1872"/>
      <c r="BT25" s="1872"/>
      <c r="BU25" s="1872"/>
      <c r="BV25" s="1872"/>
      <c r="BW25" s="1872"/>
      <c r="BX25" s="1872"/>
    </row>
    <row r="26" spans="1:97" ht="44.25" customHeight="1" thickBot="1" x14ac:dyDescent="0.3">
      <c r="A26" s="1355" t="s">
        <v>1703</v>
      </c>
      <c r="B26" s="1355" t="s">
        <v>1704</v>
      </c>
      <c r="C26" s="1355" t="s">
        <v>1711</v>
      </c>
      <c r="D26" s="1355" t="s">
        <v>1706</v>
      </c>
      <c r="E26" s="1343" t="s">
        <v>170</v>
      </c>
      <c r="F26" s="1221" t="s">
        <v>2135</v>
      </c>
      <c r="G26" s="1343" t="s">
        <v>1708</v>
      </c>
      <c r="H26" s="1355" t="s">
        <v>52</v>
      </c>
      <c r="J26" s="1853"/>
      <c r="K26" s="1915"/>
      <c r="L26" s="1793"/>
      <c r="M26" s="1892" t="s">
        <v>1748</v>
      </c>
      <c r="N26" s="1838"/>
      <c r="O26" s="1342" t="s">
        <v>1718</v>
      </c>
      <c r="P26" s="1341" t="s">
        <v>1798</v>
      </c>
      <c r="Q26" s="1341">
        <v>5.7500000000000002E-2</v>
      </c>
      <c r="R26" s="1833"/>
      <c r="S26" s="1128"/>
      <c r="T26" s="1365" t="s">
        <v>1815</v>
      </c>
      <c r="U26" s="1156" t="s">
        <v>1820</v>
      </c>
      <c r="V26" s="1340">
        <v>0.2</v>
      </c>
      <c r="W26" s="1789" t="s">
        <v>2016</v>
      </c>
      <c r="X26" s="1829" t="s">
        <v>2017</v>
      </c>
      <c r="Y26" s="1341" t="s">
        <v>2464</v>
      </c>
      <c r="Z26" s="1835">
        <v>8.56</v>
      </c>
      <c r="AA26" s="1790">
        <v>0.01</v>
      </c>
      <c r="AB26" s="1792" t="s">
        <v>2133</v>
      </c>
      <c r="AC26" s="1239"/>
      <c r="AD26" s="1192" t="s">
        <v>1709</v>
      </c>
      <c r="AE26" s="1122" t="s">
        <v>2184</v>
      </c>
      <c r="AF26" s="1193" t="s">
        <v>1810</v>
      </c>
      <c r="AG26" s="1194" t="s">
        <v>1707</v>
      </c>
      <c r="AH26" s="1216" t="s">
        <v>78</v>
      </c>
      <c r="AI26" s="1195" t="s">
        <v>52</v>
      </c>
      <c r="AK26" s="1105" t="s">
        <v>1709</v>
      </c>
      <c r="AL26" s="1106" t="s">
        <v>1704</v>
      </c>
      <c r="AM26" s="1107" t="s">
        <v>1810</v>
      </c>
      <c r="AN26" s="1108" t="s">
        <v>1707</v>
      </c>
      <c r="AO26" s="1221" t="s">
        <v>78</v>
      </c>
      <c r="AP26" s="1221" t="s">
        <v>2135</v>
      </c>
      <c r="AQ26" s="1109" t="s">
        <v>1708</v>
      </c>
      <c r="AR26" s="1104" t="s">
        <v>52</v>
      </c>
      <c r="AT26" s="1321"/>
      <c r="AU26" s="1322"/>
      <c r="AV26" s="1321"/>
      <c r="AW26" s="1322"/>
      <c r="AX26" s="1322"/>
      <c r="AY26" s="1321"/>
      <c r="AZ26" s="1322"/>
      <c r="BA26" s="1321"/>
      <c r="BB26" s="1321"/>
      <c r="BC26" s="1321"/>
      <c r="BE26" s="1792"/>
      <c r="BF26" s="1792" t="s">
        <v>2470</v>
      </c>
      <c r="BG26" s="1793" t="s">
        <v>1735</v>
      </c>
      <c r="BH26" s="1786">
        <v>1300</v>
      </c>
      <c r="BI26" s="1180" t="s">
        <v>2012</v>
      </c>
      <c r="BJ26" s="1339" t="s">
        <v>1798</v>
      </c>
      <c r="BK26" s="1787">
        <v>0.3</v>
      </c>
      <c r="BL26" s="1378" t="s">
        <v>1762</v>
      </c>
      <c r="BM26" s="1795"/>
      <c r="BN26" s="1798"/>
      <c r="BO26" s="1801"/>
      <c r="BQ26" s="1373" t="s">
        <v>1709</v>
      </c>
      <c r="BR26" s="1373" t="s">
        <v>1704</v>
      </c>
      <c r="BS26" s="1373" t="s">
        <v>1712</v>
      </c>
      <c r="BT26" s="1373" t="s">
        <v>1706</v>
      </c>
      <c r="BU26" s="1178" t="s">
        <v>1707</v>
      </c>
      <c r="BV26" s="1272" t="s">
        <v>2135</v>
      </c>
      <c r="BW26" s="1179" t="s">
        <v>78</v>
      </c>
      <c r="BX26" s="1179" t="s">
        <v>52</v>
      </c>
    </row>
    <row r="27" spans="1:97" ht="33" customHeight="1" x14ac:dyDescent="0.25">
      <c r="A27" s="1199" t="s">
        <v>2103</v>
      </c>
      <c r="B27" s="1355" t="s">
        <v>2138</v>
      </c>
      <c r="C27" s="1355" t="s">
        <v>1360</v>
      </c>
      <c r="D27" s="1906">
        <v>0.3</v>
      </c>
      <c r="E27" s="1200">
        <v>0</v>
      </c>
      <c r="F27" s="1916">
        <v>8.56</v>
      </c>
      <c r="G27" s="1200">
        <v>0.02</v>
      </c>
      <c r="H27" s="1919" t="s">
        <v>2197</v>
      </c>
      <c r="J27" s="1853"/>
      <c r="K27" s="1915"/>
      <c r="L27" s="1793"/>
      <c r="M27" s="1892"/>
      <c r="N27" s="1838"/>
      <c r="O27" s="1342" t="s">
        <v>1718</v>
      </c>
      <c r="P27" s="1341" t="s">
        <v>1799</v>
      </c>
      <c r="Q27" s="1341">
        <v>5.8500000000000003E-2</v>
      </c>
      <c r="R27" s="1833"/>
      <c r="S27" s="1128"/>
      <c r="T27" s="1365" t="s">
        <v>1817</v>
      </c>
      <c r="U27" s="1156" t="s">
        <v>1735</v>
      </c>
      <c r="V27" s="1340">
        <v>0.2</v>
      </c>
      <c r="W27" s="1789"/>
      <c r="X27" s="1829"/>
      <c r="Y27" s="1790" t="s">
        <v>2464</v>
      </c>
      <c r="Z27" s="1835"/>
      <c r="AA27" s="1790"/>
      <c r="AB27" s="1792"/>
      <c r="AC27" s="1236"/>
      <c r="AD27" s="1196" t="s">
        <v>2103</v>
      </c>
      <c r="AE27" s="1296" t="s">
        <v>1720</v>
      </c>
      <c r="AF27" s="1295">
        <v>0.85</v>
      </c>
      <c r="AG27" s="1190" t="s">
        <v>1762</v>
      </c>
      <c r="AH27" s="1863">
        <v>0.01</v>
      </c>
      <c r="AI27" s="1869" t="s">
        <v>1722</v>
      </c>
      <c r="AK27" s="1124" t="s">
        <v>1761</v>
      </c>
      <c r="AL27" s="1303" t="s">
        <v>1723</v>
      </c>
      <c r="AM27" s="1295">
        <v>0.7</v>
      </c>
      <c r="AN27" s="1905" t="s">
        <v>1762</v>
      </c>
      <c r="AO27" s="1863">
        <v>0.01</v>
      </c>
      <c r="AP27" s="1866">
        <v>8.56</v>
      </c>
      <c r="AQ27" s="1217" t="s">
        <v>1724</v>
      </c>
      <c r="AR27" s="1869" t="s">
        <v>1722</v>
      </c>
      <c r="AT27" s="1836" t="s">
        <v>2140</v>
      </c>
      <c r="AU27" s="1836"/>
      <c r="AV27" s="1836"/>
      <c r="AW27" s="1836"/>
      <c r="AX27" s="1836"/>
      <c r="AY27" s="1836"/>
      <c r="AZ27" s="1836"/>
      <c r="BA27" s="1836"/>
      <c r="BB27" s="1836"/>
      <c r="BC27" s="1836"/>
      <c r="BE27" s="1792"/>
      <c r="BF27" s="1792"/>
      <c r="BG27" s="1793"/>
      <c r="BH27" s="1786"/>
      <c r="BI27" s="1180" t="s">
        <v>2012</v>
      </c>
      <c r="BJ27" s="1339" t="s">
        <v>1799</v>
      </c>
      <c r="BK27" s="1788"/>
      <c r="BL27" s="1378" t="s">
        <v>2469</v>
      </c>
      <c r="BM27" s="1795"/>
      <c r="BN27" s="1798"/>
      <c r="BO27" s="1801"/>
      <c r="BQ27" s="1341" t="s">
        <v>1761</v>
      </c>
      <c r="BR27" s="1793" t="s">
        <v>2099</v>
      </c>
      <c r="BS27" s="1793" t="s">
        <v>1726</v>
      </c>
      <c r="BT27" s="1787">
        <v>0.5</v>
      </c>
      <c r="BU27" s="1789" t="s">
        <v>2483</v>
      </c>
      <c r="BV27" s="1873">
        <v>8.56</v>
      </c>
      <c r="BW27" s="1831">
        <v>0.01</v>
      </c>
      <c r="BX27" s="1831" t="s">
        <v>1728</v>
      </c>
    </row>
    <row r="28" spans="1:97" ht="60" x14ac:dyDescent="0.25">
      <c r="A28" s="1201" t="s">
        <v>2108</v>
      </c>
      <c r="B28" s="1355" t="s">
        <v>1749</v>
      </c>
      <c r="C28" s="1148">
        <v>1150</v>
      </c>
      <c r="D28" s="1907"/>
      <c r="E28" s="1133">
        <v>1.4999999999999999E-2</v>
      </c>
      <c r="F28" s="1917"/>
      <c r="G28" s="1200">
        <v>0.02</v>
      </c>
      <c r="H28" s="1920"/>
      <c r="J28" s="1853"/>
      <c r="K28" s="1915"/>
      <c r="L28" s="1793"/>
      <c r="M28" s="1892"/>
      <c r="N28" s="1838"/>
      <c r="O28" s="1342" t="s">
        <v>1718</v>
      </c>
      <c r="P28" s="1341" t="s">
        <v>1800</v>
      </c>
      <c r="Q28" s="1341">
        <v>0.06</v>
      </c>
      <c r="R28" s="1833"/>
      <c r="S28" s="1128"/>
      <c r="T28" s="1358" t="s">
        <v>1821</v>
      </c>
      <c r="U28" s="1156" t="s">
        <v>1736</v>
      </c>
      <c r="V28" s="1340">
        <v>0.3</v>
      </c>
      <c r="W28" s="1789"/>
      <c r="X28" s="1829"/>
      <c r="Y28" s="1790"/>
      <c r="Z28" s="1835"/>
      <c r="AA28" s="1790"/>
      <c r="AB28" s="1792"/>
      <c r="AC28" s="1231"/>
      <c r="AD28" s="1197" t="s">
        <v>2109</v>
      </c>
      <c r="AE28" s="1304" t="s">
        <v>1753</v>
      </c>
      <c r="AF28" s="1362">
        <v>0.85</v>
      </c>
      <c r="AG28" s="1889" t="s">
        <v>1762</v>
      </c>
      <c r="AH28" s="1864"/>
      <c r="AI28" s="1870"/>
      <c r="AK28" s="1359" t="s">
        <v>1759</v>
      </c>
      <c r="AL28" s="1304" t="s">
        <v>1735</v>
      </c>
      <c r="AM28" s="1362">
        <v>0.6</v>
      </c>
      <c r="AN28" s="1857"/>
      <c r="AO28" s="1864"/>
      <c r="AP28" s="1867"/>
      <c r="AQ28" s="1859" t="s">
        <v>797</v>
      </c>
      <c r="AR28" s="1870"/>
      <c r="AT28" s="1165" t="s">
        <v>1709</v>
      </c>
      <c r="AU28" s="1286" t="s">
        <v>2098</v>
      </c>
      <c r="AV28" s="1165" t="s">
        <v>1706</v>
      </c>
      <c r="AW28" s="1286" t="s">
        <v>1681</v>
      </c>
      <c r="AX28" s="1286" t="s">
        <v>541</v>
      </c>
      <c r="AY28" s="1312" t="s">
        <v>1707</v>
      </c>
      <c r="AZ28" s="1179" t="s">
        <v>1708</v>
      </c>
      <c r="BA28" s="1272" t="s">
        <v>2135</v>
      </c>
      <c r="BB28" s="1313" t="s">
        <v>78</v>
      </c>
      <c r="BC28" s="1179" t="s">
        <v>52</v>
      </c>
      <c r="BE28" s="1792"/>
      <c r="BF28" s="1792"/>
      <c r="BG28" s="1793"/>
      <c r="BH28" s="1786"/>
      <c r="BI28" s="1180" t="s">
        <v>2012</v>
      </c>
      <c r="BJ28" s="1343" t="s">
        <v>1800</v>
      </c>
      <c r="BK28" s="1788"/>
      <c r="BL28" s="1135" t="s">
        <v>2464</v>
      </c>
      <c r="BM28" s="1795"/>
      <c r="BN28" s="1798"/>
      <c r="BO28" s="1801"/>
      <c r="BQ28" s="1341" t="s">
        <v>1759</v>
      </c>
      <c r="BR28" s="1793"/>
      <c r="BS28" s="1793"/>
      <c r="BT28" s="1787"/>
      <c r="BU28" s="1787"/>
      <c r="BV28" s="1873"/>
      <c r="BW28" s="1831"/>
      <c r="BX28" s="1831"/>
    </row>
    <row r="29" spans="1:97" ht="30.75" customHeight="1" x14ac:dyDescent="0.25">
      <c r="A29" s="1896" t="s">
        <v>2110</v>
      </c>
      <c r="B29" s="1355" t="s">
        <v>1811</v>
      </c>
      <c r="C29" s="1148">
        <v>1600</v>
      </c>
      <c r="D29" s="1907"/>
      <c r="E29" s="1133">
        <v>1.4999999999999999E-2</v>
      </c>
      <c r="F29" s="1917"/>
      <c r="G29" s="1200" t="s">
        <v>1724</v>
      </c>
      <c r="H29" s="1920"/>
      <c r="J29" s="1853"/>
      <c r="K29" s="1915"/>
      <c r="L29" s="1793"/>
      <c r="M29" s="1892"/>
      <c r="N29" s="1838"/>
      <c r="O29" s="1371" t="s">
        <v>1733</v>
      </c>
      <c r="P29" s="1371" t="s">
        <v>1734</v>
      </c>
      <c r="Q29" s="1341">
        <v>0.06</v>
      </c>
      <c r="R29" s="1833"/>
      <c r="S29" s="1128"/>
      <c r="T29" s="1237"/>
      <c r="U29" s="1155"/>
      <c r="V29" s="1155"/>
      <c r="W29" s="1155"/>
      <c r="X29" s="1155"/>
      <c r="Y29" s="1155"/>
      <c r="Z29" s="1155"/>
      <c r="AA29" s="1155"/>
      <c r="AB29" s="1238"/>
      <c r="AC29" s="1240"/>
      <c r="AD29" s="1898" t="s">
        <v>2105</v>
      </c>
      <c r="AE29" s="1900" t="s">
        <v>2121</v>
      </c>
      <c r="AF29" s="1902">
        <v>0.7</v>
      </c>
      <c r="AG29" s="1890"/>
      <c r="AH29" s="1864"/>
      <c r="AI29" s="1870"/>
      <c r="AK29" s="1861" t="s">
        <v>1764</v>
      </c>
      <c r="AL29" s="1304" t="s">
        <v>1741</v>
      </c>
      <c r="AM29" s="1362">
        <v>0.5</v>
      </c>
      <c r="AN29" s="1857"/>
      <c r="AO29" s="1864"/>
      <c r="AP29" s="1867"/>
      <c r="AQ29" s="1859"/>
      <c r="AR29" s="1870"/>
      <c r="AT29" s="1893" t="s">
        <v>1713</v>
      </c>
      <c r="AU29" s="1793" t="s">
        <v>1723</v>
      </c>
      <c r="AV29" s="1787">
        <v>0.15</v>
      </c>
      <c r="AW29" s="1357" t="s">
        <v>1823</v>
      </c>
      <c r="AX29" s="1363" t="s">
        <v>1798</v>
      </c>
      <c r="AY29" s="1341">
        <v>5.7500000000000002E-2</v>
      </c>
      <c r="AZ29" s="1831" t="s">
        <v>1724</v>
      </c>
      <c r="BA29" s="1843">
        <v>8.56</v>
      </c>
      <c r="BB29" s="1823" t="s">
        <v>797</v>
      </c>
      <c r="BC29" s="1831" t="s">
        <v>1719</v>
      </c>
      <c r="BE29" s="1792"/>
      <c r="BF29" s="1792"/>
      <c r="BG29" s="1793"/>
      <c r="BH29" s="1786"/>
      <c r="BI29" s="1180" t="s">
        <v>1733</v>
      </c>
      <c r="BJ29" s="1343" t="s">
        <v>1734</v>
      </c>
      <c r="BK29" s="1789">
        <v>0.4</v>
      </c>
      <c r="BL29" s="1790" t="s">
        <v>2464</v>
      </c>
      <c r="BM29" s="1795"/>
      <c r="BN29" s="1798"/>
      <c r="BO29" s="1801"/>
      <c r="BQ29" s="1792" t="s">
        <v>1765</v>
      </c>
      <c r="BR29" s="1793"/>
      <c r="BS29" s="1793"/>
      <c r="BT29" s="1787"/>
      <c r="BU29" s="1787"/>
      <c r="BV29" s="1873"/>
      <c r="BW29" s="1831"/>
      <c r="BX29" s="1831"/>
    </row>
    <row r="30" spans="1:97" ht="31.5" customHeight="1" thickBot="1" x14ac:dyDescent="0.3">
      <c r="A30" s="1897"/>
      <c r="B30" s="1355" t="s">
        <v>1813</v>
      </c>
      <c r="C30" s="1148">
        <v>1800</v>
      </c>
      <c r="D30" s="1908"/>
      <c r="E30" s="1133">
        <v>1.4999999999999999E-2</v>
      </c>
      <c r="F30" s="1918"/>
      <c r="G30" s="1200" t="s">
        <v>797</v>
      </c>
      <c r="H30" s="1921"/>
      <c r="J30" s="1853"/>
      <c r="K30" s="1915"/>
      <c r="L30" s="1793"/>
      <c r="M30" s="1892"/>
      <c r="N30" s="1838"/>
      <c r="O30" s="1371" t="s">
        <v>1738</v>
      </c>
      <c r="P30" s="1371" t="s">
        <v>1739</v>
      </c>
      <c r="Q30" s="1341">
        <v>0.06</v>
      </c>
      <c r="R30" s="1834"/>
      <c r="S30" s="1128"/>
      <c r="T30" s="1904" t="s">
        <v>2102</v>
      </c>
      <c r="U30" s="1904"/>
      <c r="V30" s="1904"/>
      <c r="W30" s="1904"/>
      <c r="X30" s="1904"/>
      <c r="Y30" s="1904"/>
      <c r="Z30" s="1904"/>
      <c r="AA30" s="1904"/>
      <c r="AB30" s="1904"/>
      <c r="AC30" s="1233"/>
      <c r="AD30" s="1899"/>
      <c r="AE30" s="1901"/>
      <c r="AF30" s="1903"/>
      <c r="AG30" s="1891"/>
      <c r="AH30" s="1865"/>
      <c r="AI30" s="1871"/>
      <c r="AK30" s="1862"/>
      <c r="AL30" s="1119" t="s">
        <v>1745</v>
      </c>
      <c r="AM30" s="1125">
        <v>0.5</v>
      </c>
      <c r="AN30" s="1858"/>
      <c r="AO30" s="1865"/>
      <c r="AP30" s="1868"/>
      <c r="AQ30" s="1860"/>
      <c r="AR30" s="1871"/>
      <c r="AT30" s="1894"/>
      <c r="AU30" s="1793"/>
      <c r="AV30" s="1787"/>
      <c r="AW30" s="1357" t="s">
        <v>1823</v>
      </c>
      <c r="AX30" s="1363" t="s">
        <v>2465</v>
      </c>
      <c r="AY30" s="1341">
        <v>5.8500000000000003E-2</v>
      </c>
      <c r="AZ30" s="1831"/>
      <c r="BA30" s="1843"/>
      <c r="BB30" s="1824"/>
      <c r="BC30" s="1831"/>
      <c r="BE30" s="1792"/>
      <c r="BF30" s="1792"/>
      <c r="BG30" s="1793"/>
      <c r="BH30" s="1786"/>
      <c r="BI30" s="1181" t="s">
        <v>1738</v>
      </c>
      <c r="BJ30" s="1340" t="s">
        <v>2014</v>
      </c>
      <c r="BK30" s="1789"/>
      <c r="BL30" s="1790"/>
      <c r="BM30" s="1795"/>
      <c r="BN30" s="1798"/>
      <c r="BO30" s="1801"/>
      <c r="BQ30" s="1792"/>
      <c r="BR30" s="1793"/>
      <c r="BS30" s="1793"/>
      <c r="BT30" s="1787"/>
      <c r="BU30" s="1787"/>
      <c r="BV30" s="1873"/>
      <c r="BW30" s="1831"/>
      <c r="BX30" s="1831"/>
    </row>
    <row r="31" spans="1:97" ht="60.75" customHeight="1" thickBot="1" x14ac:dyDescent="0.3">
      <c r="J31" s="1853"/>
      <c r="K31" s="1793" t="s">
        <v>1740</v>
      </c>
      <c r="L31" s="1827" t="s">
        <v>1754</v>
      </c>
      <c r="M31" s="1789">
        <v>0.2</v>
      </c>
      <c r="N31" s="1838">
        <v>8.56</v>
      </c>
      <c r="O31" s="1342" t="s">
        <v>1718</v>
      </c>
      <c r="P31" s="1341" t="s">
        <v>1798</v>
      </c>
      <c r="Q31" s="1341">
        <v>5.7500000000000002E-2</v>
      </c>
      <c r="R31" s="1792" t="s">
        <v>1719</v>
      </c>
      <c r="S31" s="1128"/>
      <c r="T31" s="1855" t="s">
        <v>2137</v>
      </c>
      <c r="U31" s="1855"/>
      <c r="V31" s="1855"/>
      <c r="W31" s="1855"/>
      <c r="X31" s="1855"/>
      <c r="Y31" s="1855"/>
      <c r="Z31" s="1855"/>
      <c r="AA31" s="1855"/>
      <c r="AB31" s="1855"/>
      <c r="AC31" s="1233"/>
      <c r="AT31" s="1894"/>
      <c r="AU31" s="1793"/>
      <c r="AV31" s="1787"/>
      <c r="AW31" s="1357" t="s">
        <v>1823</v>
      </c>
      <c r="AX31" s="1357" t="s">
        <v>1800</v>
      </c>
      <c r="AY31" s="1341">
        <v>0.06</v>
      </c>
      <c r="AZ31" s="1831"/>
      <c r="BA31" s="1843"/>
      <c r="BB31" s="1824"/>
      <c r="BC31" s="1831"/>
      <c r="BE31" s="1792"/>
      <c r="BF31" s="1792"/>
      <c r="BG31" s="1793" t="s">
        <v>1736</v>
      </c>
      <c r="BH31" s="1804" t="s">
        <v>2471</v>
      </c>
      <c r="BI31" s="1180" t="s">
        <v>2012</v>
      </c>
      <c r="BJ31" s="1339" t="s">
        <v>1798</v>
      </c>
      <c r="BK31" s="1787">
        <v>0.3</v>
      </c>
      <c r="BL31" s="1378" t="s">
        <v>1762</v>
      </c>
      <c r="BM31" s="1795"/>
      <c r="BN31" s="1798"/>
      <c r="BO31" s="1801"/>
      <c r="BQ31" s="1143"/>
      <c r="BR31" s="1143"/>
      <c r="BS31" s="1143"/>
      <c r="BT31" s="1143"/>
      <c r="BU31" s="1143"/>
      <c r="BV31" s="1143"/>
      <c r="BW31" s="1143"/>
      <c r="BX31" s="1143"/>
    </row>
    <row r="32" spans="1:97" ht="36" customHeight="1" thickBot="1" x14ac:dyDescent="0.3">
      <c r="J32" s="1853"/>
      <c r="K32" s="1793"/>
      <c r="L32" s="1827"/>
      <c r="M32" s="1789"/>
      <c r="N32" s="1838"/>
      <c r="O32" s="1342" t="s">
        <v>1718</v>
      </c>
      <c r="P32" s="1341" t="s">
        <v>1799</v>
      </c>
      <c r="Q32" s="1341">
        <v>5.8500000000000003E-2</v>
      </c>
      <c r="R32" s="1792"/>
      <c r="S32" s="1128"/>
      <c r="T32" s="1373" t="s">
        <v>931</v>
      </c>
      <c r="U32" s="1177" t="s">
        <v>1704</v>
      </c>
      <c r="V32" s="1373" t="s">
        <v>1706</v>
      </c>
      <c r="W32" s="1373" t="s">
        <v>1681</v>
      </c>
      <c r="X32" s="1373" t="s">
        <v>541</v>
      </c>
      <c r="Y32" s="1373" t="s">
        <v>170</v>
      </c>
      <c r="Z32" s="1272" t="s">
        <v>2135</v>
      </c>
      <c r="AA32" s="1177" t="s">
        <v>78</v>
      </c>
      <c r="AB32" s="1323" t="s">
        <v>52</v>
      </c>
      <c r="AC32" s="1233"/>
      <c r="AD32" t="s">
        <v>2187</v>
      </c>
      <c r="AK32" s="1886" t="s">
        <v>2101</v>
      </c>
      <c r="AL32" s="1887"/>
      <c r="AM32" s="1887"/>
      <c r="AN32" s="1887"/>
      <c r="AO32" s="1887"/>
      <c r="AP32" s="1887"/>
      <c r="AQ32" s="1887"/>
      <c r="AR32" s="1888"/>
      <c r="AT32" s="1894"/>
      <c r="AU32" s="1793"/>
      <c r="AV32" s="1787"/>
      <c r="AW32" s="1354" t="s">
        <v>1824</v>
      </c>
      <c r="AX32" s="1354" t="s">
        <v>1825</v>
      </c>
      <c r="AY32" s="1341">
        <v>0.06</v>
      </c>
      <c r="AZ32" s="1831"/>
      <c r="BA32" s="1843"/>
      <c r="BB32" s="1824"/>
      <c r="BC32" s="1831"/>
      <c r="BE32" s="1792"/>
      <c r="BF32" s="1792"/>
      <c r="BG32" s="1793"/>
      <c r="BH32" s="1805"/>
      <c r="BI32" s="1180" t="s">
        <v>2012</v>
      </c>
      <c r="BJ32" s="1339" t="s">
        <v>1799</v>
      </c>
      <c r="BK32" s="1788"/>
      <c r="BL32" s="1378" t="s">
        <v>2469</v>
      </c>
      <c r="BM32" s="1795"/>
      <c r="BN32" s="1798"/>
      <c r="BO32" s="1801"/>
      <c r="BQ32" s="1872" t="s">
        <v>2111</v>
      </c>
      <c r="BR32" s="1872"/>
      <c r="BS32" s="1872"/>
      <c r="BT32" s="1872"/>
      <c r="BU32" s="1872"/>
      <c r="BV32" s="1872"/>
      <c r="BW32" s="1872"/>
      <c r="BX32" s="1872"/>
    </row>
    <row r="33" spans="10:76" ht="60.75" customHeight="1" thickBot="1" x14ac:dyDescent="0.3">
      <c r="J33" s="1853"/>
      <c r="K33" s="1793"/>
      <c r="L33" s="1827"/>
      <c r="M33" s="1789"/>
      <c r="N33" s="1838"/>
      <c r="O33" s="1342" t="s">
        <v>1718</v>
      </c>
      <c r="P33" s="1341" t="s">
        <v>1800</v>
      </c>
      <c r="Q33" s="1341">
        <v>0.06</v>
      </c>
      <c r="R33" s="1792"/>
      <c r="S33" s="1128"/>
      <c r="T33" s="1358" t="s">
        <v>2142</v>
      </c>
      <c r="U33" s="1156" t="s">
        <v>1820</v>
      </c>
      <c r="V33" s="1340">
        <v>0.3</v>
      </c>
      <c r="W33" s="1789" t="s">
        <v>2016</v>
      </c>
      <c r="X33" s="1829" t="s">
        <v>2017</v>
      </c>
      <c r="Y33" s="1361" t="s">
        <v>1730</v>
      </c>
      <c r="Z33" s="1835">
        <v>8.56</v>
      </c>
      <c r="AA33" s="1874">
        <v>0.01</v>
      </c>
      <c r="AB33" s="1875" t="s">
        <v>1722</v>
      </c>
      <c r="AC33" s="1243"/>
      <c r="AD33" s="1876" t="s">
        <v>2188</v>
      </c>
      <c r="AE33" s="1877"/>
      <c r="AF33" s="1878"/>
      <c r="AK33" s="1105" t="s">
        <v>1709</v>
      </c>
      <c r="AL33" s="1106" t="s">
        <v>1704</v>
      </c>
      <c r="AM33" s="1107" t="s">
        <v>1810</v>
      </c>
      <c r="AN33" s="1108" t="s">
        <v>1707</v>
      </c>
      <c r="AO33" s="1221" t="s">
        <v>78</v>
      </c>
      <c r="AP33" s="1221" t="s">
        <v>2135</v>
      </c>
      <c r="AQ33" s="1109" t="s">
        <v>1708</v>
      </c>
      <c r="AR33" s="1104" t="s">
        <v>52</v>
      </c>
      <c r="AT33" s="1895"/>
      <c r="AU33" s="1793"/>
      <c r="AV33" s="1787"/>
      <c r="AW33" s="1343" t="s">
        <v>1738</v>
      </c>
      <c r="AX33" s="1343" t="s">
        <v>1739</v>
      </c>
      <c r="AY33" s="1341">
        <v>0.06</v>
      </c>
      <c r="AZ33" s="1831"/>
      <c r="BA33" s="1843"/>
      <c r="BB33" s="1824"/>
      <c r="BC33" s="1831"/>
      <c r="BE33" s="1792"/>
      <c r="BF33" s="1792"/>
      <c r="BG33" s="1793"/>
      <c r="BH33" s="1805"/>
      <c r="BI33" s="1180" t="s">
        <v>2012</v>
      </c>
      <c r="BJ33" s="1343" t="s">
        <v>1800</v>
      </c>
      <c r="BK33" s="1788"/>
      <c r="BL33" s="1135" t="s">
        <v>2464</v>
      </c>
      <c r="BM33" s="1795"/>
      <c r="BN33" s="1798"/>
      <c r="BO33" s="1801"/>
      <c r="BQ33" s="1373" t="s">
        <v>1709</v>
      </c>
      <c r="BR33" s="1373" t="s">
        <v>1704</v>
      </c>
      <c r="BS33" s="1373" t="s">
        <v>1712</v>
      </c>
      <c r="BT33" s="1373" t="s">
        <v>1706</v>
      </c>
      <c r="BU33" s="1178" t="s">
        <v>1707</v>
      </c>
      <c r="BV33" s="1272" t="s">
        <v>2135</v>
      </c>
      <c r="BW33" s="1179" t="s">
        <v>78</v>
      </c>
      <c r="BX33" s="1179" t="s">
        <v>52</v>
      </c>
    </row>
    <row r="34" spans="10:76" ht="31.5" customHeight="1" x14ac:dyDescent="0.25">
      <c r="J34" s="1853"/>
      <c r="K34" s="1793"/>
      <c r="L34" s="1827"/>
      <c r="M34" s="1789"/>
      <c r="N34" s="1838"/>
      <c r="O34" s="1371" t="s">
        <v>1733</v>
      </c>
      <c r="P34" s="1343" t="s">
        <v>1769</v>
      </c>
      <c r="Q34" s="1341">
        <v>0.06</v>
      </c>
      <c r="R34" s="1792"/>
      <c r="S34" s="1128"/>
      <c r="T34" s="1365" t="s">
        <v>1822</v>
      </c>
      <c r="U34" s="1156" t="s">
        <v>1735</v>
      </c>
      <c r="V34" s="1340">
        <v>0.3</v>
      </c>
      <c r="W34" s="1789"/>
      <c r="X34" s="1829"/>
      <c r="Y34" s="1874" t="s">
        <v>1730</v>
      </c>
      <c r="Z34" s="1835"/>
      <c r="AA34" s="1874"/>
      <c r="AB34" s="1875"/>
      <c r="AC34" s="1231"/>
      <c r="AD34" s="1244" t="s">
        <v>2189</v>
      </c>
      <c r="AE34" s="1245" t="s">
        <v>2190</v>
      </c>
      <c r="AF34" s="1245" t="s">
        <v>2191</v>
      </c>
      <c r="AK34" s="1124" t="s">
        <v>1713</v>
      </c>
      <c r="AL34" s="1303" t="s">
        <v>1774</v>
      </c>
      <c r="AM34" s="1297">
        <v>0.85</v>
      </c>
      <c r="AN34" s="1215">
        <v>5.7500000000000002E-2</v>
      </c>
      <c r="AO34" s="1863" t="s">
        <v>797</v>
      </c>
      <c r="AP34" s="1866">
        <v>8.56</v>
      </c>
      <c r="AQ34" s="1217" t="s">
        <v>1724</v>
      </c>
      <c r="AR34" s="1869" t="s">
        <v>1719</v>
      </c>
      <c r="AT34" s="1882" t="s">
        <v>1731</v>
      </c>
      <c r="AU34" s="1793" t="s">
        <v>1735</v>
      </c>
      <c r="AV34" s="1787">
        <v>0.2</v>
      </c>
      <c r="AW34" s="1357" t="s">
        <v>1823</v>
      </c>
      <c r="AX34" s="1363" t="s">
        <v>1798</v>
      </c>
      <c r="AY34" s="1341">
        <v>5.7500000000000002E-2</v>
      </c>
      <c r="AZ34" s="1831" t="s">
        <v>797</v>
      </c>
      <c r="BA34" s="1843"/>
      <c r="BB34" s="1824"/>
      <c r="BC34" s="1831"/>
      <c r="BE34" s="1792"/>
      <c r="BF34" s="1792"/>
      <c r="BG34" s="1793"/>
      <c r="BH34" s="1805"/>
      <c r="BI34" s="1180" t="s">
        <v>1733</v>
      </c>
      <c r="BJ34" s="1343" t="s">
        <v>1734</v>
      </c>
      <c r="BK34" s="1789">
        <v>0.4</v>
      </c>
      <c r="BL34" s="1790" t="s">
        <v>2464</v>
      </c>
      <c r="BM34" s="1795"/>
      <c r="BN34" s="1798"/>
      <c r="BO34" s="1801"/>
      <c r="BQ34" s="1341" t="s">
        <v>1713</v>
      </c>
      <c r="BR34" s="1793" t="s">
        <v>2099</v>
      </c>
      <c r="BS34" s="1793" t="s">
        <v>1726</v>
      </c>
      <c r="BT34" s="1787">
        <v>0.5</v>
      </c>
      <c r="BU34" s="1789" t="s">
        <v>2468</v>
      </c>
      <c r="BV34" s="1873">
        <v>8.56</v>
      </c>
      <c r="BW34" s="1831">
        <v>0.01</v>
      </c>
      <c r="BX34" s="1831" t="s">
        <v>1728</v>
      </c>
    </row>
    <row r="35" spans="10:76" ht="60" x14ac:dyDescent="0.25">
      <c r="J35" s="1853"/>
      <c r="K35" s="1793"/>
      <c r="L35" s="1827"/>
      <c r="M35" s="1789"/>
      <c r="N35" s="1838"/>
      <c r="O35" s="1371" t="s">
        <v>1738</v>
      </c>
      <c r="P35" s="1343" t="s">
        <v>1739</v>
      </c>
      <c r="Q35" s="1341">
        <v>0.06</v>
      </c>
      <c r="R35" s="1792"/>
      <c r="S35" s="1128"/>
      <c r="T35" s="1358" t="s">
        <v>1821</v>
      </c>
      <c r="U35" s="1156" t="s">
        <v>1736</v>
      </c>
      <c r="V35" s="1340">
        <v>0.4</v>
      </c>
      <c r="W35" s="1789"/>
      <c r="X35" s="1829"/>
      <c r="Y35" s="1874"/>
      <c r="Z35" s="1835"/>
      <c r="AA35" s="1874"/>
      <c r="AB35" s="1875"/>
      <c r="AC35" s="1231"/>
      <c r="AD35" s="1298" t="s">
        <v>2192</v>
      </c>
      <c r="AE35" s="1246" t="s">
        <v>2193</v>
      </c>
      <c r="AF35" s="1299">
        <v>0.01</v>
      </c>
      <c r="AK35" s="1220" t="s">
        <v>2109</v>
      </c>
      <c r="AL35" s="1304" t="s">
        <v>1735</v>
      </c>
      <c r="AM35" s="1141">
        <v>0.8</v>
      </c>
      <c r="AN35" s="1856">
        <v>5.7500000000000002E-2</v>
      </c>
      <c r="AO35" s="1864"/>
      <c r="AP35" s="1867"/>
      <c r="AQ35" s="1859" t="s">
        <v>797</v>
      </c>
      <c r="AR35" s="1870"/>
      <c r="AT35" s="1883"/>
      <c r="AU35" s="1793"/>
      <c r="AV35" s="1787"/>
      <c r="AW35" s="1357" t="s">
        <v>1823</v>
      </c>
      <c r="AX35" s="1363" t="s">
        <v>2465</v>
      </c>
      <c r="AY35" s="1341">
        <v>5.8500000000000003E-2</v>
      </c>
      <c r="AZ35" s="1831"/>
      <c r="BA35" s="1843"/>
      <c r="BB35" s="1824"/>
      <c r="BC35" s="1831"/>
      <c r="BE35" s="1792"/>
      <c r="BF35" s="1792"/>
      <c r="BG35" s="1793"/>
      <c r="BH35" s="1806"/>
      <c r="BI35" s="1181" t="s">
        <v>1738</v>
      </c>
      <c r="BJ35" s="1340" t="s">
        <v>2014</v>
      </c>
      <c r="BK35" s="1789"/>
      <c r="BL35" s="1790"/>
      <c r="BM35" s="1796"/>
      <c r="BN35" s="1799"/>
      <c r="BO35" s="1802"/>
      <c r="BQ35" s="1156" t="s">
        <v>2112</v>
      </c>
      <c r="BR35" s="1793"/>
      <c r="BS35" s="1793"/>
      <c r="BT35" s="1787"/>
      <c r="BU35" s="1787"/>
      <c r="BV35" s="1873"/>
      <c r="BW35" s="1831"/>
      <c r="BX35" s="1831"/>
    </row>
    <row r="36" spans="10:76" ht="30" customHeight="1" x14ac:dyDescent="0.25">
      <c r="J36" s="1853"/>
      <c r="K36" s="1793" t="s">
        <v>1770</v>
      </c>
      <c r="L36" s="1827" t="s">
        <v>1361</v>
      </c>
      <c r="M36" s="1789">
        <v>0.25</v>
      </c>
      <c r="N36" s="1838">
        <v>8.56</v>
      </c>
      <c r="O36" s="1342" t="s">
        <v>1718</v>
      </c>
      <c r="P36" s="1341" t="s">
        <v>1798</v>
      </c>
      <c r="Q36" s="1341">
        <v>5.7500000000000002E-2</v>
      </c>
      <c r="R36" s="1792"/>
      <c r="S36" s="1128"/>
      <c r="T36" s="1241"/>
      <c r="U36" s="1324"/>
      <c r="V36" s="1157"/>
      <c r="W36" s="1157"/>
      <c r="X36" s="1157"/>
      <c r="Y36" s="1157"/>
      <c r="Z36" s="1157"/>
      <c r="AA36" s="1157"/>
      <c r="AB36" s="1242"/>
      <c r="AC36" s="1232"/>
      <c r="AD36" s="1136" t="s">
        <v>2192</v>
      </c>
      <c r="AE36" s="1247" t="s">
        <v>2194</v>
      </c>
      <c r="AF36" s="1137">
        <v>0</v>
      </c>
      <c r="AK36" s="1861" t="s">
        <v>1775</v>
      </c>
      <c r="AL36" s="1304" t="s">
        <v>1741</v>
      </c>
      <c r="AM36" s="1141">
        <v>0.7</v>
      </c>
      <c r="AN36" s="1857"/>
      <c r="AO36" s="1864"/>
      <c r="AP36" s="1867"/>
      <c r="AQ36" s="1859"/>
      <c r="AR36" s="1870"/>
      <c r="AT36" s="1883"/>
      <c r="AU36" s="1793"/>
      <c r="AV36" s="1787"/>
      <c r="AW36" s="1357" t="s">
        <v>1823</v>
      </c>
      <c r="AX36" s="1357" t="s">
        <v>1800</v>
      </c>
      <c r="AY36" s="1341">
        <v>0.06</v>
      </c>
      <c r="AZ36" s="1831"/>
      <c r="BA36" s="1843"/>
      <c r="BB36" s="1824"/>
      <c r="BC36" s="1831"/>
      <c r="BH36" s="1132"/>
      <c r="BJ36" s="1186"/>
      <c r="BL36" s="1123"/>
      <c r="BQ36" s="1792" t="s">
        <v>1765</v>
      </c>
      <c r="BR36" s="1793"/>
      <c r="BS36" s="1793"/>
      <c r="BT36" s="1787"/>
      <c r="BU36" s="1787"/>
      <c r="BV36" s="1873"/>
      <c r="BW36" s="1831"/>
      <c r="BX36" s="1831"/>
    </row>
    <row r="37" spans="10:76" ht="15.75" customHeight="1" thickBot="1" x14ac:dyDescent="0.3">
      <c r="J37" s="1853"/>
      <c r="K37" s="1793"/>
      <c r="L37" s="1827"/>
      <c r="M37" s="1789"/>
      <c r="N37" s="1838"/>
      <c r="O37" s="1342" t="s">
        <v>1718</v>
      </c>
      <c r="P37" s="1341" t="s">
        <v>1799</v>
      </c>
      <c r="Q37" s="1341">
        <v>5.8500000000000003E-2</v>
      </c>
      <c r="R37" s="1792"/>
      <c r="S37" s="1128"/>
      <c r="T37" s="1855" t="s">
        <v>2096</v>
      </c>
      <c r="U37" s="1855"/>
      <c r="V37" s="1855"/>
      <c r="W37" s="1855"/>
      <c r="X37" s="1855"/>
      <c r="Y37" s="1855"/>
      <c r="Z37" s="1855"/>
      <c r="AA37" s="1855"/>
      <c r="AB37" s="1855"/>
      <c r="AC37" s="1233"/>
      <c r="AD37" s="1136" t="s">
        <v>2195</v>
      </c>
      <c r="AE37" s="1247" t="s">
        <v>2193</v>
      </c>
      <c r="AF37" s="1137">
        <v>0.01</v>
      </c>
      <c r="AK37" s="1862"/>
      <c r="AL37" s="1119" t="s">
        <v>1745</v>
      </c>
      <c r="AM37" s="1129">
        <v>0.7</v>
      </c>
      <c r="AN37" s="1858"/>
      <c r="AO37" s="1865"/>
      <c r="AP37" s="1868"/>
      <c r="AQ37" s="1860"/>
      <c r="AR37" s="1871"/>
      <c r="AT37" s="1883"/>
      <c r="AU37" s="1793"/>
      <c r="AV37" s="1787"/>
      <c r="AW37" s="1354" t="s">
        <v>1824</v>
      </c>
      <c r="AX37" s="1354" t="s">
        <v>1825</v>
      </c>
      <c r="AY37" s="1341">
        <v>0.06</v>
      </c>
      <c r="AZ37" s="1831"/>
      <c r="BA37" s="1843"/>
      <c r="BB37" s="1824"/>
      <c r="BC37" s="1831"/>
      <c r="BE37" s="1879" t="s">
        <v>1747</v>
      </c>
      <c r="BF37" s="1880"/>
      <c r="BG37" s="1880"/>
      <c r="BH37" s="1880"/>
      <c r="BI37" s="1880"/>
      <c r="BJ37" s="1880"/>
      <c r="BK37" s="1880"/>
      <c r="BL37" s="1880"/>
      <c r="BM37" s="1880"/>
      <c r="BN37" s="1880"/>
      <c r="BO37" s="1881"/>
      <c r="BQ37" s="1792"/>
      <c r="BR37" s="1793"/>
      <c r="BS37" s="1793"/>
      <c r="BT37" s="1787"/>
      <c r="BU37" s="1787"/>
      <c r="BV37" s="1873"/>
      <c r="BW37" s="1831"/>
      <c r="BX37" s="1831"/>
    </row>
    <row r="38" spans="10:76" ht="30.75" customHeight="1" thickBot="1" x14ac:dyDescent="0.3">
      <c r="J38" s="1853"/>
      <c r="K38" s="1793"/>
      <c r="L38" s="1827"/>
      <c r="M38" s="1789"/>
      <c r="N38" s="1838"/>
      <c r="O38" s="1342" t="s">
        <v>1718</v>
      </c>
      <c r="P38" s="1341" t="s">
        <v>1800</v>
      </c>
      <c r="Q38" s="1341">
        <v>0.06</v>
      </c>
      <c r="R38" s="1792"/>
      <c r="S38" s="1128"/>
      <c r="T38" s="1855" t="s">
        <v>2150</v>
      </c>
      <c r="U38" s="1855"/>
      <c r="V38" s="1855"/>
      <c r="W38" s="1855"/>
      <c r="X38" s="1855"/>
      <c r="Y38" s="1855"/>
      <c r="Z38" s="1855"/>
      <c r="AA38" s="1855"/>
      <c r="AB38" s="1855"/>
      <c r="AC38" s="1233"/>
      <c r="AD38" s="1136" t="s">
        <v>2195</v>
      </c>
      <c r="AE38" s="1247" t="s">
        <v>2194</v>
      </c>
      <c r="AF38" s="1137">
        <v>2.5000000000000001E-3</v>
      </c>
      <c r="AT38" s="1884"/>
      <c r="AU38" s="1793"/>
      <c r="AV38" s="1787"/>
      <c r="AW38" s="1343" t="s">
        <v>1738</v>
      </c>
      <c r="AX38" s="1343" t="s">
        <v>1739</v>
      </c>
      <c r="AY38" s="1341">
        <v>0.06</v>
      </c>
      <c r="AZ38" s="1831"/>
      <c r="BA38" s="1843"/>
      <c r="BB38" s="1824"/>
      <c r="BC38" s="1831"/>
      <c r="BE38" s="1314" t="s">
        <v>1709</v>
      </c>
      <c r="BF38" s="1182" t="s">
        <v>1710</v>
      </c>
      <c r="BG38" s="1314" t="s">
        <v>1704</v>
      </c>
      <c r="BH38" s="1314" t="s">
        <v>1711</v>
      </c>
      <c r="BI38" s="1182" t="s">
        <v>1681</v>
      </c>
      <c r="BJ38" s="1315" t="s">
        <v>541</v>
      </c>
      <c r="BK38" s="1182" t="s">
        <v>1706</v>
      </c>
      <c r="BL38" s="1316" t="s">
        <v>1707</v>
      </c>
      <c r="BM38" s="1317" t="s">
        <v>2135</v>
      </c>
      <c r="BN38" s="1318" t="s">
        <v>78</v>
      </c>
      <c r="BO38" s="1318" t="s">
        <v>52</v>
      </c>
      <c r="BQ38" s="1885"/>
      <c r="BR38" s="1885"/>
      <c r="BS38" s="1885"/>
      <c r="BT38" s="1885"/>
      <c r="BU38" s="1885"/>
      <c r="BV38" s="1885"/>
      <c r="BW38" s="1885"/>
      <c r="BX38" s="1885"/>
    </row>
    <row r="39" spans="10:76" ht="16.5" customHeight="1" thickBot="1" x14ac:dyDescent="0.3">
      <c r="J39" s="1853"/>
      <c r="K39" s="1793"/>
      <c r="L39" s="1827"/>
      <c r="M39" s="1789"/>
      <c r="N39" s="1838"/>
      <c r="O39" s="1371" t="s">
        <v>1733</v>
      </c>
      <c r="P39" s="1135" t="s">
        <v>1769</v>
      </c>
      <c r="Q39" s="1341">
        <v>0.06</v>
      </c>
      <c r="R39" s="1792"/>
      <c r="S39" s="1128"/>
      <c r="T39" s="1373" t="s">
        <v>931</v>
      </c>
      <c r="U39" s="1177" t="s">
        <v>1704</v>
      </c>
      <c r="V39" s="1373" t="s">
        <v>1706</v>
      </c>
      <c r="W39" s="1373" t="s">
        <v>1681</v>
      </c>
      <c r="X39" s="1373" t="s">
        <v>541</v>
      </c>
      <c r="Y39" s="1373" t="s">
        <v>170</v>
      </c>
      <c r="Z39" s="1272" t="s">
        <v>2135</v>
      </c>
      <c r="AA39" s="1177" t="s">
        <v>78</v>
      </c>
      <c r="AB39" s="1373" t="s">
        <v>52</v>
      </c>
      <c r="AC39" s="1233"/>
      <c r="AD39" s="1136" t="s">
        <v>2196</v>
      </c>
      <c r="AE39" s="1247" t="s">
        <v>2193</v>
      </c>
      <c r="AF39" s="1137">
        <v>0.01</v>
      </c>
      <c r="AK39" s="1886" t="s">
        <v>2107</v>
      </c>
      <c r="AL39" s="1887"/>
      <c r="AM39" s="1887"/>
      <c r="AN39" s="1887"/>
      <c r="AO39" s="1887"/>
      <c r="AP39" s="1887"/>
      <c r="AQ39" s="1887"/>
      <c r="AR39" s="1888"/>
      <c r="AT39" s="1893" t="s">
        <v>1737</v>
      </c>
      <c r="AU39" s="1793" t="s">
        <v>1741</v>
      </c>
      <c r="AV39" s="1787">
        <v>0.3</v>
      </c>
      <c r="AW39" s="1357" t="s">
        <v>1823</v>
      </c>
      <c r="AX39" s="1363" t="s">
        <v>1798</v>
      </c>
      <c r="AY39" s="1341">
        <v>5.7500000000000002E-2</v>
      </c>
      <c r="AZ39" s="1831"/>
      <c r="BA39" s="1843"/>
      <c r="BB39" s="1824"/>
      <c r="BC39" s="1831"/>
      <c r="BE39" s="1792" t="s">
        <v>1713</v>
      </c>
      <c r="BF39" s="1792" t="s">
        <v>2463</v>
      </c>
      <c r="BG39" s="1793" t="s">
        <v>1735</v>
      </c>
      <c r="BH39" s="1786">
        <v>1300</v>
      </c>
      <c r="BI39" s="1180" t="s">
        <v>2012</v>
      </c>
      <c r="BJ39" s="1339" t="s">
        <v>1798</v>
      </c>
      <c r="BK39" s="1787">
        <v>0.3</v>
      </c>
      <c r="BL39" s="1378" t="s">
        <v>1762</v>
      </c>
      <c r="BM39" s="1794">
        <v>8.56</v>
      </c>
      <c r="BN39" s="1797">
        <v>0.01</v>
      </c>
      <c r="BO39" s="1800" t="s">
        <v>2013</v>
      </c>
      <c r="BQ39" s="1872" t="s">
        <v>2115</v>
      </c>
      <c r="BR39" s="1872"/>
      <c r="BS39" s="1872"/>
      <c r="BT39" s="1872"/>
      <c r="BU39" s="1872"/>
      <c r="BV39" s="1872"/>
      <c r="BW39" s="1872"/>
      <c r="BX39" s="1872"/>
    </row>
    <row r="40" spans="10:76" ht="16.5" customHeight="1" thickBot="1" x14ac:dyDescent="0.3">
      <c r="J40" s="1854"/>
      <c r="K40" s="1793"/>
      <c r="L40" s="1827"/>
      <c r="M40" s="1789"/>
      <c r="N40" s="1838"/>
      <c r="O40" s="1371" t="s">
        <v>1738</v>
      </c>
      <c r="P40" s="1135" t="s">
        <v>1739</v>
      </c>
      <c r="Q40" s="1341">
        <v>0.06</v>
      </c>
      <c r="R40" s="1792"/>
      <c r="S40" s="1128"/>
      <c r="T40" s="1365" t="s">
        <v>1815</v>
      </c>
      <c r="U40" s="1342" t="s">
        <v>1816</v>
      </c>
      <c r="V40" s="1789">
        <v>0.3</v>
      </c>
      <c r="W40" s="1340" t="s">
        <v>2010</v>
      </c>
      <c r="X40" s="1340" t="s">
        <v>2011</v>
      </c>
      <c r="Y40" s="1341" t="s">
        <v>2464</v>
      </c>
      <c r="Z40" s="1835">
        <v>8.56</v>
      </c>
      <c r="AA40" s="1790" t="s">
        <v>797</v>
      </c>
      <c r="AB40" s="1792" t="s">
        <v>2133</v>
      </c>
      <c r="AC40" s="1233"/>
      <c r="AD40" s="1136" t="s">
        <v>2196</v>
      </c>
      <c r="AE40" s="1247" t="s">
        <v>2194</v>
      </c>
      <c r="AF40" s="1137">
        <v>0.01</v>
      </c>
      <c r="AK40" s="1105" t="s">
        <v>1709</v>
      </c>
      <c r="AL40" s="1106" t="s">
        <v>1704</v>
      </c>
      <c r="AM40" s="1107" t="s">
        <v>1810</v>
      </c>
      <c r="AN40" s="1108" t="s">
        <v>1707</v>
      </c>
      <c r="AO40" s="1218" t="s">
        <v>2135</v>
      </c>
      <c r="AP40" s="1221" t="s">
        <v>2135</v>
      </c>
      <c r="AQ40" s="1109" t="s">
        <v>1708</v>
      </c>
      <c r="AR40" s="1104" t="s">
        <v>52</v>
      </c>
      <c r="AT40" s="1894"/>
      <c r="AU40" s="1793"/>
      <c r="AV40" s="1787"/>
      <c r="AW40" s="1357" t="s">
        <v>1823</v>
      </c>
      <c r="AX40" s="1363" t="s">
        <v>2465</v>
      </c>
      <c r="AY40" s="1341">
        <v>5.8500000000000003E-2</v>
      </c>
      <c r="AZ40" s="1831"/>
      <c r="BA40" s="1843"/>
      <c r="BB40" s="1824"/>
      <c r="BC40" s="1831"/>
      <c r="BE40" s="1792"/>
      <c r="BF40" s="1792"/>
      <c r="BG40" s="1793"/>
      <c r="BH40" s="1786"/>
      <c r="BI40" s="1180" t="s">
        <v>2012</v>
      </c>
      <c r="BJ40" s="1339" t="s">
        <v>1799</v>
      </c>
      <c r="BK40" s="1788"/>
      <c r="BL40" s="1378" t="s">
        <v>2469</v>
      </c>
      <c r="BM40" s="1795"/>
      <c r="BN40" s="1798"/>
      <c r="BO40" s="1801"/>
      <c r="BQ40" s="1373" t="s">
        <v>1709</v>
      </c>
      <c r="BR40" s="1373" t="s">
        <v>1704</v>
      </c>
      <c r="BS40" s="1373" t="s">
        <v>1712</v>
      </c>
      <c r="BT40" s="1373" t="s">
        <v>1706</v>
      </c>
      <c r="BU40" s="1178" t="s">
        <v>1707</v>
      </c>
      <c r="BV40" s="1272" t="s">
        <v>2135</v>
      </c>
      <c r="BW40" s="1179" t="s">
        <v>78</v>
      </c>
      <c r="BX40" s="1179" t="s">
        <v>52</v>
      </c>
    </row>
    <row r="41" spans="10:76" ht="29.25" customHeight="1" x14ac:dyDescent="0.25">
      <c r="J41" s="1325"/>
      <c r="K41" s="1325"/>
      <c r="L41" s="1126"/>
      <c r="M41" s="1127"/>
      <c r="N41" s="1160"/>
      <c r="O41" s="1128"/>
      <c r="P41" s="1116"/>
      <c r="Q41" s="1118"/>
      <c r="R41" s="1118"/>
      <c r="S41" s="1128"/>
      <c r="T41" s="1851" t="s">
        <v>2113</v>
      </c>
      <c r="U41" s="1792" t="s">
        <v>2114</v>
      </c>
      <c r="V41" s="1789"/>
      <c r="W41" s="1354" t="s">
        <v>1718</v>
      </c>
      <c r="X41" s="1354" t="s">
        <v>1798</v>
      </c>
      <c r="Y41" s="1341" t="s">
        <v>1762</v>
      </c>
      <c r="Z41" s="1835"/>
      <c r="AA41" s="1790"/>
      <c r="AB41" s="1792"/>
      <c r="AC41" s="1243"/>
      <c r="AK41" s="1124" t="s">
        <v>1713</v>
      </c>
      <c r="AL41" s="1303" t="s">
        <v>1774</v>
      </c>
      <c r="AM41" s="1297">
        <v>0.85</v>
      </c>
      <c r="AN41" s="1215">
        <v>5.7500000000000002E-2</v>
      </c>
      <c r="AO41" s="1863" t="s">
        <v>797</v>
      </c>
      <c r="AP41" s="1866">
        <v>8.56</v>
      </c>
      <c r="AQ41" s="1217" t="s">
        <v>1724</v>
      </c>
      <c r="AR41" s="1869" t="s">
        <v>1722</v>
      </c>
      <c r="AT41" s="1894"/>
      <c r="AU41" s="1793"/>
      <c r="AV41" s="1787"/>
      <c r="AW41" s="1357" t="s">
        <v>1823</v>
      </c>
      <c r="AX41" s="1357" t="s">
        <v>1800</v>
      </c>
      <c r="AY41" s="1341">
        <v>0.06</v>
      </c>
      <c r="AZ41" s="1831"/>
      <c r="BA41" s="1843"/>
      <c r="BB41" s="1824"/>
      <c r="BC41" s="1831"/>
      <c r="BE41" s="1792"/>
      <c r="BF41" s="1792"/>
      <c r="BG41" s="1793"/>
      <c r="BH41" s="1786"/>
      <c r="BI41" s="1180" t="s">
        <v>2012</v>
      </c>
      <c r="BJ41" s="1343" t="s">
        <v>1800</v>
      </c>
      <c r="BK41" s="1788"/>
      <c r="BL41" s="1135" t="s">
        <v>2464</v>
      </c>
      <c r="BM41" s="1795"/>
      <c r="BN41" s="1798"/>
      <c r="BO41" s="1801"/>
      <c r="BQ41" s="1341" t="s">
        <v>1713</v>
      </c>
      <c r="BR41" s="1793" t="s">
        <v>1725</v>
      </c>
      <c r="BS41" s="1793" t="s">
        <v>1726</v>
      </c>
      <c r="BT41" s="1787">
        <v>0.5</v>
      </c>
      <c r="BU41" s="1789" t="s">
        <v>2468</v>
      </c>
      <c r="BV41" s="1873">
        <v>8.56</v>
      </c>
      <c r="BW41" s="1831">
        <v>0.01</v>
      </c>
      <c r="BX41" s="1831" t="s">
        <v>1728</v>
      </c>
    </row>
    <row r="42" spans="10:76" ht="60" x14ac:dyDescent="0.25">
      <c r="J42" s="1828" t="s">
        <v>1747</v>
      </c>
      <c r="K42" s="1828"/>
      <c r="L42" s="1828"/>
      <c r="M42" s="1828"/>
      <c r="N42" s="1828"/>
      <c r="O42" s="1828"/>
      <c r="P42" s="1828"/>
      <c r="Q42" s="1828"/>
      <c r="R42" s="1828"/>
      <c r="S42" s="1128"/>
      <c r="T42" s="1851"/>
      <c r="U42" s="1792"/>
      <c r="V42" s="1789"/>
      <c r="W42" s="1354" t="s">
        <v>1718</v>
      </c>
      <c r="X42" s="1354" t="s">
        <v>1799</v>
      </c>
      <c r="Y42" s="1341" t="s">
        <v>2469</v>
      </c>
      <c r="Z42" s="1835"/>
      <c r="AA42" s="1790"/>
      <c r="AB42" s="1792"/>
      <c r="AC42" s="1231"/>
      <c r="AK42" s="1197" t="s">
        <v>2109</v>
      </c>
      <c r="AL42" s="1304" t="s">
        <v>1735</v>
      </c>
      <c r="AM42" s="1141">
        <v>0.8</v>
      </c>
      <c r="AN42" s="1856">
        <v>5.7500000000000002E-2</v>
      </c>
      <c r="AO42" s="1864"/>
      <c r="AP42" s="1867"/>
      <c r="AQ42" s="1859" t="s">
        <v>797</v>
      </c>
      <c r="AR42" s="1870"/>
      <c r="AT42" s="1894"/>
      <c r="AU42" s="1793"/>
      <c r="AV42" s="1787"/>
      <c r="AW42" s="1354" t="s">
        <v>1824</v>
      </c>
      <c r="AX42" s="1354" t="s">
        <v>1825</v>
      </c>
      <c r="AY42" s="1341">
        <v>0.06</v>
      </c>
      <c r="AZ42" s="1831"/>
      <c r="BA42" s="1843"/>
      <c r="BB42" s="1824"/>
      <c r="BC42" s="1831"/>
      <c r="BE42" s="1792"/>
      <c r="BF42" s="1792"/>
      <c r="BG42" s="1793"/>
      <c r="BH42" s="1786"/>
      <c r="BI42" s="1180" t="s">
        <v>1733</v>
      </c>
      <c r="BJ42" s="1343" t="s">
        <v>1734</v>
      </c>
      <c r="BK42" s="1789">
        <v>0.4</v>
      </c>
      <c r="BL42" s="1790" t="s">
        <v>2464</v>
      </c>
      <c r="BM42" s="1795"/>
      <c r="BN42" s="1798"/>
      <c r="BO42" s="1801"/>
      <c r="BQ42" s="1156" t="s">
        <v>2112</v>
      </c>
      <c r="BR42" s="1793"/>
      <c r="BS42" s="1793"/>
      <c r="BT42" s="1787"/>
      <c r="BU42" s="1787"/>
      <c r="BV42" s="1873"/>
      <c r="BW42" s="1831"/>
      <c r="BX42" s="1831"/>
    </row>
    <row r="43" spans="10:76" ht="46.5" customHeight="1" x14ac:dyDescent="0.25">
      <c r="J43" s="1286" t="s">
        <v>1703</v>
      </c>
      <c r="K43" s="1286" t="s">
        <v>1704</v>
      </c>
      <c r="L43" s="1286" t="s">
        <v>1712</v>
      </c>
      <c r="M43" s="1165" t="s">
        <v>1706</v>
      </c>
      <c r="N43" s="1272" t="s">
        <v>2135</v>
      </c>
      <c r="O43" s="1165" t="s">
        <v>1681</v>
      </c>
      <c r="P43" s="1165" t="s">
        <v>541</v>
      </c>
      <c r="Q43" s="1312" t="s">
        <v>170</v>
      </c>
      <c r="R43" s="1179" t="s">
        <v>52</v>
      </c>
      <c r="S43" s="1128"/>
      <c r="T43" s="1851"/>
      <c r="U43" s="1792"/>
      <c r="V43" s="1789"/>
      <c r="W43" s="1354" t="s">
        <v>1718</v>
      </c>
      <c r="X43" s="1340" t="s">
        <v>1800</v>
      </c>
      <c r="Y43" s="1341" t="s">
        <v>2464</v>
      </c>
      <c r="Z43" s="1835"/>
      <c r="AA43" s="1790"/>
      <c r="AB43" s="1792"/>
      <c r="AC43" s="1231"/>
      <c r="AK43" s="1861" t="s">
        <v>1775</v>
      </c>
      <c r="AL43" s="1304" t="s">
        <v>1741</v>
      </c>
      <c r="AM43" s="1141">
        <v>0.7</v>
      </c>
      <c r="AN43" s="1857"/>
      <c r="AO43" s="1864"/>
      <c r="AP43" s="1867"/>
      <c r="AQ43" s="1859"/>
      <c r="AR43" s="1870"/>
      <c r="AT43" s="1894"/>
      <c r="AU43" s="1793"/>
      <c r="AV43" s="1787"/>
      <c r="AW43" s="1343" t="s">
        <v>1738</v>
      </c>
      <c r="AX43" s="1343" t="s">
        <v>1739</v>
      </c>
      <c r="AY43" s="1341">
        <v>0.06</v>
      </c>
      <c r="AZ43" s="1831"/>
      <c r="BA43" s="1843"/>
      <c r="BB43" s="1824"/>
      <c r="BC43" s="1831"/>
      <c r="BE43" s="1792"/>
      <c r="BF43" s="1792"/>
      <c r="BG43" s="1793"/>
      <c r="BH43" s="1786"/>
      <c r="BI43" s="1181" t="s">
        <v>1738</v>
      </c>
      <c r="BJ43" s="1340" t="s">
        <v>2014</v>
      </c>
      <c r="BK43" s="1789"/>
      <c r="BL43" s="1790"/>
      <c r="BM43" s="1795"/>
      <c r="BN43" s="1798"/>
      <c r="BO43" s="1801"/>
      <c r="BQ43" s="1790" t="s">
        <v>1737</v>
      </c>
      <c r="BR43" s="1793"/>
      <c r="BS43" s="1793"/>
      <c r="BT43" s="1787"/>
      <c r="BU43" s="1787"/>
      <c r="BV43" s="1873"/>
      <c r="BW43" s="1831"/>
      <c r="BX43" s="1831"/>
    </row>
    <row r="44" spans="10:76" ht="34.5" customHeight="1" thickBot="1" x14ac:dyDescent="0.3">
      <c r="J44" s="1326" t="s">
        <v>1713</v>
      </c>
      <c r="K44" s="1327" t="s">
        <v>1771</v>
      </c>
      <c r="L44" s="1351" t="s">
        <v>1742</v>
      </c>
      <c r="M44" s="1142">
        <v>0.15</v>
      </c>
      <c r="N44" s="1838">
        <v>8.56</v>
      </c>
      <c r="O44" s="1844" t="s">
        <v>1772</v>
      </c>
      <c r="P44" s="1844" t="s">
        <v>1773</v>
      </c>
      <c r="Q44" s="1140">
        <v>0.06</v>
      </c>
      <c r="R44" s="1831" t="s">
        <v>1719</v>
      </c>
      <c r="S44" s="1128"/>
      <c r="T44" s="1851"/>
      <c r="U44" s="1792"/>
      <c r="V44" s="1789"/>
      <c r="W44" s="1340" t="s">
        <v>1733</v>
      </c>
      <c r="X44" s="1340" t="s">
        <v>1734</v>
      </c>
      <c r="Y44" s="1845" t="s">
        <v>2464</v>
      </c>
      <c r="Z44" s="1835"/>
      <c r="AA44" s="1790"/>
      <c r="AB44" s="1792"/>
      <c r="AC44" s="1232"/>
      <c r="AK44" s="1862"/>
      <c r="AL44" s="1119" t="s">
        <v>1745</v>
      </c>
      <c r="AM44" s="1129">
        <v>0.7</v>
      </c>
      <c r="AN44" s="1858"/>
      <c r="AO44" s="1865"/>
      <c r="AP44" s="1868"/>
      <c r="AQ44" s="1860"/>
      <c r="AR44" s="1871"/>
      <c r="AT44" s="1894"/>
      <c r="AU44" s="1812" t="s">
        <v>1745</v>
      </c>
      <c r="AV44" s="1789">
        <v>0.3</v>
      </c>
      <c r="AW44" s="1357" t="s">
        <v>1823</v>
      </c>
      <c r="AX44" s="1363" t="s">
        <v>1798</v>
      </c>
      <c r="AY44" s="1341">
        <v>5.7500000000000002E-2</v>
      </c>
      <c r="AZ44" s="1831"/>
      <c r="BA44" s="1843"/>
      <c r="BB44" s="1824"/>
      <c r="BC44" s="1831"/>
      <c r="BE44" s="1803" t="s">
        <v>1731</v>
      </c>
      <c r="BF44" s="1792"/>
      <c r="BG44" s="1793" t="s">
        <v>1736</v>
      </c>
      <c r="BH44" s="1786">
        <v>1800</v>
      </c>
      <c r="BI44" s="1180" t="s">
        <v>2012</v>
      </c>
      <c r="BJ44" s="1339" t="s">
        <v>1798</v>
      </c>
      <c r="BK44" s="1787">
        <v>0.3</v>
      </c>
      <c r="BL44" s="1378" t="s">
        <v>1762</v>
      </c>
      <c r="BM44" s="1795"/>
      <c r="BN44" s="1798"/>
      <c r="BO44" s="1801"/>
      <c r="BQ44" s="1790"/>
      <c r="BR44" s="1793"/>
      <c r="BS44" s="1793"/>
      <c r="BT44" s="1787"/>
      <c r="BU44" s="1787"/>
      <c r="BV44" s="1873"/>
      <c r="BW44" s="1831"/>
      <c r="BX44" s="1831"/>
    </row>
    <row r="45" spans="10:76" ht="30" customHeight="1" x14ac:dyDescent="0.25">
      <c r="J45" s="1326" t="s">
        <v>1731</v>
      </c>
      <c r="K45" s="1327" t="s">
        <v>1753</v>
      </c>
      <c r="L45" s="1351" t="s">
        <v>1754</v>
      </c>
      <c r="M45" s="1142">
        <v>0.15</v>
      </c>
      <c r="N45" s="1838"/>
      <c r="O45" s="1844"/>
      <c r="P45" s="1844"/>
      <c r="Q45" s="1140">
        <v>0.06</v>
      </c>
      <c r="R45" s="1831"/>
      <c r="S45" s="1128"/>
      <c r="T45" s="1358" t="s">
        <v>1818</v>
      </c>
      <c r="U45" s="1792"/>
      <c r="V45" s="1789"/>
      <c r="W45" s="1340" t="s">
        <v>2015</v>
      </c>
      <c r="X45" s="1340" t="s">
        <v>1739</v>
      </c>
      <c r="Y45" s="1845"/>
      <c r="Z45" s="1835"/>
      <c r="AA45" s="1790"/>
      <c r="AB45" s="1792"/>
      <c r="AC45" s="1233"/>
      <c r="AT45" s="1894"/>
      <c r="AU45" s="1812"/>
      <c r="AV45" s="1789"/>
      <c r="AW45" s="1357" t="s">
        <v>1823</v>
      </c>
      <c r="AX45" s="1363" t="s">
        <v>2465</v>
      </c>
      <c r="AY45" s="1341">
        <v>5.8500000000000003E-2</v>
      </c>
      <c r="AZ45" s="1831"/>
      <c r="BA45" s="1843"/>
      <c r="BB45" s="1824"/>
      <c r="BC45" s="1831"/>
      <c r="BE45" s="1803"/>
      <c r="BF45" s="1792"/>
      <c r="BG45" s="1793"/>
      <c r="BH45" s="1786"/>
      <c r="BI45" s="1180" t="s">
        <v>2012</v>
      </c>
      <c r="BJ45" s="1339" t="s">
        <v>1799</v>
      </c>
      <c r="BK45" s="1788"/>
      <c r="BL45" s="1378" t="s">
        <v>2469</v>
      </c>
      <c r="BM45" s="1795"/>
      <c r="BN45" s="1798"/>
      <c r="BO45" s="1801"/>
    </row>
    <row r="46" spans="10:76" ht="30.75" customHeight="1" x14ac:dyDescent="0.25">
      <c r="J46" s="1326" t="s">
        <v>1756</v>
      </c>
      <c r="K46" s="1327" t="s">
        <v>1741</v>
      </c>
      <c r="L46" s="1351" t="s">
        <v>1754</v>
      </c>
      <c r="M46" s="1142">
        <v>0.2</v>
      </c>
      <c r="N46" s="1838"/>
      <c r="O46" s="1844"/>
      <c r="P46" s="1844"/>
      <c r="Q46" s="1140">
        <v>0.06</v>
      </c>
      <c r="R46" s="1831"/>
      <c r="S46" s="1128"/>
      <c r="T46" s="1241"/>
      <c r="U46" s="1324"/>
      <c r="V46" s="1157"/>
      <c r="W46" s="1157"/>
      <c r="X46" s="1157"/>
      <c r="Y46" s="1157"/>
      <c r="Z46" s="1157"/>
      <c r="AA46" s="1157"/>
      <c r="AB46" s="1242"/>
      <c r="AC46" s="1233"/>
      <c r="AT46" s="1894"/>
      <c r="AU46" s="1812"/>
      <c r="AV46" s="1789"/>
      <c r="AW46" s="1357" t="s">
        <v>1823</v>
      </c>
      <c r="AX46" s="1357" t="s">
        <v>1800</v>
      </c>
      <c r="AY46" s="1341">
        <v>0.06</v>
      </c>
      <c r="AZ46" s="1831"/>
      <c r="BA46" s="1843"/>
      <c r="BB46" s="1824"/>
      <c r="BC46" s="1831"/>
      <c r="BE46" s="1803"/>
      <c r="BF46" s="1792"/>
      <c r="BG46" s="1793"/>
      <c r="BH46" s="1786"/>
      <c r="BI46" s="1180" t="s">
        <v>2012</v>
      </c>
      <c r="BJ46" s="1343" t="s">
        <v>1800</v>
      </c>
      <c r="BK46" s="1788"/>
      <c r="BL46" s="1135" t="s">
        <v>2464</v>
      </c>
      <c r="BM46" s="1795"/>
      <c r="BN46" s="1798"/>
      <c r="BO46" s="1801"/>
    </row>
    <row r="47" spans="10:76" ht="15.75" customHeight="1" x14ac:dyDescent="0.25">
      <c r="J47" s="1326" t="s">
        <v>1776</v>
      </c>
      <c r="K47" s="1327" t="s">
        <v>1745</v>
      </c>
      <c r="L47" s="1351" t="s">
        <v>1361</v>
      </c>
      <c r="M47" s="1141">
        <v>0.25</v>
      </c>
      <c r="N47" s="1838"/>
      <c r="O47" s="1844"/>
      <c r="P47" s="1844"/>
      <c r="Q47" s="1140">
        <v>0.06</v>
      </c>
      <c r="R47" s="1831"/>
      <c r="S47" s="1128"/>
      <c r="T47" s="1855" t="s">
        <v>2151</v>
      </c>
      <c r="U47" s="1855"/>
      <c r="V47" s="1855"/>
      <c r="W47" s="1855"/>
      <c r="X47" s="1855"/>
      <c r="Y47" s="1855"/>
      <c r="Z47" s="1855"/>
      <c r="AA47" s="1855"/>
      <c r="AB47" s="1855"/>
      <c r="AC47" s="1233"/>
      <c r="AT47" s="1894"/>
      <c r="AU47" s="1812"/>
      <c r="AV47" s="1789"/>
      <c r="AW47" s="1354" t="s">
        <v>1824</v>
      </c>
      <c r="AX47" s="1354" t="s">
        <v>1825</v>
      </c>
      <c r="AY47" s="1341">
        <v>0.06</v>
      </c>
      <c r="AZ47" s="1831"/>
      <c r="BA47" s="1843"/>
      <c r="BB47" s="1824"/>
      <c r="BC47" s="1831"/>
      <c r="BE47" s="1803"/>
      <c r="BF47" s="1792"/>
      <c r="BG47" s="1793"/>
      <c r="BH47" s="1786"/>
      <c r="BI47" s="1180" t="s">
        <v>1733</v>
      </c>
      <c r="BJ47" s="1343" t="s">
        <v>1734</v>
      </c>
      <c r="BK47" s="1789">
        <v>0.4</v>
      </c>
      <c r="BL47" s="1790" t="s">
        <v>2464</v>
      </c>
      <c r="BM47" s="1795"/>
      <c r="BN47" s="1798"/>
      <c r="BO47" s="1801"/>
    </row>
    <row r="48" spans="10:76" ht="45.75" customHeight="1" x14ac:dyDescent="0.25">
      <c r="K48" s="1325"/>
      <c r="L48" s="1126"/>
      <c r="M48" s="1127"/>
      <c r="N48" s="1160"/>
      <c r="O48" s="1128"/>
      <c r="P48" s="1116"/>
      <c r="Q48" s="1118"/>
      <c r="R48" s="1118"/>
      <c r="S48" s="1128"/>
      <c r="T48" s="1855" t="s">
        <v>2117</v>
      </c>
      <c r="U48" s="1855"/>
      <c r="V48" s="1855"/>
      <c r="W48" s="1855"/>
      <c r="X48" s="1855"/>
      <c r="Y48" s="1855"/>
      <c r="Z48" s="1855"/>
      <c r="AA48" s="1855"/>
      <c r="AB48" s="1855"/>
      <c r="AC48" s="1233"/>
      <c r="AT48" s="1895"/>
      <c r="AU48" s="1812"/>
      <c r="AV48" s="1789"/>
      <c r="AW48" s="1343" t="s">
        <v>1738</v>
      </c>
      <c r="AX48" s="1343" t="s">
        <v>1739</v>
      </c>
      <c r="AY48" s="1341">
        <v>0.06</v>
      </c>
      <c r="AZ48" s="1831"/>
      <c r="BA48" s="1843"/>
      <c r="BB48" s="1825"/>
      <c r="BC48" s="1831"/>
      <c r="BE48" s="1803"/>
      <c r="BF48" s="1792"/>
      <c r="BG48" s="1793"/>
      <c r="BH48" s="1786"/>
      <c r="BI48" s="1181" t="s">
        <v>1738</v>
      </c>
      <c r="BJ48" s="1340" t="s">
        <v>2014</v>
      </c>
      <c r="BK48" s="1789"/>
      <c r="BL48" s="1790"/>
      <c r="BM48" s="1795"/>
      <c r="BN48" s="1798"/>
      <c r="BO48" s="1801"/>
    </row>
    <row r="49" spans="10:67" ht="30.75" thickBot="1" x14ac:dyDescent="0.3">
      <c r="J49" s="1325"/>
      <c r="K49" s="1325"/>
      <c r="L49" s="1126"/>
      <c r="M49" s="1127"/>
      <c r="N49" s="1160"/>
      <c r="O49" s="1130"/>
      <c r="P49" s="1130"/>
      <c r="Q49" s="1126"/>
      <c r="R49" s="1126"/>
      <c r="S49" s="1128"/>
      <c r="T49" s="1373" t="s">
        <v>931</v>
      </c>
      <c r="U49" s="1177" t="s">
        <v>1704</v>
      </c>
      <c r="V49" s="1373" t="s">
        <v>1706</v>
      </c>
      <c r="W49" s="1373" t="s">
        <v>1681</v>
      </c>
      <c r="X49" s="1373" t="s">
        <v>541</v>
      </c>
      <c r="Y49" s="1373" t="s">
        <v>170</v>
      </c>
      <c r="Z49" s="1272" t="s">
        <v>2135</v>
      </c>
      <c r="AA49" s="1177" t="s">
        <v>78</v>
      </c>
      <c r="AB49" s="1373" t="s">
        <v>52</v>
      </c>
      <c r="AC49" s="149"/>
      <c r="AT49" s="1320"/>
      <c r="AU49" s="1368"/>
      <c r="AV49" s="1127"/>
      <c r="AW49" s="1160"/>
      <c r="AX49" s="1160"/>
      <c r="AY49" s="1369"/>
      <c r="AZ49" s="1328"/>
      <c r="BA49" s="1369"/>
      <c r="BB49" s="1131"/>
      <c r="BC49" s="1161"/>
      <c r="BE49" s="1792" t="s">
        <v>1737</v>
      </c>
      <c r="BF49" s="1792" t="s">
        <v>2467</v>
      </c>
      <c r="BG49" s="1793" t="s">
        <v>1735</v>
      </c>
      <c r="BH49" s="1786">
        <v>1300</v>
      </c>
      <c r="BI49" s="1180" t="s">
        <v>2012</v>
      </c>
      <c r="BJ49" s="1339" t="s">
        <v>1798</v>
      </c>
      <c r="BK49" s="1787">
        <v>0.3</v>
      </c>
      <c r="BL49" s="1378" t="s">
        <v>1762</v>
      </c>
      <c r="BM49" s="1795"/>
      <c r="BN49" s="1798"/>
      <c r="BO49" s="1801"/>
    </row>
    <row r="50" spans="10:67" ht="30" x14ac:dyDescent="0.25">
      <c r="J50" s="1828" t="s">
        <v>1780</v>
      </c>
      <c r="K50" s="1828"/>
      <c r="L50" s="1828"/>
      <c r="M50" s="1828"/>
      <c r="N50" s="1828"/>
      <c r="O50" s="1828"/>
      <c r="P50" s="1828"/>
      <c r="Q50" s="1828"/>
      <c r="R50" s="1828"/>
      <c r="S50" s="1128"/>
      <c r="T50" s="1365" t="s">
        <v>1815</v>
      </c>
      <c r="U50" s="1342" t="s">
        <v>1816</v>
      </c>
      <c r="V50" s="1789">
        <v>0.3</v>
      </c>
      <c r="W50" s="1340" t="s">
        <v>2010</v>
      </c>
      <c r="X50" s="1354" t="s">
        <v>2011</v>
      </c>
      <c r="Y50" s="1341" t="s">
        <v>2464</v>
      </c>
      <c r="Z50" s="1835">
        <v>8.56</v>
      </c>
      <c r="AA50" s="1790" t="s">
        <v>797</v>
      </c>
      <c r="AB50" s="1792" t="s">
        <v>2198</v>
      </c>
      <c r="AC50" s="149"/>
      <c r="AT50" s="1848" t="s">
        <v>2136</v>
      </c>
      <c r="AU50" s="1849"/>
      <c r="AV50" s="1849"/>
      <c r="AW50" s="1849"/>
      <c r="AX50" s="1849"/>
      <c r="AY50" s="1849"/>
      <c r="AZ50" s="1849"/>
      <c r="BA50" s="1849"/>
      <c r="BB50" s="1849"/>
      <c r="BC50" s="1850"/>
      <c r="BE50" s="1792"/>
      <c r="BF50" s="1792"/>
      <c r="BG50" s="1793"/>
      <c r="BH50" s="1786"/>
      <c r="BI50" s="1180" t="s">
        <v>2012</v>
      </c>
      <c r="BJ50" s="1339" t="s">
        <v>1799</v>
      </c>
      <c r="BK50" s="1788"/>
      <c r="BL50" s="1378" t="s">
        <v>2469</v>
      </c>
      <c r="BM50" s="1795"/>
      <c r="BN50" s="1798"/>
      <c r="BO50" s="1801"/>
    </row>
    <row r="51" spans="10:67" ht="15" customHeight="1" x14ac:dyDescent="0.25">
      <c r="J51" s="1177" t="s">
        <v>1703</v>
      </c>
      <c r="K51" s="1330" t="s">
        <v>1704</v>
      </c>
      <c r="L51" s="1331" t="s">
        <v>1712</v>
      </c>
      <c r="M51" s="1373" t="s">
        <v>1706</v>
      </c>
      <c r="N51" s="1272" t="s">
        <v>2135</v>
      </c>
      <c r="O51" s="1373" t="s">
        <v>1777</v>
      </c>
      <c r="P51" s="1373" t="s">
        <v>1778</v>
      </c>
      <c r="Q51" s="1373" t="s">
        <v>1707</v>
      </c>
      <c r="R51" s="1179" t="s">
        <v>52</v>
      </c>
      <c r="S51" s="1128"/>
      <c r="T51" s="1851" t="s">
        <v>2113</v>
      </c>
      <c r="U51" s="1792" t="s">
        <v>2114</v>
      </c>
      <c r="V51" s="1789"/>
      <c r="W51" s="1354" t="s">
        <v>1718</v>
      </c>
      <c r="X51" s="1354" t="s">
        <v>1798</v>
      </c>
      <c r="Y51" s="1341" t="s">
        <v>1762</v>
      </c>
      <c r="Z51" s="1835"/>
      <c r="AA51" s="1790"/>
      <c r="AB51" s="1792"/>
      <c r="AC51" s="149"/>
      <c r="AT51" s="1165" t="s">
        <v>1709</v>
      </c>
      <c r="AU51" s="1286" t="s">
        <v>2098</v>
      </c>
      <c r="AV51" s="1165" t="s">
        <v>1706</v>
      </c>
      <c r="AW51" s="1286" t="s">
        <v>1681</v>
      </c>
      <c r="AX51" s="1286" t="s">
        <v>541</v>
      </c>
      <c r="AY51" s="1312" t="s">
        <v>1707</v>
      </c>
      <c r="AZ51" s="1179" t="s">
        <v>1708</v>
      </c>
      <c r="BA51" s="1272" t="s">
        <v>2135</v>
      </c>
      <c r="BB51" s="1313" t="s">
        <v>78</v>
      </c>
      <c r="BC51" s="1179" t="s">
        <v>52</v>
      </c>
      <c r="BE51" s="1792"/>
      <c r="BF51" s="1792"/>
      <c r="BG51" s="1793"/>
      <c r="BH51" s="1786"/>
      <c r="BI51" s="1180" t="s">
        <v>2012</v>
      </c>
      <c r="BJ51" s="1343" t="s">
        <v>1800</v>
      </c>
      <c r="BK51" s="1788"/>
      <c r="BL51" s="1135" t="s">
        <v>2464</v>
      </c>
      <c r="BM51" s="1795"/>
      <c r="BN51" s="1798"/>
      <c r="BO51" s="1801"/>
    </row>
    <row r="52" spans="10:67" ht="30" customHeight="1" x14ac:dyDescent="0.25">
      <c r="J52" s="1852" t="s">
        <v>2472</v>
      </c>
      <c r="K52" s="1793" t="s">
        <v>1779</v>
      </c>
      <c r="L52" s="1816" t="s">
        <v>1742</v>
      </c>
      <c r="M52" s="1789">
        <v>0.2</v>
      </c>
      <c r="N52" s="1838">
        <v>8.56</v>
      </c>
      <c r="O52" s="1342" t="s">
        <v>1718</v>
      </c>
      <c r="P52" s="1341" t="s">
        <v>1798</v>
      </c>
      <c r="Q52" s="1341">
        <v>5.7500000000000002E-2</v>
      </c>
      <c r="R52" s="1839" t="s">
        <v>1719</v>
      </c>
      <c r="S52" s="1128"/>
      <c r="T52" s="1851"/>
      <c r="U52" s="1792"/>
      <c r="V52" s="1789"/>
      <c r="W52" s="1354" t="s">
        <v>1718</v>
      </c>
      <c r="X52" s="1354" t="s">
        <v>1799</v>
      </c>
      <c r="Y52" s="1341" t="s">
        <v>2469</v>
      </c>
      <c r="Z52" s="1835"/>
      <c r="AA52" s="1790"/>
      <c r="AB52" s="1792"/>
      <c r="AC52" s="149"/>
      <c r="AT52" s="1329" t="s">
        <v>1761</v>
      </c>
      <c r="AU52" s="1343" t="s">
        <v>1723</v>
      </c>
      <c r="AV52" s="1338">
        <v>0.2</v>
      </c>
      <c r="AW52" s="1829" t="s">
        <v>1826</v>
      </c>
      <c r="AX52" s="1829" t="s">
        <v>1827</v>
      </c>
      <c r="AY52" s="1829" t="s">
        <v>1751</v>
      </c>
      <c r="AZ52" s="1354" t="s">
        <v>1724</v>
      </c>
      <c r="BA52" s="1843">
        <v>8.56</v>
      </c>
      <c r="BB52" s="1847">
        <v>0.01</v>
      </c>
      <c r="BC52" s="1831" t="s">
        <v>1719</v>
      </c>
      <c r="BE52" s="1792"/>
      <c r="BF52" s="1792"/>
      <c r="BG52" s="1793"/>
      <c r="BH52" s="1786"/>
      <c r="BI52" s="1180" t="s">
        <v>1733</v>
      </c>
      <c r="BJ52" s="1343" t="s">
        <v>1734</v>
      </c>
      <c r="BK52" s="1789">
        <v>0.4</v>
      </c>
      <c r="BL52" s="1790" t="s">
        <v>2464</v>
      </c>
      <c r="BM52" s="1795"/>
      <c r="BN52" s="1798"/>
      <c r="BO52" s="1801"/>
    </row>
    <row r="53" spans="10:67" ht="29.25" customHeight="1" x14ac:dyDescent="0.25">
      <c r="J53" s="1853"/>
      <c r="K53" s="1793"/>
      <c r="L53" s="1816"/>
      <c r="M53" s="1789"/>
      <c r="N53" s="1838"/>
      <c r="O53" s="1342" t="s">
        <v>1718</v>
      </c>
      <c r="P53" s="1341" t="s">
        <v>1799</v>
      </c>
      <c r="Q53" s="1341">
        <v>5.8500000000000003E-2</v>
      </c>
      <c r="R53" s="1840"/>
      <c r="S53" s="1128"/>
      <c r="T53" s="1851"/>
      <c r="U53" s="1792"/>
      <c r="V53" s="1789"/>
      <c r="W53" s="1354" t="s">
        <v>1718</v>
      </c>
      <c r="X53" s="1340" t="s">
        <v>1800</v>
      </c>
      <c r="Y53" s="1341" t="s">
        <v>2464</v>
      </c>
      <c r="Z53" s="1835"/>
      <c r="AA53" s="1790"/>
      <c r="AB53" s="1792"/>
      <c r="AC53" s="149"/>
      <c r="AT53" s="1329" t="s">
        <v>1731</v>
      </c>
      <c r="AU53" s="1343" t="s">
        <v>1735</v>
      </c>
      <c r="AV53" s="1338">
        <v>0.2</v>
      </c>
      <c r="AW53" s="1846"/>
      <c r="AX53" s="1846"/>
      <c r="AY53" s="1846"/>
      <c r="AZ53" s="1829" t="s">
        <v>797</v>
      </c>
      <c r="BA53" s="1843"/>
      <c r="BB53" s="1847"/>
      <c r="BC53" s="1831"/>
      <c r="BE53" s="1792"/>
      <c r="BF53" s="1792"/>
      <c r="BG53" s="1793"/>
      <c r="BH53" s="1786"/>
      <c r="BI53" s="1181" t="s">
        <v>1738</v>
      </c>
      <c r="BJ53" s="1340" t="s">
        <v>2014</v>
      </c>
      <c r="BK53" s="1789"/>
      <c r="BL53" s="1790"/>
      <c r="BM53" s="1795"/>
      <c r="BN53" s="1798"/>
      <c r="BO53" s="1801"/>
    </row>
    <row r="54" spans="10:67" ht="30" x14ac:dyDescent="0.25">
      <c r="J54" s="1853"/>
      <c r="K54" s="1793"/>
      <c r="L54" s="1816"/>
      <c r="M54" s="1789"/>
      <c r="N54" s="1838"/>
      <c r="O54" s="1342" t="s">
        <v>1718</v>
      </c>
      <c r="P54" s="1341" t="s">
        <v>1800</v>
      </c>
      <c r="Q54" s="1341">
        <v>0.06</v>
      </c>
      <c r="R54" s="1840"/>
      <c r="S54" s="1128"/>
      <c r="T54" s="1851"/>
      <c r="U54" s="1792"/>
      <c r="V54" s="1789"/>
      <c r="W54" s="1340" t="s">
        <v>1733</v>
      </c>
      <c r="X54" s="1340" t="s">
        <v>1734</v>
      </c>
      <c r="Y54" s="1845" t="s">
        <v>2464</v>
      </c>
      <c r="Z54" s="1835"/>
      <c r="AA54" s="1790"/>
      <c r="AB54" s="1792"/>
      <c r="AC54" s="149"/>
      <c r="AT54" s="1844" t="s">
        <v>1764</v>
      </c>
      <c r="AU54" s="1343" t="s">
        <v>1741</v>
      </c>
      <c r="AV54" s="1787">
        <v>0.3</v>
      </c>
      <c r="AW54" s="1846"/>
      <c r="AX54" s="1846"/>
      <c r="AY54" s="1846"/>
      <c r="AZ54" s="1829"/>
      <c r="BA54" s="1843"/>
      <c r="BB54" s="1847"/>
      <c r="BC54" s="1831"/>
      <c r="BE54" s="1792"/>
      <c r="BF54" s="1792"/>
      <c r="BG54" s="1793" t="s">
        <v>1736</v>
      </c>
      <c r="BH54" s="1786">
        <v>1700</v>
      </c>
      <c r="BI54" s="1180" t="s">
        <v>2012</v>
      </c>
      <c r="BJ54" s="1339" t="s">
        <v>1798</v>
      </c>
      <c r="BK54" s="1787">
        <v>0.3</v>
      </c>
      <c r="BL54" s="1378" t="s">
        <v>1762</v>
      </c>
      <c r="BM54" s="1795"/>
      <c r="BN54" s="1798"/>
      <c r="BO54" s="1801"/>
    </row>
    <row r="55" spans="10:67" ht="42" customHeight="1" x14ac:dyDescent="0.25">
      <c r="J55" s="1853"/>
      <c r="K55" s="1793"/>
      <c r="L55" s="1816"/>
      <c r="M55" s="1789"/>
      <c r="N55" s="1838"/>
      <c r="O55" s="1133" t="s">
        <v>1733</v>
      </c>
      <c r="P55" s="1133" t="s">
        <v>1734</v>
      </c>
      <c r="Q55" s="1341">
        <v>0.06</v>
      </c>
      <c r="R55" s="1840"/>
      <c r="S55" s="1128"/>
      <c r="T55" s="1358" t="s">
        <v>1818</v>
      </c>
      <c r="U55" s="1792"/>
      <c r="V55" s="1789"/>
      <c r="W55" s="1340" t="s">
        <v>2015</v>
      </c>
      <c r="X55" s="1340" t="s">
        <v>1739</v>
      </c>
      <c r="Y55" s="1845"/>
      <c r="Z55" s="1835"/>
      <c r="AA55" s="1790"/>
      <c r="AB55" s="1792"/>
      <c r="AC55" s="149"/>
      <c r="AT55" s="1844"/>
      <c r="AU55" s="1352" t="s">
        <v>1745</v>
      </c>
      <c r="AV55" s="1787"/>
      <c r="AW55" s="1846"/>
      <c r="AX55" s="1846"/>
      <c r="AY55" s="1846"/>
      <c r="AZ55" s="1829"/>
      <c r="BA55" s="1843"/>
      <c r="BB55" s="1847"/>
      <c r="BC55" s="1831"/>
      <c r="BE55" s="1792"/>
      <c r="BF55" s="1792"/>
      <c r="BG55" s="1793"/>
      <c r="BH55" s="1786"/>
      <c r="BI55" s="1180" t="s">
        <v>2012</v>
      </c>
      <c r="BJ55" s="1339" t="s">
        <v>1799</v>
      </c>
      <c r="BK55" s="1788"/>
      <c r="BL55" s="1378" t="s">
        <v>2469</v>
      </c>
      <c r="BM55" s="1795"/>
      <c r="BN55" s="1798"/>
      <c r="BO55" s="1801"/>
    </row>
    <row r="56" spans="10:67" ht="30.75" customHeight="1" x14ac:dyDescent="0.25">
      <c r="J56" s="1853"/>
      <c r="K56" s="1793"/>
      <c r="L56" s="1816"/>
      <c r="M56" s="1789"/>
      <c r="N56" s="1838"/>
      <c r="O56" s="1133" t="s">
        <v>1738</v>
      </c>
      <c r="P56" s="1133" t="s">
        <v>1739</v>
      </c>
      <c r="Q56" s="1341">
        <v>0.06</v>
      </c>
      <c r="R56" s="1840"/>
      <c r="S56" s="1128"/>
      <c r="T56" s="1128"/>
      <c r="U56" s="1368"/>
      <c r="V56" s="1128"/>
      <c r="W56" s="1128"/>
      <c r="X56" s="1128"/>
      <c r="Y56" s="1128"/>
      <c r="Z56" s="1128"/>
      <c r="AA56" s="1128"/>
      <c r="AB56" s="149"/>
      <c r="AC56" s="149"/>
      <c r="AT56" s="1321"/>
      <c r="AU56" s="1322"/>
      <c r="AV56" s="1321"/>
      <c r="AW56" s="1322"/>
      <c r="AX56" s="1322"/>
      <c r="AY56" s="1321"/>
      <c r="AZ56" s="1322"/>
      <c r="BA56" s="1321"/>
      <c r="BB56" s="1321"/>
      <c r="BC56" s="1321"/>
      <c r="BE56" s="1792"/>
      <c r="BF56" s="1792"/>
      <c r="BG56" s="1793"/>
      <c r="BH56" s="1786"/>
      <c r="BI56" s="1180" t="s">
        <v>2012</v>
      </c>
      <c r="BJ56" s="1343" t="s">
        <v>1800</v>
      </c>
      <c r="BK56" s="1788"/>
      <c r="BL56" s="1135" t="s">
        <v>2464</v>
      </c>
      <c r="BM56" s="1795"/>
      <c r="BN56" s="1798"/>
      <c r="BO56" s="1801"/>
    </row>
    <row r="57" spans="10:67" ht="30" customHeight="1" x14ac:dyDescent="0.25">
      <c r="J57" s="1853"/>
      <c r="K57" s="1793" t="s">
        <v>1753</v>
      </c>
      <c r="L57" s="1816" t="s">
        <v>1754</v>
      </c>
      <c r="M57" s="1789">
        <v>0.25</v>
      </c>
      <c r="N57" s="1838"/>
      <c r="O57" s="1342" t="s">
        <v>1718</v>
      </c>
      <c r="P57" s="1341" t="s">
        <v>1798</v>
      </c>
      <c r="Q57" s="1341">
        <v>5.7500000000000002E-2</v>
      </c>
      <c r="R57" s="1840"/>
      <c r="S57" s="1161"/>
      <c r="T57" s="1128"/>
      <c r="U57" s="1368"/>
      <c r="V57" s="1128"/>
      <c r="W57" s="1128"/>
      <c r="X57" s="1128"/>
      <c r="Y57" s="1128"/>
      <c r="Z57" s="1128"/>
      <c r="AA57" s="1128"/>
      <c r="AB57" s="149"/>
      <c r="AC57" s="149"/>
      <c r="AT57" s="1836" t="s">
        <v>2134</v>
      </c>
      <c r="AU57" s="1836"/>
      <c r="AV57" s="1836"/>
      <c r="AW57" s="1836"/>
      <c r="AX57" s="1836"/>
      <c r="AY57" s="1836"/>
      <c r="AZ57" s="1836"/>
      <c r="BA57" s="1836"/>
      <c r="BB57" s="1836"/>
      <c r="BC57" s="1836"/>
      <c r="BE57" s="1792"/>
      <c r="BF57" s="1792"/>
      <c r="BG57" s="1793"/>
      <c r="BH57" s="1786"/>
      <c r="BI57" s="1180" t="s">
        <v>1733</v>
      </c>
      <c r="BJ57" s="1343" t="s">
        <v>1734</v>
      </c>
      <c r="BK57" s="1789">
        <v>0.4</v>
      </c>
      <c r="BL57" s="1790" t="s">
        <v>2464</v>
      </c>
      <c r="BM57" s="1795"/>
      <c r="BN57" s="1798"/>
      <c r="BO57" s="1801"/>
    </row>
    <row r="58" spans="10:67" ht="45" x14ac:dyDescent="0.25">
      <c r="J58" s="1853"/>
      <c r="K58" s="1793"/>
      <c r="L58" s="1816"/>
      <c r="M58" s="1789"/>
      <c r="N58" s="1838"/>
      <c r="O58" s="1342" t="s">
        <v>1718</v>
      </c>
      <c r="P58" s="1341" t="s">
        <v>1799</v>
      </c>
      <c r="Q58" s="1341">
        <v>5.8500000000000003E-2</v>
      </c>
      <c r="R58" s="1840"/>
      <c r="S58" s="1161"/>
      <c r="T58" s="1128"/>
      <c r="U58" s="1368"/>
      <c r="V58" s="1128"/>
      <c r="W58" s="1128"/>
      <c r="X58" s="1128"/>
      <c r="Y58" s="1128"/>
      <c r="Z58" s="1128"/>
      <c r="AA58" s="1128"/>
      <c r="AB58" s="149"/>
      <c r="AC58" s="149"/>
      <c r="AT58" s="1165" t="s">
        <v>1709</v>
      </c>
      <c r="AU58" s="1286" t="s">
        <v>2098</v>
      </c>
      <c r="AV58" s="1165" t="s">
        <v>1706</v>
      </c>
      <c r="AW58" s="1286" t="s">
        <v>1681</v>
      </c>
      <c r="AX58" s="1286" t="s">
        <v>541</v>
      </c>
      <c r="AY58" s="1312" t="s">
        <v>1707</v>
      </c>
      <c r="AZ58" s="1179" t="s">
        <v>1708</v>
      </c>
      <c r="BA58" s="1272" t="s">
        <v>2135</v>
      </c>
      <c r="BB58" s="1313" t="s">
        <v>78</v>
      </c>
      <c r="BC58" s="1179" t="s">
        <v>52</v>
      </c>
      <c r="BE58" s="1792"/>
      <c r="BF58" s="1792"/>
      <c r="BG58" s="1793"/>
      <c r="BH58" s="1786"/>
      <c r="BI58" s="1181" t="s">
        <v>1738</v>
      </c>
      <c r="BJ58" s="1340" t="s">
        <v>2014</v>
      </c>
      <c r="BK58" s="1789"/>
      <c r="BL58" s="1790"/>
      <c r="BM58" s="1795"/>
      <c r="BN58" s="1798"/>
      <c r="BO58" s="1801"/>
    </row>
    <row r="59" spans="10:67" ht="30" x14ac:dyDescent="0.25">
      <c r="J59" s="1853"/>
      <c r="K59" s="1793"/>
      <c r="L59" s="1816"/>
      <c r="M59" s="1789"/>
      <c r="N59" s="1838"/>
      <c r="O59" s="1342" t="s">
        <v>1718</v>
      </c>
      <c r="P59" s="1341" t="s">
        <v>1800</v>
      </c>
      <c r="Q59" s="1341">
        <v>0.06</v>
      </c>
      <c r="R59" s="1840"/>
      <c r="S59" s="1161"/>
      <c r="T59" s="1128"/>
      <c r="U59" s="1368"/>
      <c r="V59" s="1128"/>
      <c r="W59" s="1128"/>
      <c r="X59" s="1128"/>
      <c r="Y59" s="1128"/>
      <c r="Z59" s="1128"/>
      <c r="AA59" s="1128"/>
      <c r="AB59" s="149"/>
      <c r="AC59" s="149"/>
      <c r="AT59" s="1329" t="s">
        <v>1761</v>
      </c>
      <c r="AU59" s="1343" t="s">
        <v>1723</v>
      </c>
      <c r="AV59" s="1338">
        <v>0.3</v>
      </c>
      <c r="AW59" s="1829" t="s">
        <v>1826</v>
      </c>
      <c r="AX59" s="1829" t="s">
        <v>1827</v>
      </c>
      <c r="AY59" s="1829" t="s">
        <v>2118</v>
      </c>
      <c r="AZ59" s="1354" t="s">
        <v>1724</v>
      </c>
      <c r="BA59" s="1843">
        <v>8.56</v>
      </c>
      <c r="BB59" s="1847">
        <v>0.01</v>
      </c>
      <c r="BC59" s="1831" t="s">
        <v>1719</v>
      </c>
      <c r="BE59" s="1792"/>
      <c r="BF59" s="1792" t="s">
        <v>2470</v>
      </c>
      <c r="BG59" s="1793" t="s">
        <v>1735</v>
      </c>
      <c r="BH59" s="1786">
        <v>1300</v>
      </c>
      <c r="BI59" s="1180" t="s">
        <v>2012</v>
      </c>
      <c r="BJ59" s="1339" t="s">
        <v>1798</v>
      </c>
      <c r="BK59" s="1787">
        <v>0.4</v>
      </c>
      <c r="BL59" s="1378" t="s">
        <v>1762</v>
      </c>
      <c r="BM59" s="1795"/>
      <c r="BN59" s="1798"/>
      <c r="BO59" s="1801"/>
    </row>
    <row r="60" spans="10:67" ht="30.75" customHeight="1" x14ac:dyDescent="0.25">
      <c r="J60" s="1853"/>
      <c r="K60" s="1793"/>
      <c r="L60" s="1816"/>
      <c r="M60" s="1789"/>
      <c r="N60" s="1838"/>
      <c r="O60" s="1133" t="s">
        <v>1733</v>
      </c>
      <c r="P60" s="1133" t="s">
        <v>1734</v>
      </c>
      <c r="Q60" s="1341">
        <v>0.06</v>
      </c>
      <c r="R60" s="1840"/>
      <c r="S60" s="1161"/>
      <c r="T60" s="1128"/>
      <c r="U60" s="1368"/>
      <c r="V60" s="1128"/>
      <c r="W60" s="1128"/>
      <c r="X60" s="1128"/>
      <c r="Y60" s="1128"/>
      <c r="Z60" s="1128"/>
      <c r="AA60" s="1128"/>
      <c r="AB60" s="149"/>
      <c r="AC60" s="149"/>
      <c r="AT60" s="1329" t="s">
        <v>1759</v>
      </c>
      <c r="AU60" s="1343" t="s">
        <v>1735</v>
      </c>
      <c r="AV60" s="1338">
        <v>0.4</v>
      </c>
      <c r="AW60" s="1846"/>
      <c r="AX60" s="1846"/>
      <c r="AY60" s="1846"/>
      <c r="AZ60" s="1829" t="s">
        <v>797</v>
      </c>
      <c r="BA60" s="1843"/>
      <c r="BB60" s="1847"/>
      <c r="BC60" s="1831"/>
      <c r="BE60" s="1792"/>
      <c r="BF60" s="1792"/>
      <c r="BG60" s="1793"/>
      <c r="BH60" s="1786"/>
      <c r="BI60" s="1180" t="s">
        <v>2012</v>
      </c>
      <c r="BJ60" s="1339" t="s">
        <v>1799</v>
      </c>
      <c r="BK60" s="1788"/>
      <c r="BL60" s="1378" t="s">
        <v>2469</v>
      </c>
      <c r="BM60" s="1795"/>
      <c r="BN60" s="1798"/>
      <c r="BO60" s="1801"/>
    </row>
    <row r="61" spans="10:67" ht="30" x14ac:dyDescent="0.25">
      <c r="J61" s="1853"/>
      <c r="K61" s="1793"/>
      <c r="L61" s="1816"/>
      <c r="M61" s="1789"/>
      <c r="N61" s="1838"/>
      <c r="O61" s="1133" t="s">
        <v>1738</v>
      </c>
      <c r="P61" s="1133" t="s">
        <v>1739</v>
      </c>
      <c r="Q61" s="1341">
        <v>0.06</v>
      </c>
      <c r="R61" s="1840"/>
      <c r="S61" s="1161"/>
      <c r="T61" s="1128"/>
      <c r="U61" s="1368"/>
      <c r="V61" s="1128"/>
      <c r="W61" s="1128"/>
      <c r="X61" s="1128"/>
      <c r="Y61" s="1128"/>
      <c r="Z61" s="1128"/>
      <c r="AA61" s="1128"/>
      <c r="AB61" s="149"/>
      <c r="AC61" s="149"/>
      <c r="AT61" s="1844" t="s">
        <v>1764</v>
      </c>
      <c r="AU61" s="1343" t="s">
        <v>1741</v>
      </c>
      <c r="AV61" s="1787">
        <v>0.5</v>
      </c>
      <c r="AW61" s="1846"/>
      <c r="AX61" s="1846"/>
      <c r="AY61" s="1846"/>
      <c r="AZ61" s="1829"/>
      <c r="BA61" s="1843"/>
      <c r="BB61" s="1847"/>
      <c r="BC61" s="1831"/>
      <c r="BE61" s="1792"/>
      <c r="BF61" s="1792"/>
      <c r="BG61" s="1793"/>
      <c r="BH61" s="1786"/>
      <c r="BI61" s="1180" t="s">
        <v>2012</v>
      </c>
      <c r="BJ61" s="1343" t="s">
        <v>1800</v>
      </c>
      <c r="BK61" s="1788"/>
      <c r="BL61" s="1135" t="s">
        <v>2464</v>
      </c>
      <c r="BM61" s="1795"/>
      <c r="BN61" s="1798"/>
      <c r="BO61" s="1801"/>
    </row>
    <row r="62" spans="10:67" ht="15" customHeight="1" x14ac:dyDescent="0.25">
      <c r="J62" s="1853"/>
      <c r="K62" s="1793" t="s">
        <v>1740</v>
      </c>
      <c r="L62" s="1816" t="s">
        <v>1754</v>
      </c>
      <c r="M62" s="1789">
        <v>0.25</v>
      </c>
      <c r="N62" s="1838"/>
      <c r="O62" s="1342" t="s">
        <v>1718</v>
      </c>
      <c r="P62" s="1341" t="s">
        <v>1798</v>
      </c>
      <c r="Q62" s="1341">
        <v>5.7500000000000002E-2</v>
      </c>
      <c r="R62" s="1840"/>
      <c r="S62" s="1161"/>
      <c r="T62" s="1128"/>
      <c r="U62" s="1368"/>
      <c r="V62" s="1128"/>
      <c r="W62" s="1128"/>
      <c r="X62" s="1128"/>
      <c r="Y62" s="1128"/>
      <c r="Z62" s="1128"/>
      <c r="AA62" s="1128"/>
      <c r="AB62" s="149"/>
      <c r="AC62" s="149"/>
      <c r="AT62" s="1844"/>
      <c r="AU62" s="1352" t="s">
        <v>1745</v>
      </c>
      <c r="AV62" s="1787"/>
      <c r="AW62" s="1846"/>
      <c r="AX62" s="1846"/>
      <c r="AY62" s="1846"/>
      <c r="AZ62" s="1829"/>
      <c r="BA62" s="1843"/>
      <c r="BB62" s="1847"/>
      <c r="BC62" s="1831"/>
      <c r="BE62" s="1792"/>
      <c r="BF62" s="1792"/>
      <c r="BG62" s="1793"/>
      <c r="BH62" s="1786"/>
      <c r="BI62" s="1180" t="s">
        <v>1733</v>
      </c>
      <c r="BJ62" s="1343" t="s">
        <v>1734</v>
      </c>
      <c r="BK62" s="1789">
        <v>0.5</v>
      </c>
      <c r="BL62" s="1790" t="s">
        <v>2464</v>
      </c>
      <c r="BM62" s="1795"/>
      <c r="BN62" s="1798"/>
      <c r="BO62" s="1801"/>
    </row>
    <row r="63" spans="10:67" ht="28.5" customHeight="1" x14ac:dyDescent="0.25">
      <c r="J63" s="1853"/>
      <c r="K63" s="1793"/>
      <c r="L63" s="1816"/>
      <c r="M63" s="1789"/>
      <c r="N63" s="1838"/>
      <c r="O63" s="1342" t="s">
        <v>1718</v>
      </c>
      <c r="P63" s="1341" t="s">
        <v>1799</v>
      </c>
      <c r="Q63" s="1341">
        <v>5.8500000000000003E-2</v>
      </c>
      <c r="R63" s="1840"/>
      <c r="S63" s="1161"/>
      <c r="T63" s="1128"/>
      <c r="U63" s="1368"/>
      <c r="V63" s="1128"/>
      <c r="W63" s="1128"/>
      <c r="X63" s="1128"/>
      <c r="Y63" s="1128"/>
      <c r="Z63" s="1128"/>
      <c r="AA63" s="1128"/>
      <c r="AB63" s="149"/>
      <c r="AC63" s="149"/>
      <c r="AT63" s="1332"/>
      <c r="AU63" s="1368"/>
      <c r="AV63" s="1333"/>
      <c r="AW63" s="1334"/>
      <c r="AX63" s="1334"/>
      <c r="AY63" s="1369"/>
      <c r="AZ63" s="1328"/>
      <c r="BA63" s="1369"/>
      <c r="BB63" s="1131"/>
      <c r="BC63" s="1370"/>
      <c r="BE63" s="1792"/>
      <c r="BF63" s="1792"/>
      <c r="BG63" s="1793"/>
      <c r="BH63" s="1786"/>
      <c r="BI63" s="1181" t="s">
        <v>1738</v>
      </c>
      <c r="BJ63" s="1340" t="s">
        <v>2014</v>
      </c>
      <c r="BK63" s="1789"/>
      <c r="BL63" s="1790"/>
      <c r="BM63" s="1795"/>
      <c r="BN63" s="1798"/>
      <c r="BO63" s="1801"/>
    </row>
    <row r="64" spans="10:67" ht="30" x14ac:dyDescent="0.25">
      <c r="J64" s="1853"/>
      <c r="K64" s="1793"/>
      <c r="L64" s="1816"/>
      <c r="M64" s="1789"/>
      <c r="N64" s="1838"/>
      <c r="O64" s="1342" t="s">
        <v>1718</v>
      </c>
      <c r="P64" s="1341" t="s">
        <v>1800</v>
      </c>
      <c r="Q64" s="1341">
        <v>0.06</v>
      </c>
      <c r="R64" s="1840"/>
      <c r="S64" s="1161"/>
      <c r="T64" s="1128"/>
      <c r="U64" s="1368"/>
      <c r="V64" s="1128"/>
      <c r="W64" s="1128"/>
      <c r="X64" s="1128"/>
      <c r="Y64" s="1128"/>
      <c r="Z64" s="1128"/>
      <c r="AA64" s="1128"/>
      <c r="AB64" s="149"/>
      <c r="AC64" s="149"/>
      <c r="AT64" s="1836" t="s">
        <v>2132</v>
      </c>
      <c r="AU64" s="1836"/>
      <c r="AV64" s="1836"/>
      <c r="AW64" s="1836"/>
      <c r="AX64" s="1836"/>
      <c r="AY64" s="1836"/>
      <c r="AZ64" s="1836"/>
      <c r="BA64" s="1836"/>
      <c r="BB64" s="1836"/>
      <c r="BC64" s="1836"/>
      <c r="BE64" s="1792"/>
      <c r="BF64" s="1792"/>
      <c r="BG64" s="1793" t="s">
        <v>1736</v>
      </c>
      <c r="BH64" s="1804" t="s">
        <v>2471</v>
      </c>
      <c r="BI64" s="1180" t="s">
        <v>2012</v>
      </c>
      <c r="BJ64" s="1339" t="s">
        <v>1798</v>
      </c>
      <c r="BK64" s="1787">
        <v>0.4</v>
      </c>
      <c r="BL64" s="1378" t="s">
        <v>1762</v>
      </c>
      <c r="BM64" s="1795"/>
      <c r="BN64" s="1798"/>
      <c r="BO64" s="1801"/>
    </row>
    <row r="65" spans="10:67" ht="45" x14ac:dyDescent="0.25">
      <c r="J65" s="1853"/>
      <c r="K65" s="1793"/>
      <c r="L65" s="1816"/>
      <c r="M65" s="1789"/>
      <c r="N65" s="1838"/>
      <c r="O65" s="1133" t="s">
        <v>1733</v>
      </c>
      <c r="P65" s="1133" t="s">
        <v>1734</v>
      </c>
      <c r="Q65" s="1341">
        <v>0.06</v>
      </c>
      <c r="R65" s="1840"/>
      <c r="S65" s="1161"/>
      <c r="T65" s="1128"/>
      <c r="U65" s="1368"/>
      <c r="V65" s="1128"/>
      <c r="W65" s="1128"/>
      <c r="X65" s="1128"/>
      <c r="Y65" s="1128"/>
      <c r="Z65" s="1128"/>
      <c r="AA65" s="1128"/>
      <c r="AB65" s="149"/>
      <c r="AC65" s="149"/>
      <c r="AT65" s="1165" t="s">
        <v>1709</v>
      </c>
      <c r="AU65" s="1286" t="s">
        <v>2098</v>
      </c>
      <c r="AV65" s="1165" t="s">
        <v>1706</v>
      </c>
      <c r="AW65" s="1286" t="s">
        <v>1681</v>
      </c>
      <c r="AX65" s="1286" t="s">
        <v>541</v>
      </c>
      <c r="AY65" s="1312" t="s">
        <v>1707</v>
      </c>
      <c r="AZ65" s="1179" t="s">
        <v>1708</v>
      </c>
      <c r="BA65" s="1272" t="s">
        <v>2135</v>
      </c>
      <c r="BB65" s="1313" t="s">
        <v>78</v>
      </c>
      <c r="BC65" s="1179" t="s">
        <v>52</v>
      </c>
      <c r="BE65" s="1792"/>
      <c r="BF65" s="1792"/>
      <c r="BG65" s="1793"/>
      <c r="BH65" s="1805"/>
      <c r="BI65" s="1180" t="s">
        <v>2012</v>
      </c>
      <c r="BJ65" s="1339" t="s">
        <v>1799</v>
      </c>
      <c r="BK65" s="1788"/>
      <c r="BL65" s="1378" t="s">
        <v>2469</v>
      </c>
      <c r="BM65" s="1795"/>
      <c r="BN65" s="1798"/>
      <c r="BO65" s="1801"/>
    </row>
    <row r="66" spans="10:67" ht="36.75" customHeight="1" x14ac:dyDescent="0.25">
      <c r="J66" s="1853"/>
      <c r="K66" s="1793"/>
      <c r="L66" s="1816"/>
      <c r="M66" s="1789"/>
      <c r="N66" s="1838"/>
      <c r="O66" s="1133" t="s">
        <v>1738</v>
      </c>
      <c r="P66" s="1133" t="s">
        <v>1739</v>
      </c>
      <c r="Q66" s="1341">
        <v>0.06</v>
      </c>
      <c r="R66" s="1840"/>
      <c r="S66" s="1161"/>
      <c r="T66" s="1128"/>
      <c r="U66" s="1368"/>
      <c r="V66" s="1128"/>
      <c r="W66" s="1128"/>
      <c r="X66" s="1128"/>
      <c r="Y66" s="1128"/>
      <c r="Z66" s="1128"/>
      <c r="AA66" s="1128"/>
      <c r="AB66" s="149"/>
      <c r="AC66" s="149"/>
      <c r="AT66" s="1842" t="s">
        <v>1713</v>
      </c>
      <c r="AU66" s="1793" t="s">
        <v>1723</v>
      </c>
      <c r="AV66" s="1787">
        <v>0.2</v>
      </c>
      <c r="AW66" s="1357" t="s">
        <v>1823</v>
      </c>
      <c r="AX66" s="1363" t="s">
        <v>1798</v>
      </c>
      <c r="AY66" s="1341">
        <v>5.7500000000000002E-2</v>
      </c>
      <c r="AZ66" s="1817" t="s">
        <v>1724</v>
      </c>
      <c r="BA66" s="1820">
        <v>8.56</v>
      </c>
      <c r="BB66" s="1823" t="s">
        <v>797</v>
      </c>
      <c r="BC66" s="1839" t="s">
        <v>1719</v>
      </c>
      <c r="BE66" s="1792"/>
      <c r="BF66" s="1792"/>
      <c r="BG66" s="1793"/>
      <c r="BH66" s="1805"/>
      <c r="BI66" s="1180" t="s">
        <v>2012</v>
      </c>
      <c r="BJ66" s="1343" t="s">
        <v>1800</v>
      </c>
      <c r="BK66" s="1788"/>
      <c r="BL66" s="1135" t="s">
        <v>2464</v>
      </c>
      <c r="BM66" s="1795"/>
      <c r="BN66" s="1798"/>
      <c r="BO66" s="1801"/>
    </row>
    <row r="67" spans="10:67" ht="15.75" customHeight="1" x14ac:dyDescent="0.25">
      <c r="J67" s="1853"/>
      <c r="K67" s="1793" t="s">
        <v>1770</v>
      </c>
      <c r="L67" s="1816" t="s">
        <v>1361</v>
      </c>
      <c r="M67" s="1789">
        <v>0.3</v>
      </c>
      <c r="N67" s="1838"/>
      <c r="O67" s="1342" t="s">
        <v>1718</v>
      </c>
      <c r="P67" s="1341" t="s">
        <v>1798</v>
      </c>
      <c r="Q67" s="1341">
        <v>5.7500000000000002E-2</v>
      </c>
      <c r="R67" s="1840"/>
      <c r="S67" s="1161"/>
      <c r="T67" s="1128"/>
      <c r="U67" s="1368"/>
      <c r="V67" s="1128"/>
      <c r="W67" s="1128"/>
      <c r="X67" s="1128"/>
      <c r="Y67" s="1128"/>
      <c r="Z67" s="1128"/>
      <c r="AA67" s="1128"/>
      <c r="AB67" s="149"/>
      <c r="AC67" s="149"/>
      <c r="AT67" s="1842"/>
      <c r="AU67" s="1793"/>
      <c r="AV67" s="1787"/>
      <c r="AW67" s="1357" t="s">
        <v>1823</v>
      </c>
      <c r="AX67" s="1363" t="s">
        <v>2465</v>
      </c>
      <c r="AY67" s="1341">
        <v>5.8500000000000003E-2</v>
      </c>
      <c r="AZ67" s="1818"/>
      <c r="BA67" s="1821"/>
      <c r="BB67" s="1824"/>
      <c r="BC67" s="1840"/>
      <c r="BE67" s="1792"/>
      <c r="BF67" s="1792"/>
      <c r="BG67" s="1793"/>
      <c r="BH67" s="1805"/>
      <c r="BI67" s="1180" t="s">
        <v>1733</v>
      </c>
      <c r="BJ67" s="1343" t="s">
        <v>1734</v>
      </c>
      <c r="BK67" s="1789">
        <v>0.5</v>
      </c>
      <c r="BL67" s="1790" t="s">
        <v>2464</v>
      </c>
      <c r="BM67" s="1795"/>
      <c r="BN67" s="1798"/>
      <c r="BO67" s="1801"/>
    </row>
    <row r="68" spans="10:67" ht="30" x14ac:dyDescent="0.25">
      <c r="J68" s="1853"/>
      <c r="K68" s="1793"/>
      <c r="L68" s="1816"/>
      <c r="M68" s="1789"/>
      <c r="N68" s="1838"/>
      <c r="O68" s="1342" t="s">
        <v>1718</v>
      </c>
      <c r="P68" s="1341" t="s">
        <v>1799</v>
      </c>
      <c r="Q68" s="1341">
        <v>5.8500000000000003E-2</v>
      </c>
      <c r="R68" s="1840"/>
      <c r="S68" s="1161"/>
      <c r="T68" s="1128"/>
      <c r="U68" s="1368"/>
      <c r="V68" s="1128"/>
      <c r="W68" s="1128"/>
      <c r="X68" s="1128"/>
      <c r="Y68" s="1128"/>
      <c r="Z68" s="1128"/>
      <c r="AA68" s="1128"/>
      <c r="AB68" s="149"/>
      <c r="AC68" s="149"/>
      <c r="AT68" s="1842"/>
      <c r="AU68" s="1793"/>
      <c r="AV68" s="1787"/>
      <c r="AW68" s="1357" t="s">
        <v>1823</v>
      </c>
      <c r="AX68" s="1357" t="s">
        <v>1800</v>
      </c>
      <c r="AY68" s="1341">
        <v>0.06</v>
      </c>
      <c r="AZ68" s="1818"/>
      <c r="BA68" s="1821"/>
      <c r="BB68" s="1824"/>
      <c r="BC68" s="1840"/>
      <c r="BE68" s="1792"/>
      <c r="BF68" s="1792"/>
      <c r="BG68" s="1793"/>
      <c r="BH68" s="1806"/>
      <c r="BI68" s="1181" t="s">
        <v>1738</v>
      </c>
      <c r="BJ68" s="1340" t="s">
        <v>2014</v>
      </c>
      <c r="BK68" s="1789"/>
      <c r="BL68" s="1790"/>
      <c r="BM68" s="1796"/>
      <c r="BN68" s="1799"/>
      <c r="BO68" s="1802"/>
    </row>
    <row r="69" spans="10:67" x14ac:dyDescent="0.25">
      <c r="J69" s="1853"/>
      <c r="K69" s="1793"/>
      <c r="L69" s="1816"/>
      <c r="M69" s="1789"/>
      <c r="N69" s="1838"/>
      <c r="O69" s="1342" t="s">
        <v>1718</v>
      </c>
      <c r="P69" s="1341" t="s">
        <v>1800</v>
      </c>
      <c r="Q69" s="1341">
        <v>0.06</v>
      </c>
      <c r="R69" s="1840"/>
      <c r="S69" s="1161"/>
      <c r="T69" s="1128"/>
      <c r="U69" s="1368"/>
      <c r="V69" s="1128"/>
      <c r="W69" s="1128"/>
      <c r="X69" s="1128"/>
      <c r="Y69" s="1128"/>
      <c r="Z69" s="1128"/>
      <c r="AA69" s="1128"/>
      <c r="AB69" s="149"/>
      <c r="AC69" s="149"/>
      <c r="AT69" s="1842"/>
      <c r="AU69" s="1793"/>
      <c r="AV69" s="1787"/>
      <c r="AW69" s="1354" t="s">
        <v>1824</v>
      </c>
      <c r="AX69" s="1354" t="s">
        <v>1825</v>
      </c>
      <c r="AY69" s="1341">
        <v>0.06</v>
      </c>
      <c r="AZ69" s="1818"/>
      <c r="BA69" s="1821"/>
      <c r="BB69" s="1824"/>
      <c r="BC69" s="1840"/>
      <c r="BH69" s="1132"/>
      <c r="BJ69" s="1186"/>
      <c r="BL69" s="1123"/>
    </row>
    <row r="70" spans="10:67" ht="15.75" x14ac:dyDescent="0.25">
      <c r="J70" s="1853"/>
      <c r="K70" s="1793"/>
      <c r="L70" s="1816"/>
      <c r="M70" s="1789"/>
      <c r="N70" s="1838"/>
      <c r="O70" s="1133" t="s">
        <v>1733</v>
      </c>
      <c r="P70" s="1133" t="s">
        <v>1734</v>
      </c>
      <c r="Q70" s="1341">
        <v>0.06</v>
      </c>
      <c r="R70" s="1840"/>
      <c r="S70" s="1161"/>
      <c r="T70" s="1128"/>
      <c r="U70" s="1368"/>
      <c r="V70" s="1128"/>
      <c r="W70" s="1128"/>
      <c r="X70" s="1128"/>
      <c r="Y70" s="1128"/>
      <c r="Z70" s="1128"/>
      <c r="AA70" s="1128"/>
      <c r="AB70" s="149"/>
      <c r="AC70" s="149"/>
      <c r="AT70" s="1842"/>
      <c r="AU70" s="1793"/>
      <c r="AV70" s="1787"/>
      <c r="AW70" s="1343" t="s">
        <v>1738</v>
      </c>
      <c r="AX70" s="1343" t="s">
        <v>1739</v>
      </c>
      <c r="AY70" s="1341">
        <v>0.06</v>
      </c>
      <c r="AZ70" s="1819"/>
      <c r="BA70" s="1821"/>
      <c r="BB70" s="1824"/>
      <c r="BC70" s="1840"/>
      <c r="BE70" s="1809" t="s">
        <v>1758</v>
      </c>
      <c r="BF70" s="1810"/>
      <c r="BG70" s="1810"/>
      <c r="BH70" s="1810"/>
      <c r="BI70" s="1810"/>
      <c r="BJ70" s="1810"/>
      <c r="BK70" s="1810"/>
      <c r="BL70" s="1810"/>
      <c r="BM70" s="1810"/>
      <c r="BN70" s="1810"/>
      <c r="BO70" s="1810"/>
    </row>
    <row r="71" spans="10:67" ht="30" customHeight="1" x14ac:dyDescent="0.25">
      <c r="J71" s="1854"/>
      <c r="K71" s="1793"/>
      <c r="L71" s="1816"/>
      <c r="M71" s="1789"/>
      <c r="N71" s="1838"/>
      <c r="O71" s="1133" t="s">
        <v>1738</v>
      </c>
      <c r="P71" s="1133" t="s">
        <v>1739</v>
      </c>
      <c r="Q71" s="1341">
        <v>0.06</v>
      </c>
      <c r="R71" s="1841"/>
      <c r="S71" s="1161"/>
      <c r="T71" s="1128"/>
      <c r="U71" s="1368"/>
      <c r="V71" s="1128"/>
      <c r="W71" s="1128"/>
      <c r="X71" s="1128"/>
      <c r="Y71" s="1128"/>
      <c r="Z71" s="1128"/>
      <c r="AA71" s="1128"/>
      <c r="AB71" s="149"/>
      <c r="AC71" s="149"/>
      <c r="AT71" s="1811" t="s">
        <v>2119</v>
      </c>
      <c r="AU71" s="1793" t="s">
        <v>2120</v>
      </c>
      <c r="AV71" s="1787">
        <v>0.25</v>
      </c>
      <c r="AW71" s="1357" t="s">
        <v>1823</v>
      </c>
      <c r="AX71" s="1363" t="s">
        <v>1798</v>
      </c>
      <c r="AY71" s="1341">
        <v>5.7500000000000002E-2</v>
      </c>
      <c r="AZ71" s="1832" t="s">
        <v>797</v>
      </c>
      <c r="BA71" s="1821"/>
      <c r="BB71" s="1824"/>
      <c r="BC71" s="1840"/>
      <c r="BE71" s="1177" t="s">
        <v>1709</v>
      </c>
      <c r="BF71" s="1373" t="s">
        <v>1760</v>
      </c>
      <c r="BG71" s="1177" t="s">
        <v>1704</v>
      </c>
      <c r="BH71" s="1177" t="s">
        <v>1711</v>
      </c>
      <c r="BI71" s="1373" t="s">
        <v>1681</v>
      </c>
      <c r="BJ71" s="1165" t="s">
        <v>541</v>
      </c>
      <c r="BK71" s="1373" t="s">
        <v>1706</v>
      </c>
      <c r="BL71" s="1178" t="s">
        <v>1707</v>
      </c>
      <c r="BM71" s="1272" t="s">
        <v>2135</v>
      </c>
      <c r="BN71" s="1179" t="s">
        <v>78</v>
      </c>
      <c r="BO71" s="1179" t="s">
        <v>52</v>
      </c>
    </row>
    <row r="72" spans="10:67" ht="30" x14ac:dyDescent="0.25">
      <c r="K72" s="1325"/>
      <c r="L72" s="1126"/>
      <c r="M72" s="1127"/>
      <c r="N72" s="1160"/>
      <c r="O72" s="1126"/>
      <c r="P72" s="1126"/>
      <c r="Q72" s="1118"/>
      <c r="R72" s="1118"/>
      <c r="S72" s="1118"/>
      <c r="T72" s="1128"/>
      <c r="U72" s="1368"/>
      <c r="V72" s="1128"/>
      <c r="W72" s="1128"/>
      <c r="X72" s="1128"/>
      <c r="Y72" s="1128"/>
      <c r="Z72" s="1128"/>
      <c r="AA72" s="1128"/>
      <c r="AB72" s="149"/>
      <c r="AC72" s="149"/>
      <c r="AT72" s="1811"/>
      <c r="AU72" s="1793"/>
      <c r="AV72" s="1787"/>
      <c r="AW72" s="1357" t="s">
        <v>1823</v>
      </c>
      <c r="AX72" s="1363" t="s">
        <v>2465</v>
      </c>
      <c r="AY72" s="1341">
        <v>5.8500000000000003E-2</v>
      </c>
      <c r="AZ72" s="1833"/>
      <c r="BA72" s="1821"/>
      <c r="BB72" s="1824"/>
      <c r="BC72" s="1840"/>
      <c r="BE72" s="1356" t="s">
        <v>1761</v>
      </c>
      <c r="BF72" s="1792" t="s">
        <v>2463</v>
      </c>
      <c r="BG72" s="1343" t="s">
        <v>1735</v>
      </c>
      <c r="BH72" s="1343" t="s">
        <v>1746</v>
      </c>
      <c r="BI72" s="1789" t="s">
        <v>2016</v>
      </c>
      <c r="BJ72" s="1829" t="s">
        <v>2017</v>
      </c>
      <c r="BK72" s="1789">
        <v>0.4</v>
      </c>
      <c r="BL72" s="1829" t="s">
        <v>2468</v>
      </c>
      <c r="BM72" s="1835">
        <v>8.56</v>
      </c>
      <c r="BN72" s="1826">
        <v>0.01</v>
      </c>
      <c r="BO72" s="1827" t="s">
        <v>2013</v>
      </c>
    </row>
    <row r="73" spans="10:67" ht="30" x14ac:dyDescent="0.25">
      <c r="J73" s="1828" t="s">
        <v>1763</v>
      </c>
      <c r="K73" s="1828"/>
      <c r="L73" s="1828"/>
      <c r="M73" s="1828"/>
      <c r="N73" s="1828"/>
      <c r="O73" s="1828"/>
      <c r="P73" s="1828"/>
      <c r="Q73" s="1828"/>
      <c r="R73" s="1828"/>
      <c r="S73" s="1128"/>
      <c r="T73" s="1128"/>
      <c r="U73" s="1368"/>
      <c r="V73" s="1128"/>
      <c r="W73" s="1128"/>
      <c r="X73" s="1128"/>
      <c r="Y73" s="1128"/>
      <c r="Z73" s="1128"/>
      <c r="AA73" s="1128"/>
      <c r="AB73" s="149"/>
      <c r="AC73" s="149"/>
      <c r="AT73" s="1811"/>
      <c r="AU73" s="1793"/>
      <c r="AV73" s="1787"/>
      <c r="AW73" s="1357" t="s">
        <v>1823</v>
      </c>
      <c r="AX73" s="1357" t="s">
        <v>1800</v>
      </c>
      <c r="AY73" s="1341">
        <v>0.06</v>
      </c>
      <c r="AZ73" s="1833"/>
      <c r="BA73" s="1821"/>
      <c r="BB73" s="1824"/>
      <c r="BC73" s="1840"/>
      <c r="BE73" s="1335" t="s">
        <v>1731</v>
      </c>
      <c r="BF73" s="1792"/>
      <c r="BG73" s="1343" t="s">
        <v>1736</v>
      </c>
      <c r="BH73" s="1343" t="s">
        <v>1766</v>
      </c>
      <c r="BI73" s="1789"/>
      <c r="BJ73" s="1829"/>
      <c r="BK73" s="1789"/>
      <c r="BL73" s="1829"/>
      <c r="BM73" s="1835"/>
      <c r="BN73" s="1826"/>
      <c r="BO73" s="1827"/>
    </row>
    <row r="74" spans="10:67" ht="30" x14ac:dyDescent="0.25">
      <c r="J74" s="1177" t="s">
        <v>1703</v>
      </c>
      <c r="K74" s="1330" t="s">
        <v>1704</v>
      </c>
      <c r="L74" s="1331" t="s">
        <v>1712</v>
      </c>
      <c r="M74" s="1373" t="s">
        <v>1706</v>
      </c>
      <c r="N74" s="1272" t="s">
        <v>2135</v>
      </c>
      <c r="O74" s="1373" t="s">
        <v>1777</v>
      </c>
      <c r="P74" s="1373" t="s">
        <v>1778</v>
      </c>
      <c r="Q74" s="1373" t="s">
        <v>1707</v>
      </c>
      <c r="R74" s="1179" t="s">
        <v>52</v>
      </c>
      <c r="S74" s="1155"/>
      <c r="T74" s="1128"/>
      <c r="U74" s="1368"/>
      <c r="V74" s="1128"/>
      <c r="W74" s="1128"/>
      <c r="X74" s="1128"/>
      <c r="Y74" s="1128"/>
      <c r="Z74" s="1128"/>
      <c r="AA74" s="1128"/>
      <c r="AB74" s="149"/>
      <c r="AC74" s="149"/>
      <c r="AT74" s="1811"/>
      <c r="AU74" s="1793"/>
      <c r="AV74" s="1787"/>
      <c r="AW74" s="1354" t="s">
        <v>1824</v>
      </c>
      <c r="AX74" s="1354" t="s">
        <v>1825</v>
      </c>
      <c r="AY74" s="1341">
        <v>0.06</v>
      </c>
      <c r="AZ74" s="1833"/>
      <c r="BA74" s="1821"/>
      <c r="BB74" s="1824"/>
      <c r="BC74" s="1840"/>
      <c r="BE74" s="1792" t="s">
        <v>1765</v>
      </c>
      <c r="BF74" s="1792" t="s">
        <v>2467</v>
      </c>
      <c r="BG74" s="1343" t="s">
        <v>1735</v>
      </c>
      <c r="BH74" s="1793" t="s">
        <v>1746</v>
      </c>
      <c r="BI74" s="1789"/>
      <c r="BJ74" s="1829"/>
      <c r="BK74" s="1829">
        <v>0.4</v>
      </c>
      <c r="BL74" s="1829"/>
      <c r="BM74" s="1835"/>
      <c r="BN74" s="1826"/>
      <c r="BO74" s="1827"/>
    </row>
    <row r="75" spans="10:67" ht="30" customHeight="1" x14ac:dyDescent="0.25">
      <c r="J75" s="1830" t="s">
        <v>2473</v>
      </c>
      <c r="K75" s="1793" t="s">
        <v>1779</v>
      </c>
      <c r="L75" s="1816" t="s">
        <v>1742</v>
      </c>
      <c r="M75" s="1789">
        <v>0.3</v>
      </c>
      <c r="N75" s="1838">
        <v>8.56</v>
      </c>
      <c r="O75" s="1342" t="s">
        <v>1718</v>
      </c>
      <c r="P75" s="1341" t="s">
        <v>1798</v>
      </c>
      <c r="Q75" s="1341">
        <v>5.7500000000000002E-2</v>
      </c>
      <c r="R75" s="1839" t="s">
        <v>1722</v>
      </c>
      <c r="S75" s="1161"/>
      <c r="T75" s="1128"/>
      <c r="U75" s="1368"/>
      <c r="V75" s="1128"/>
      <c r="W75" s="1128"/>
      <c r="X75" s="1128"/>
      <c r="Y75" s="1128"/>
      <c r="Z75" s="1128"/>
      <c r="AA75" s="1128"/>
      <c r="AB75" s="149"/>
      <c r="AC75" s="149"/>
      <c r="AT75" s="1811"/>
      <c r="AU75" s="1793"/>
      <c r="AV75" s="1787"/>
      <c r="AW75" s="1343" t="s">
        <v>1738</v>
      </c>
      <c r="AX75" s="1343" t="s">
        <v>1739</v>
      </c>
      <c r="AY75" s="1341">
        <v>0.06</v>
      </c>
      <c r="AZ75" s="1833"/>
      <c r="BA75" s="1821"/>
      <c r="BB75" s="1824"/>
      <c r="BC75" s="1840"/>
      <c r="BE75" s="1792"/>
      <c r="BF75" s="1792"/>
      <c r="BG75" s="1343" t="s">
        <v>1736</v>
      </c>
      <c r="BH75" s="1793"/>
      <c r="BI75" s="1789"/>
      <c r="BJ75" s="1829"/>
      <c r="BK75" s="1829"/>
      <c r="BL75" s="1829"/>
      <c r="BM75" s="1835"/>
      <c r="BN75" s="1826"/>
      <c r="BO75" s="1827"/>
    </row>
    <row r="76" spans="10:67" ht="30" x14ac:dyDescent="0.25">
      <c r="J76" s="1830"/>
      <c r="K76" s="1793"/>
      <c r="L76" s="1816"/>
      <c r="M76" s="1789"/>
      <c r="N76" s="1838"/>
      <c r="O76" s="1342" t="s">
        <v>1718</v>
      </c>
      <c r="P76" s="1341" t="s">
        <v>1799</v>
      </c>
      <c r="Q76" s="1341">
        <v>5.8500000000000003E-2</v>
      </c>
      <c r="R76" s="1840"/>
      <c r="S76" s="1161"/>
      <c r="T76" s="1128"/>
      <c r="U76" s="1368"/>
      <c r="V76" s="1128"/>
      <c r="W76" s="1128"/>
      <c r="X76" s="1128"/>
      <c r="Y76" s="1128"/>
      <c r="Z76" s="1128"/>
      <c r="AA76" s="1128"/>
      <c r="AB76" s="149"/>
      <c r="AC76" s="149"/>
      <c r="AT76" s="1842" t="s">
        <v>1737</v>
      </c>
      <c r="AU76" s="1812" t="s">
        <v>2121</v>
      </c>
      <c r="AV76" s="1789">
        <v>0.3</v>
      </c>
      <c r="AW76" s="1357" t="s">
        <v>1823</v>
      </c>
      <c r="AX76" s="1363" t="s">
        <v>1798</v>
      </c>
      <c r="AY76" s="1341">
        <v>5.7500000000000002E-2</v>
      </c>
      <c r="AZ76" s="1833"/>
      <c r="BA76" s="1821"/>
      <c r="BB76" s="1824"/>
      <c r="BC76" s="1840"/>
      <c r="BE76" s="1792"/>
      <c r="BF76" s="1792" t="s">
        <v>2470</v>
      </c>
      <c r="BG76" s="1343" t="s">
        <v>1735</v>
      </c>
      <c r="BH76" s="1793" t="s">
        <v>1746</v>
      </c>
      <c r="BI76" s="1789"/>
      <c r="BJ76" s="1829"/>
      <c r="BK76" s="1829">
        <v>0.5</v>
      </c>
      <c r="BL76" s="1829"/>
      <c r="BM76" s="1835"/>
      <c r="BN76" s="1826"/>
      <c r="BO76" s="1827"/>
    </row>
    <row r="77" spans="10:67" ht="30" x14ac:dyDescent="0.25">
      <c r="J77" s="1830"/>
      <c r="K77" s="1793"/>
      <c r="L77" s="1816"/>
      <c r="M77" s="1789"/>
      <c r="N77" s="1838"/>
      <c r="O77" s="1342" t="s">
        <v>1718</v>
      </c>
      <c r="P77" s="1341" t="s">
        <v>1800</v>
      </c>
      <c r="Q77" s="1341">
        <v>0.06</v>
      </c>
      <c r="R77" s="1840"/>
      <c r="S77" s="1161"/>
      <c r="T77" s="1128"/>
      <c r="U77" s="1368"/>
      <c r="V77" s="1128"/>
      <c r="W77" s="1128"/>
      <c r="X77" s="1128"/>
      <c r="Y77" s="1128"/>
      <c r="Z77" s="1128"/>
      <c r="AA77" s="1128"/>
      <c r="AB77" s="149"/>
      <c r="AC77" s="149"/>
      <c r="AT77" s="1842"/>
      <c r="AU77" s="1812"/>
      <c r="AV77" s="1789"/>
      <c r="AW77" s="1357" t="s">
        <v>1823</v>
      </c>
      <c r="AX77" s="1363" t="s">
        <v>2465</v>
      </c>
      <c r="AY77" s="1341">
        <v>5.8500000000000003E-2</v>
      </c>
      <c r="AZ77" s="1833"/>
      <c r="BA77" s="1821"/>
      <c r="BB77" s="1824"/>
      <c r="BC77" s="1840"/>
      <c r="BE77" s="1792"/>
      <c r="BF77" s="1792"/>
      <c r="BG77" s="1343" t="s">
        <v>1736</v>
      </c>
      <c r="BH77" s="1793"/>
      <c r="BI77" s="1789"/>
      <c r="BJ77" s="1829"/>
      <c r="BK77" s="1829"/>
      <c r="BL77" s="1829"/>
      <c r="BM77" s="1835"/>
      <c r="BN77" s="1826"/>
      <c r="BO77" s="1827"/>
    </row>
    <row r="78" spans="10:67" ht="30" x14ac:dyDescent="0.25">
      <c r="J78" s="1830"/>
      <c r="K78" s="1793"/>
      <c r="L78" s="1816"/>
      <c r="M78" s="1789"/>
      <c r="N78" s="1838"/>
      <c r="O78" s="1133" t="s">
        <v>1733</v>
      </c>
      <c r="P78" s="1133" t="s">
        <v>1734</v>
      </c>
      <c r="Q78" s="1341">
        <v>0.06</v>
      </c>
      <c r="R78" s="1840"/>
      <c r="S78" s="1161"/>
      <c r="T78" s="1128"/>
      <c r="U78" s="1368"/>
      <c r="V78" s="1128"/>
      <c r="W78" s="1128"/>
      <c r="X78" s="1128"/>
      <c r="Y78" s="1128"/>
      <c r="Z78" s="1128"/>
      <c r="AA78" s="1128"/>
      <c r="AB78" s="149"/>
      <c r="AC78" s="149"/>
      <c r="AT78" s="1842"/>
      <c r="AU78" s="1812"/>
      <c r="AV78" s="1789"/>
      <c r="AW78" s="1357" t="s">
        <v>1823</v>
      </c>
      <c r="AX78" s="1357" t="s">
        <v>1800</v>
      </c>
      <c r="AY78" s="1341">
        <v>0.06</v>
      </c>
      <c r="AZ78" s="1833"/>
      <c r="BA78" s="1821"/>
      <c r="BB78" s="1824"/>
      <c r="BC78" s="1840"/>
      <c r="BE78" s="1159"/>
      <c r="BF78" s="1159"/>
      <c r="BG78" s="1348"/>
      <c r="BH78" s="1325"/>
      <c r="BI78" s="1127"/>
      <c r="BJ78" s="1160"/>
      <c r="BK78" s="1160"/>
      <c r="BL78" s="1160"/>
      <c r="BM78" s="1336"/>
      <c r="BN78" s="1337"/>
      <c r="BO78" s="1126"/>
    </row>
    <row r="79" spans="10:67" ht="15.75" customHeight="1" x14ac:dyDescent="0.25">
      <c r="J79" s="1830"/>
      <c r="K79" s="1793"/>
      <c r="L79" s="1816"/>
      <c r="M79" s="1789"/>
      <c r="N79" s="1838"/>
      <c r="O79" s="1133" t="s">
        <v>1738</v>
      </c>
      <c r="P79" s="1133" t="s">
        <v>1739</v>
      </c>
      <c r="Q79" s="1341">
        <v>0.06</v>
      </c>
      <c r="R79" s="1840"/>
      <c r="S79" s="1161"/>
      <c r="T79" s="1128"/>
      <c r="U79" s="1368"/>
      <c r="V79" s="1128"/>
      <c r="W79" s="1128"/>
      <c r="X79" s="1128"/>
      <c r="Y79" s="1128"/>
      <c r="Z79" s="1128"/>
      <c r="AA79" s="1128"/>
      <c r="AB79" s="149"/>
      <c r="AC79" s="149"/>
      <c r="AT79" s="1842"/>
      <c r="AU79" s="1812"/>
      <c r="AV79" s="1789"/>
      <c r="AW79" s="1354" t="s">
        <v>1824</v>
      </c>
      <c r="AX79" s="1354" t="s">
        <v>1825</v>
      </c>
      <c r="AY79" s="1341">
        <v>0.06</v>
      </c>
      <c r="AZ79" s="1833"/>
      <c r="BA79" s="1821"/>
      <c r="BB79" s="1824"/>
      <c r="BC79" s="1840"/>
      <c r="BE79" s="1809" t="s">
        <v>2474</v>
      </c>
      <c r="BF79" s="1810"/>
      <c r="BG79" s="1810"/>
      <c r="BH79" s="1810"/>
      <c r="BI79" s="1810"/>
      <c r="BJ79" s="1810"/>
      <c r="BK79" s="1810"/>
      <c r="BL79" s="1810"/>
      <c r="BM79" s="1810"/>
      <c r="BN79" s="1810"/>
      <c r="BO79" s="1810"/>
    </row>
    <row r="80" spans="10:67" ht="30" x14ac:dyDescent="0.25">
      <c r="J80" s="1830"/>
      <c r="K80" s="1793" t="s">
        <v>1753</v>
      </c>
      <c r="L80" s="1816" t="s">
        <v>1754</v>
      </c>
      <c r="M80" s="1789"/>
      <c r="N80" s="1838"/>
      <c r="O80" s="1342" t="s">
        <v>1718</v>
      </c>
      <c r="P80" s="1341" t="s">
        <v>1798</v>
      </c>
      <c r="Q80" s="1341">
        <v>5.7500000000000002E-2</v>
      </c>
      <c r="R80" s="1840"/>
      <c r="S80" s="1161"/>
      <c r="T80" s="1128"/>
      <c r="U80" s="1368"/>
      <c r="V80" s="1128"/>
      <c r="W80" s="1128"/>
      <c r="X80" s="1128"/>
      <c r="Y80" s="1128"/>
      <c r="Z80" s="1128"/>
      <c r="AA80" s="1128"/>
      <c r="AB80" s="149"/>
      <c r="AC80" s="149"/>
      <c r="AT80" s="1842"/>
      <c r="AU80" s="1812"/>
      <c r="AV80" s="1789"/>
      <c r="AW80" s="1343" t="s">
        <v>1738</v>
      </c>
      <c r="AX80" s="1343" t="s">
        <v>1739</v>
      </c>
      <c r="AY80" s="1341">
        <v>0.06</v>
      </c>
      <c r="AZ80" s="1834"/>
      <c r="BA80" s="1822"/>
      <c r="BB80" s="1825"/>
      <c r="BC80" s="1841"/>
      <c r="BE80" s="1177" t="s">
        <v>1709</v>
      </c>
      <c r="BF80" s="1373" t="s">
        <v>1760</v>
      </c>
      <c r="BG80" s="1177" t="s">
        <v>1704</v>
      </c>
      <c r="BH80" s="1177" t="s">
        <v>1711</v>
      </c>
      <c r="BI80" s="1373" t="s">
        <v>1681</v>
      </c>
      <c r="BJ80" s="1165" t="s">
        <v>541</v>
      </c>
      <c r="BK80" s="1373" t="s">
        <v>1706</v>
      </c>
      <c r="BL80" s="1178" t="s">
        <v>1707</v>
      </c>
      <c r="BM80" s="1272" t="s">
        <v>2135</v>
      </c>
      <c r="BN80" s="1179" t="s">
        <v>78</v>
      </c>
      <c r="BO80" s="1179" t="s">
        <v>52</v>
      </c>
    </row>
    <row r="81" spans="10:67" ht="30" x14ac:dyDescent="0.25">
      <c r="J81" s="1830"/>
      <c r="K81" s="1793"/>
      <c r="L81" s="1816"/>
      <c r="M81" s="1789"/>
      <c r="N81" s="1838"/>
      <c r="O81" s="1342" t="s">
        <v>1718</v>
      </c>
      <c r="P81" s="1341" t="s">
        <v>1799</v>
      </c>
      <c r="Q81" s="1341">
        <v>5.8500000000000003E-2</v>
      </c>
      <c r="R81" s="1840"/>
      <c r="S81" s="1161"/>
      <c r="T81" s="1128"/>
      <c r="U81" s="1368"/>
      <c r="V81" s="1128"/>
      <c r="W81" s="1128"/>
      <c r="X81" s="1128"/>
      <c r="Y81" s="1128"/>
      <c r="Z81" s="1128"/>
      <c r="AA81" s="1128"/>
      <c r="AB81" s="149"/>
      <c r="AC81" s="149"/>
      <c r="AT81" s="1320"/>
      <c r="AU81" s="1368"/>
      <c r="AV81" s="1127"/>
      <c r="AW81" s="1325"/>
      <c r="AX81" s="1325"/>
      <c r="AY81" s="1126"/>
      <c r="AZ81" s="1325"/>
      <c r="BA81" s="1126"/>
      <c r="BB81" s="1131"/>
      <c r="BC81" s="1161"/>
      <c r="BE81" s="1356" t="s">
        <v>1761</v>
      </c>
      <c r="BF81" s="1792" t="s">
        <v>2463</v>
      </c>
      <c r="BG81" s="1343" t="s">
        <v>1735</v>
      </c>
      <c r="BH81" s="1343" t="s">
        <v>1746</v>
      </c>
      <c r="BI81" s="1789" t="s">
        <v>2016</v>
      </c>
      <c r="BJ81" s="1829" t="s">
        <v>2017</v>
      </c>
      <c r="BK81" s="1789">
        <v>0.4</v>
      </c>
      <c r="BL81" s="1829" t="s">
        <v>2483</v>
      </c>
      <c r="BM81" s="1835">
        <v>8.56</v>
      </c>
      <c r="BN81" s="1826">
        <v>0.01</v>
      </c>
      <c r="BO81" s="1827" t="s">
        <v>2013</v>
      </c>
    </row>
    <row r="82" spans="10:67" ht="30" x14ac:dyDescent="0.25">
      <c r="J82" s="1830"/>
      <c r="K82" s="1793"/>
      <c r="L82" s="1816"/>
      <c r="M82" s="1789"/>
      <c r="N82" s="1838"/>
      <c r="O82" s="1342" t="s">
        <v>1718</v>
      </c>
      <c r="P82" s="1341" t="s">
        <v>1800</v>
      </c>
      <c r="Q82" s="1341">
        <v>0.06</v>
      </c>
      <c r="R82" s="1840"/>
      <c r="S82" s="1161"/>
      <c r="T82" s="1128"/>
      <c r="U82" s="1368"/>
      <c r="V82" s="1128"/>
      <c r="W82" s="1128"/>
      <c r="X82" s="1128"/>
      <c r="Y82" s="1128"/>
      <c r="Z82" s="1128"/>
      <c r="AA82" s="1128"/>
      <c r="AB82" s="149"/>
      <c r="AC82" s="149"/>
      <c r="AT82" s="1836" t="s">
        <v>2131</v>
      </c>
      <c r="AU82" s="1836"/>
      <c r="AV82" s="1836"/>
      <c r="AW82" s="1836"/>
      <c r="AX82" s="1836"/>
      <c r="AY82" s="1836"/>
      <c r="AZ82" s="1836"/>
      <c r="BA82" s="1836"/>
      <c r="BB82" s="1836"/>
      <c r="BC82" s="1836"/>
      <c r="BE82" s="1335" t="s">
        <v>1731</v>
      </c>
      <c r="BF82" s="1792"/>
      <c r="BG82" s="1343" t="s">
        <v>1736</v>
      </c>
      <c r="BH82" s="1343" t="s">
        <v>1766</v>
      </c>
      <c r="BI82" s="1789"/>
      <c r="BJ82" s="1829"/>
      <c r="BK82" s="1789"/>
      <c r="BL82" s="1829"/>
      <c r="BM82" s="1835"/>
      <c r="BN82" s="1826"/>
      <c r="BO82" s="1827"/>
    </row>
    <row r="83" spans="10:67" ht="30" x14ac:dyDescent="0.25">
      <c r="J83" s="1830"/>
      <c r="K83" s="1793"/>
      <c r="L83" s="1816"/>
      <c r="M83" s="1789"/>
      <c r="N83" s="1838"/>
      <c r="O83" s="1133" t="s">
        <v>1733</v>
      </c>
      <c r="P83" s="1133" t="s">
        <v>1734</v>
      </c>
      <c r="Q83" s="1341">
        <v>0.06</v>
      </c>
      <c r="R83" s="1840"/>
      <c r="S83" s="1161"/>
      <c r="T83" s="1128"/>
      <c r="U83" s="1368"/>
      <c r="V83" s="1128"/>
      <c r="W83" s="1128"/>
      <c r="X83" s="1128"/>
      <c r="Y83" s="1128"/>
      <c r="Z83" s="1128"/>
      <c r="AA83" s="1128"/>
      <c r="AB83" s="149"/>
      <c r="AC83" s="149"/>
      <c r="AT83" s="1165" t="s">
        <v>1709</v>
      </c>
      <c r="AU83" s="1286" t="s">
        <v>1704</v>
      </c>
      <c r="AV83" s="1165" t="s">
        <v>1706</v>
      </c>
      <c r="AW83" s="1286" t="s">
        <v>1681</v>
      </c>
      <c r="AX83" s="1286" t="s">
        <v>541</v>
      </c>
      <c r="AY83" s="1312" t="s">
        <v>1707</v>
      </c>
      <c r="AZ83" s="1179" t="s">
        <v>1708</v>
      </c>
      <c r="BA83" s="1272" t="s">
        <v>2135</v>
      </c>
      <c r="BB83" s="1313" t="s">
        <v>419</v>
      </c>
      <c r="BC83" s="1179" t="s">
        <v>52</v>
      </c>
      <c r="BE83" s="1792" t="s">
        <v>1765</v>
      </c>
      <c r="BF83" s="1792" t="s">
        <v>2467</v>
      </c>
      <c r="BG83" s="1343" t="s">
        <v>1735</v>
      </c>
      <c r="BH83" s="1793" t="s">
        <v>1746</v>
      </c>
      <c r="BI83" s="1789"/>
      <c r="BJ83" s="1829"/>
      <c r="BK83" s="1829">
        <v>0.4</v>
      </c>
      <c r="BL83" s="1829"/>
      <c r="BM83" s="1835"/>
      <c r="BN83" s="1826"/>
      <c r="BO83" s="1827"/>
    </row>
    <row r="84" spans="10:67" ht="30" x14ac:dyDescent="0.25">
      <c r="J84" s="1830"/>
      <c r="K84" s="1793"/>
      <c r="L84" s="1816"/>
      <c r="M84" s="1789"/>
      <c r="N84" s="1838"/>
      <c r="O84" s="1133" t="s">
        <v>1738</v>
      </c>
      <c r="P84" s="1133" t="s">
        <v>1739</v>
      </c>
      <c r="Q84" s="1341">
        <v>0.06</v>
      </c>
      <c r="R84" s="1840"/>
      <c r="S84" s="1161"/>
      <c r="T84" s="1128"/>
      <c r="U84" s="1368"/>
      <c r="V84" s="1128"/>
      <c r="W84" s="1128"/>
      <c r="X84" s="1128"/>
      <c r="Y84" s="1128"/>
      <c r="Z84" s="1128"/>
      <c r="AA84" s="1128"/>
      <c r="AB84" s="149"/>
      <c r="AC84" s="149"/>
      <c r="AT84" s="1837" t="s">
        <v>2475</v>
      </c>
      <c r="AU84" s="1793" t="s">
        <v>1723</v>
      </c>
      <c r="AV84" s="1787">
        <v>0.3</v>
      </c>
      <c r="AW84" s="1357" t="s">
        <v>1823</v>
      </c>
      <c r="AX84" s="1363" t="s">
        <v>1798</v>
      </c>
      <c r="AY84" s="1341">
        <v>5.7500000000000002E-2</v>
      </c>
      <c r="AZ84" s="1817" t="s">
        <v>1724</v>
      </c>
      <c r="BA84" s="1820">
        <v>8.56</v>
      </c>
      <c r="BB84" s="1823" t="s">
        <v>797</v>
      </c>
      <c r="BC84" s="1179"/>
      <c r="BE84" s="1792"/>
      <c r="BF84" s="1792"/>
      <c r="BG84" s="1343" t="s">
        <v>1736</v>
      </c>
      <c r="BH84" s="1793"/>
      <c r="BI84" s="1789"/>
      <c r="BJ84" s="1829"/>
      <c r="BK84" s="1829"/>
      <c r="BL84" s="1829"/>
      <c r="BM84" s="1835"/>
      <c r="BN84" s="1826"/>
      <c r="BO84" s="1827"/>
    </row>
    <row r="85" spans="10:67" ht="30" x14ac:dyDescent="0.25">
      <c r="J85" s="1830"/>
      <c r="K85" s="1793" t="s">
        <v>1740</v>
      </c>
      <c r="L85" s="1816" t="s">
        <v>1754</v>
      </c>
      <c r="M85" s="1789"/>
      <c r="N85" s="1838"/>
      <c r="O85" s="1342" t="s">
        <v>1718</v>
      </c>
      <c r="P85" s="1341" t="s">
        <v>1798</v>
      </c>
      <c r="Q85" s="1341">
        <v>5.7500000000000002E-2</v>
      </c>
      <c r="R85" s="1840"/>
      <c r="S85" s="1161"/>
      <c r="T85" s="1128"/>
      <c r="U85" s="1368"/>
      <c r="V85" s="1128"/>
      <c r="W85" s="1128"/>
      <c r="X85" s="1128"/>
      <c r="Y85" s="1128"/>
      <c r="Z85" s="1128"/>
      <c r="AA85" s="1128"/>
      <c r="AB85" s="149"/>
      <c r="AC85" s="149"/>
      <c r="AT85" s="1837"/>
      <c r="AU85" s="1793"/>
      <c r="AV85" s="1787"/>
      <c r="AW85" s="1357" t="s">
        <v>1823</v>
      </c>
      <c r="AX85" s="1363" t="s">
        <v>2465</v>
      </c>
      <c r="AY85" s="1341">
        <v>5.8500000000000003E-2</v>
      </c>
      <c r="AZ85" s="1818"/>
      <c r="BA85" s="1821"/>
      <c r="BB85" s="1824"/>
      <c r="BC85" s="1179"/>
      <c r="BE85" s="1792"/>
      <c r="BF85" s="1792" t="s">
        <v>2470</v>
      </c>
      <c r="BG85" s="1343" t="s">
        <v>1735</v>
      </c>
      <c r="BH85" s="1793" t="s">
        <v>1746</v>
      </c>
      <c r="BI85" s="1789"/>
      <c r="BJ85" s="1829"/>
      <c r="BK85" s="1829">
        <v>0.5</v>
      </c>
      <c r="BL85" s="1829"/>
      <c r="BM85" s="1835"/>
      <c r="BN85" s="1826"/>
      <c r="BO85" s="1827"/>
    </row>
    <row r="86" spans="10:67" ht="30" customHeight="1" x14ac:dyDescent="0.25">
      <c r="J86" s="1830"/>
      <c r="K86" s="1793"/>
      <c r="L86" s="1816"/>
      <c r="M86" s="1789"/>
      <c r="N86" s="1838"/>
      <c r="O86" s="1342" t="s">
        <v>1718</v>
      </c>
      <c r="P86" s="1341" t="s">
        <v>1799</v>
      </c>
      <c r="Q86" s="1341">
        <v>5.8500000000000003E-2</v>
      </c>
      <c r="R86" s="1840"/>
      <c r="S86" s="1161"/>
      <c r="T86" s="1128"/>
      <c r="U86" s="1368"/>
      <c r="V86" s="1128"/>
      <c r="W86" s="1128"/>
      <c r="X86" s="1128"/>
      <c r="Y86" s="1128"/>
      <c r="Z86" s="1128"/>
      <c r="AA86" s="1128"/>
      <c r="AB86" s="149"/>
      <c r="AC86" s="149"/>
      <c r="AT86" s="1830" t="s">
        <v>2112</v>
      </c>
      <c r="AU86" s="1793"/>
      <c r="AV86" s="1787"/>
      <c r="AW86" s="1357" t="s">
        <v>1823</v>
      </c>
      <c r="AX86" s="1357" t="s">
        <v>1800</v>
      </c>
      <c r="AY86" s="1341">
        <v>0.06</v>
      </c>
      <c r="AZ86" s="1818"/>
      <c r="BA86" s="1821"/>
      <c r="BB86" s="1824"/>
      <c r="BC86" s="1831" t="s">
        <v>1722</v>
      </c>
      <c r="BE86" s="1792"/>
      <c r="BF86" s="1792"/>
      <c r="BG86" s="1343" t="s">
        <v>1736</v>
      </c>
      <c r="BH86" s="1793"/>
      <c r="BI86" s="1789"/>
      <c r="BJ86" s="1829"/>
      <c r="BK86" s="1829"/>
      <c r="BL86" s="1829"/>
      <c r="BM86" s="1835"/>
      <c r="BN86" s="1826"/>
      <c r="BO86" s="1827"/>
    </row>
    <row r="87" spans="10:67" x14ac:dyDescent="0.25">
      <c r="J87" s="1830"/>
      <c r="K87" s="1793"/>
      <c r="L87" s="1816"/>
      <c r="M87" s="1789"/>
      <c r="N87" s="1838"/>
      <c r="O87" s="1342" t="s">
        <v>1718</v>
      </c>
      <c r="P87" s="1341" t="s">
        <v>1800</v>
      </c>
      <c r="Q87" s="1341">
        <v>0.06</v>
      </c>
      <c r="R87" s="1840"/>
      <c r="S87" s="1161"/>
      <c r="T87" s="1128"/>
      <c r="U87" s="1368"/>
      <c r="V87" s="1128"/>
      <c r="W87" s="1128"/>
      <c r="X87" s="1128"/>
      <c r="Y87" s="1128"/>
      <c r="Z87" s="1128"/>
      <c r="AA87" s="1128"/>
      <c r="AB87" s="149"/>
      <c r="AC87" s="149"/>
      <c r="AT87" s="1830"/>
      <c r="AU87" s="1793"/>
      <c r="AV87" s="1787"/>
      <c r="AW87" s="1354" t="s">
        <v>1824</v>
      </c>
      <c r="AX87" s="1354" t="s">
        <v>1825</v>
      </c>
      <c r="AY87" s="1341">
        <v>0.06</v>
      </c>
      <c r="AZ87" s="1818"/>
      <c r="BA87" s="1821"/>
      <c r="BB87" s="1824"/>
      <c r="BC87" s="1831"/>
      <c r="BE87" s="1320"/>
      <c r="BF87" s="1320"/>
      <c r="BG87" s="1325"/>
      <c r="BH87" s="1325"/>
      <c r="BI87" s="1127"/>
      <c r="BJ87" s="1160"/>
      <c r="BK87" s="1160"/>
      <c r="BL87" s="1160"/>
      <c r="BM87" s="1336"/>
      <c r="BN87" s="1337"/>
      <c r="BO87" s="1126"/>
    </row>
    <row r="88" spans="10:67" ht="16.5" thickBot="1" x14ac:dyDescent="0.3">
      <c r="J88" s="1830"/>
      <c r="K88" s="1793"/>
      <c r="L88" s="1816"/>
      <c r="M88" s="1789"/>
      <c r="N88" s="1838"/>
      <c r="O88" s="1133" t="s">
        <v>1733</v>
      </c>
      <c r="P88" s="1133" t="s">
        <v>1734</v>
      </c>
      <c r="Q88" s="1341">
        <v>0.06</v>
      </c>
      <c r="R88" s="1840"/>
      <c r="S88" s="1161"/>
      <c r="T88" s="1128"/>
      <c r="U88" s="1368"/>
      <c r="V88" s="1128"/>
      <c r="W88" s="1128"/>
      <c r="X88" s="1128"/>
      <c r="Y88" s="1128"/>
      <c r="Z88" s="1128"/>
      <c r="AA88" s="1128"/>
      <c r="AB88" s="149"/>
      <c r="AC88" s="149"/>
      <c r="AT88" s="1830"/>
      <c r="AU88" s="1793"/>
      <c r="AV88" s="1787"/>
      <c r="AW88" s="1343" t="s">
        <v>1738</v>
      </c>
      <c r="AX88" s="1343" t="s">
        <v>1739</v>
      </c>
      <c r="AY88" s="1341">
        <v>0.06</v>
      </c>
      <c r="AZ88" s="1819"/>
      <c r="BA88" s="1821"/>
      <c r="BB88" s="1824"/>
      <c r="BC88" s="1831"/>
      <c r="BE88" s="1809" t="s">
        <v>2116</v>
      </c>
      <c r="BF88" s="1810"/>
      <c r="BG88" s="1810"/>
      <c r="BH88" s="1810"/>
      <c r="BI88" s="1810"/>
      <c r="BJ88" s="1810"/>
      <c r="BK88" s="1810"/>
      <c r="BL88" s="1810"/>
      <c r="BM88" s="1810"/>
      <c r="BN88" s="1810"/>
      <c r="BO88" s="1810"/>
    </row>
    <row r="89" spans="10:67" ht="30" x14ac:dyDescent="0.25">
      <c r="J89" s="1830"/>
      <c r="K89" s="1793"/>
      <c r="L89" s="1816"/>
      <c r="M89" s="1789"/>
      <c r="N89" s="1838"/>
      <c r="O89" s="1133" t="s">
        <v>1738</v>
      </c>
      <c r="P89" s="1133" t="s">
        <v>1739</v>
      </c>
      <c r="Q89" s="1341">
        <v>0.06</v>
      </c>
      <c r="R89" s="1840"/>
      <c r="S89" s="1161"/>
      <c r="T89" s="1128"/>
      <c r="U89" s="1368"/>
      <c r="V89" s="1128"/>
      <c r="W89" s="1128"/>
      <c r="X89" s="1128"/>
      <c r="Y89" s="1128"/>
      <c r="Z89" s="1128"/>
      <c r="AA89" s="1128"/>
      <c r="AB89" s="149"/>
      <c r="AC89" s="149"/>
      <c r="AT89" s="1830"/>
      <c r="AU89" s="1793" t="s">
        <v>1741</v>
      </c>
      <c r="AV89" s="1787"/>
      <c r="AW89" s="1357" t="s">
        <v>1823</v>
      </c>
      <c r="AX89" s="1363" t="s">
        <v>1798</v>
      </c>
      <c r="AY89" s="1341">
        <v>5.7500000000000002E-2</v>
      </c>
      <c r="AZ89" s="1832" t="s">
        <v>797</v>
      </c>
      <c r="BA89" s="1821"/>
      <c r="BB89" s="1824"/>
      <c r="BC89" s="1831"/>
      <c r="BE89" s="1314" t="s">
        <v>1709</v>
      </c>
      <c r="BF89" s="1182" t="s">
        <v>1710</v>
      </c>
      <c r="BG89" s="1314" t="s">
        <v>1704</v>
      </c>
      <c r="BH89" s="1314" t="s">
        <v>1711</v>
      </c>
      <c r="BI89" s="1182" t="s">
        <v>1681</v>
      </c>
      <c r="BJ89" s="1315" t="s">
        <v>541</v>
      </c>
      <c r="BK89" s="1182" t="s">
        <v>1706</v>
      </c>
      <c r="BL89" s="1316" t="s">
        <v>1707</v>
      </c>
      <c r="BM89" s="1317" t="s">
        <v>2135</v>
      </c>
      <c r="BN89" s="1318" t="s">
        <v>78</v>
      </c>
      <c r="BO89" s="1318" t="s">
        <v>52</v>
      </c>
    </row>
    <row r="90" spans="10:67" ht="30" x14ac:dyDescent="0.25">
      <c r="J90" s="1830"/>
      <c r="K90" s="1793" t="s">
        <v>1770</v>
      </c>
      <c r="L90" s="1816" t="s">
        <v>1361</v>
      </c>
      <c r="M90" s="1789"/>
      <c r="N90" s="1838"/>
      <c r="O90" s="1342" t="s">
        <v>1718</v>
      </c>
      <c r="P90" s="1341" t="s">
        <v>1798</v>
      </c>
      <c r="Q90" s="1341">
        <v>5.7500000000000002E-2</v>
      </c>
      <c r="R90" s="1840"/>
      <c r="S90" s="1161"/>
      <c r="T90" s="1128"/>
      <c r="U90" s="1368"/>
      <c r="V90" s="1128"/>
      <c r="W90" s="1128"/>
      <c r="X90" s="1128"/>
      <c r="Y90" s="1128"/>
      <c r="Z90" s="1128"/>
      <c r="AA90" s="1128"/>
      <c r="AB90" s="149"/>
      <c r="AC90" s="149"/>
      <c r="AT90" s="1830"/>
      <c r="AU90" s="1793"/>
      <c r="AV90" s="1787"/>
      <c r="AW90" s="1357" t="s">
        <v>1823</v>
      </c>
      <c r="AX90" s="1363" t="s">
        <v>2465</v>
      </c>
      <c r="AY90" s="1341">
        <v>5.8500000000000003E-2</v>
      </c>
      <c r="AZ90" s="1833"/>
      <c r="BA90" s="1821"/>
      <c r="BB90" s="1824"/>
      <c r="BC90" s="1831"/>
      <c r="BE90" s="1792" t="s">
        <v>1713</v>
      </c>
      <c r="BF90" s="1792" t="s">
        <v>2463</v>
      </c>
      <c r="BG90" s="1793" t="s">
        <v>1735</v>
      </c>
      <c r="BH90" s="1786">
        <v>1300</v>
      </c>
      <c r="BI90" s="1180" t="s">
        <v>2012</v>
      </c>
      <c r="BJ90" s="1339" t="s">
        <v>1798</v>
      </c>
      <c r="BK90" s="1787">
        <v>0.3</v>
      </c>
      <c r="BL90" s="1378" t="s">
        <v>1762</v>
      </c>
      <c r="BM90" s="1794">
        <v>8.56</v>
      </c>
      <c r="BN90" s="1797">
        <v>0.01</v>
      </c>
      <c r="BO90" s="1800" t="s">
        <v>2013</v>
      </c>
    </row>
    <row r="91" spans="10:67" ht="30" x14ac:dyDescent="0.25">
      <c r="J91" s="1830"/>
      <c r="K91" s="1793"/>
      <c r="L91" s="1816"/>
      <c r="M91" s="1789"/>
      <c r="N91" s="1838"/>
      <c r="O91" s="1342" t="s">
        <v>1718</v>
      </c>
      <c r="P91" s="1341" t="s">
        <v>1799</v>
      </c>
      <c r="Q91" s="1341">
        <v>5.8500000000000003E-2</v>
      </c>
      <c r="R91" s="1840"/>
      <c r="S91" s="1161"/>
      <c r="T91" s="1128"/>
      <c r="U91" s="1368"/>
      <c r="V91" s="1128"/>
      <c r="W91" s="1128"/>
      <c r="X91" s="1128"/>
      <c r="Y91" s="1128"/>
      <c r="Z91" s="1128"/>
      <c r="AA91" s="1128"/>
      <c r="AB91" s="149"/>
      <c r="AC91" s="149"/>
      <c r="AT91" s="1830"/>
      <c r="AU91" s="1793"/>
      <c r="AV91" s="1787"/>
      <c r="AW91" s="1357" t="s">
        <v>1823</v>
      </c>
      <c r="AX91" s="1357" t="s">
        <v>1800</v>
      </c>
      <c r="AY91" s="1341">
        <v>0.06</v>
      </c>
      <c r="AZ91" s="1833"/>
      <c r="BA91" s="1821"/>
      <c r="BB91" s="1824"/>
      <c r="BC91" s="1831"/>
      <c r="BE91" s="1792"/>
      <c r="BF91" s="1792"/>
      <c r="BG91" s="1793"/>
      <c r="BH91" s="1786"/>
      <c r="BI91" s="1180" t="s">
        <v>2012</v>
      </c>
      <c r="BJ91" s="1339" t="s">
        <v>1799</v>
      </c>
      <c r="BK91" s="1788"/>
      <c r="BL91" s="1378" t="s">
        <v>2469</v>
      </c>
      <c r="BM91" s="1795"/>
      <c r="BN91" s="1798"/>
      <c r="BO91" s="1801"/>
    </row>
    <row r="92" spans="10:67" ht="30" x14ac:dyDescent="0.25">
      <c r="J92" s="1830"/>
      <c r="K92" s="1793"/>
      <c r="L92" s="1816"/>
      <c r="M92" s="1789"/>
      <c r="N92" s="1838"/>
      <c r="O92" s="1342" t="s">
        <v>1718</v>
      </c>
      <c r="P92" s="1341" t="s">
        <v>1800</v>
      </c>
      <c r="Q92" s="1341">
        <v>0.06</v>
      </c>
      <c r="R92" s="1840"/>
      <c r="S92" s="1161"/>
      <c r="T92" s="1128"/>
      <c r="U92" s="1368"/>
      <c r="V92" s="1128"/>
      <c r="W92" s="1128"/>
      <c r="X92" s="1128"/>
      <c r="Y92" s="1128"/>
      <c r="Z92" s="1128"/>
      <c r="AA92" s="1128"/>
      <c r="AB92" s="149"/>
      <c r="AC92" s="149"/>
      <c r="AT92" s="1811" t="s">
        <v>2122</v>
      </c>
      <c r="AU92" s="1793"/>
      <c r="AV92" s="1787"/>
      <c r="AW92" s="1354" t="s">
        <v>1824</v>
      </c>
      <c r="AX92" s="1354" t="s">
        <v>1825</v>
      </c>
      <c r="AY92" s="1341">
        <v>0.06</v>
      </c>
      <c r="AZ92" s="1833"/>
      <c r="BA92" s="1821"/>
      <c r="BB92" s="1824"/>
      <c r="BC92" s="1831"/>
      <c r="BE92" s="1792"/>
      <c r="BF92" s="1792"/>
      <c r="BG92" s="1793"/>
      <c r="BH92" s="1786"/>
      <c r="BI92" s="1180" t="s">
        <v>2012</v>
      </c>
      <c r="BJ92" s="1343" t="s">
        <v>1800</v>
      </c>
      <c r="BK92" s="1788"/>
      <c r="BL92" s="1135" t="s">
        <v>2464</v>
      </c>
      <c r="BM92" s="1795"/>
      <c r="BN92" s="1798"/>
      <c r="BO92" s="1801"/>
    </row>
    <row r="93" spans="10:67" x14ac:dyDescent="0.25">
      <c r="J93" s="1830"/>
      <c r="K93" s="1793"/>
      <c r="L93" s="1816"/>
      <c r="M93" s="1789"/>
      <c r="N93" s="1838"/>
      <c r="O93" s="1133" t="s">
        <v>1733</v>
      </c>
      <c r="P93" s="1133" t="s">
        <v>1734</v>
      </c>
      <c r="Q93" s="1341">
        <v>0.06</v>
      </c>
      <c r="R93" s="1840"/>
      <c r="S93" s="1161"/>
      <c r="T93" s="1128"/>
      <c r="U93" s="1368"/>
      <c r="V93" s="1128"/>
      <c r="W93" s="1128"/>
      <c r="X93" s="1128"/>
      <c r="Y93" s="1128"/>
      <c r="Z93" s="1128"/>
      <c r="AA93" s="1128"/>
      <c r="AB93" s="149"/>
      <c r="AC93" s="149"/>
      <c r="AT93" s="1811"/>
      <c r="AU93" s="1793"/>
      <c r="AV93" s="1787"/>
      <c r="AW93" s="1343" t="s">
        <v>1738</v>
      </c>
      <c r="AX93" s="1343" t="s">
        <v>1739</v>
      </c>
      <c r="AY93" s="1341">
        <v>0.06</v>
      </c>
      <c r="AZ93" s="1833"/>
      <c r="BA93" s="1821"/>
      <c r="BB93" s="1824"/>
      <c r="BC93" s="1831"/>
      <c r="BE93" s="1792"/>
      <c r="BF93" s="1792"/>
      <c r="BG93" s="1793"/>
      <c r="BH93" s="1786"/>
      <c r="BI93" s="1180" t="s">
        <v>1733</v>
      </c>
      <c r="BJ93" s="1343" t="s">
        <v>1734</v>
      </c>
      <c r="BK93" s="1789">
        <v>0.4</v>
      </c>
      <c r="BL93" s="1790" t="s">
        <v>2464</v>
      </c>
      <c r="BM93" s="1795"/>
      <c r="BN93" s="1798"/>
      <c r="BO93" s="1801"/>
    </row>
    <row r="94" spans="10:67" ht="30" x14ac:dyDescent="0.25">
      <c r="J94" s="1830"/>
      <c r="K94" s="1793"/>
      <c r="L94" s="1816"/>
      <c r="M94" s="1789"/>
      <c r="N94" s="1838"/>
      <c r="O94" s="1133" t="s">
        <v>1738</v>
      </c>
      <c r="P94" s="1133" t="s">
        <v>1739</v>
      </c>
      <c r="Q94" s="1341">
        <v>0.06</v>
      </c>
      <c r="R94" s="1841"/>
      <c r="S94" s="1161"/>
      <c r="T94" s="1128"/>
      <c r="U94" s="1368"/>
      <c r="V94" s="1128"/>
      <c r="W94" s="1128"/>
      <c r="X94" s="1128"/>
      <c r="Y94" s="1128"/>
      <c r="Z94" s="1128"/>
      <c r="AA94" s="1128"/>
      <c r="AB94" s="149"/>
      <c r="AC94" s="149"/>
      <c r="AT94" s="1811"/>
      <c r="AU94" s="1812" t="s">
        <v>1745</v>
      </c>
      <c r="AV94" s="1787"/>
      <c r="AW94" s="1357" t="s">
        <v>1823</v>
      </c>
      <c r="AX94" s="1363" t="s">
        <v>1798</v>
      </c>
      <c r="AY94" s="1341">
        <v>5.7500000000000002E-2</v>
      </c>
      <c r="AZ94" s="1833"/>
      <c r="BA94" s="1821"/>
      <c r="BB94" s="1824"/>
      <c r="BC94" s="1831"/>
      <c r="BE94" s="1792"/>
      <c r="BF94" s="1792"/>
      <c r="BG94" s="1793"/>
      <c r="BH94" s="1786"/>
      <c r="BI94" s="1181" t="s">
        <v>1738</v>
      </c>
      <c r="BJ94" s="1340" t="s">
        <v>2014</v>
      </c>
      <c r="BK94" s="1789"/>
      <c r="BL94" s="1790"/>
      <c r="BM94" s="1795"/>
      <c r="BN94" s="1798"/>
      <c r="BO94" s="1801"/>
    </row>
    <row r="95" spans="10:67" ht="30" x14ac:dyDescent="0.25">
      <c r="R95" s="1128"/>
      <c r="S95" s="1128"/>
      <c r="T95" s="1128"/>
      <c r="U95" s="1368"/>
      <c r="V95" s="1128"/>
      <c r="W95" s="1128"/>
      <c r="X95" s="1128"/>
      <c r="Y95" s="1128"/>
      <c r="Z95" s="1128"/>
      <c r="AA95" s="1128"/>
      <c r="AB95" s="149"/>
      <c r="AC95" s="149"/>
      <c r="AT95" s="1811"/>
      <c r="AU95" s="1812"/>
      <c r="AV95" s="1787"/>
      <c r="AW95" s="1357" t="s">
        <v>1823</v>
      </c>
      <c r="AX95" s="1363" t="s">
        <v>2465</v>
      </c>
      <c r="AY95" s="1341">
        <v>5.8500000000000003E-2</v>
      </c>
      <c r="AZ95" s="1833"/>
      <c r="BA95" s="1821"/>
      <c r="BB95" s="1824"/>
      <c r="BC95" s="1831"/>
      <c r="BE95" s="1803" t="s">
        <v>1731</v>
      </c>
      <c r="BF95" s="1792"/>
      <c r="BG95" s="1793" t="s">
        <v>1736</v>
      </c>
      <c r="BH95" s="1786">
        <v>1800</v>
      </c>
      <c r="BI95" s="1180" t="s">
        <v>2012</v>
      </c>
      <c r="BJ95" s="1339" t="s">
        <v>1798</v>
      </c>
      <c r="BK95" s="1787">
        <v>0.3</v>
      </c>
      <c r="BL95" s="1378" t="s">
        <v>1762</v>
      </c>
      <c r="BM95" s="1795"/>
      <c r="BN95" s="1798"/>
      <c r="BO95" s="1801"/>
    </row>
    <row r="96" spans="10:67" ht="30" x14ac:dyDescent="0.25">
      <c r="R96" s="1128"/>
      <c r="S96" s="1128"/>
      <c r="T96" s="1128"/>
      <c r="U96" s="1368"/>
      <c r="V96" s="1128"/>
      <c r="W96" s="1128"/>
      <c r="X96" s="1128"/>
      <c r="Y96" s="1128"/>
      <c r="Z96" s="1128"/>
      <c r="AA96" s="1128"/>
      <c r="AB96" s="149"/>
      <c r="AC96" s="149"/>
      <c r="AT96" s="1811"/>
      <c r="AU96" s="1812"/>
      <c r="AV96" s="1787"/>
      <c r="AW96" s="1357" t="s">
        <v>1823</v>
      </c>
      <c r="AX96" s="1357" t="s">
        <v>1800</v>
      </c>
      <c r="AY96" s="1341">
        <v>0.06</v>
      </c>
      <c r="AZ96" s="1833"/>
      <c r="BA96" s="1821"/>
      <c r="BB96" s="1824"/>
      <c r="BC96" s="1831"/>
      <c r="BE96" s="1803"/>
      <c r="BF96" s="1792"/>
      <c r="BG96" s="1793"/>
      <c r="BH96" s="1786"/>
      <c r="BI96" s="1180" t="s">
        <v>2012</v>
      </c>
      <c r="BJ96" s="1339" t="s">
        <v>1799</v>
      </c>
      <c r="BK96" s="1788"/>
      <c r="BL96" s="1378" t="s">
        <v>2469</v>
      </c>
      <c r="BM96" s="1795"/>
      <c r="BN96" s="1798"/>
      <c r="BO96" s="1801"/>
    </row>
    <row r="97" spans="1:67" ht="30" x14ac:dyDescent="0.25">
      <c r="R97" s="1128"/>
      <c r="S97" s="1128"/>
      <c r="T97" s="1128"/>
      <c r="U97" s="1368"/>
      <c r="V97" s="1128"/>
      <c r="W97" s="1128"/>
      <c r="X97" s="1128"/>
      <c r="Y97" s="1128"/>
      <c r="Z97" s="1128"/>
      <c r="AA97" s="1128"/>
      <c r="AB97" s="149"/>
      <c r="AC97" s="149"/>
      <c r="AT97" s="1811"/>
      <c r="AU97" s="1812"/>
      <c r="AV97" s="1787"/>
      <c r="AW97" s="1354" t="s">
        <v>1824</v>
      </c>
      <c r="AX97" s="1354" t="s">
        <v>1825</v>
      </c>
      <c r="AY97" s="1341">
        <v>0.06</v>
      </c>
      <c r="AZ97" s="1833"/>
      <c r="BA97" s="1821"/>
      <c r="BB97" s="1824"/>
      <c r="BC97" s="1831"/>
      <c r="BE97" s="1803"/>
      <c r="BF97" s="1792"/>
      <c r="BG97" s="1793"/>
      <c r="BH97" s="1786"/>
      <c r="BI97" s="1180" t="s">
        <v>2012</v>
      </c>
      <c r="BJ97" s="1343" t="s">
        <v>1800</v>
      </c>
      <c r="BK97" s="1788"/>
      <c r="BL97" s="1135" t="s">
        <v>2464</v>
      </c>
      <c r="BM97" s="1795"/>
      <c r="BN97" s="1798"/>
      <c r="BO97" s="1801"/>
    </row>
    <row r="98" spans="1:67" x14ac:dyDescent="0.25">
      <c r="R98" s="1128"/>
      <c r="S98" s="1128"/>
      <c r="T98" s="1128"/>
      <c r="U98" s="1368"/>
      <c r="V98" s="1128"/>
      <c r="W98" s="1128"/>
      <c r="X98" s="1128"/>
      <c r="Y98" s="1128"/>
      <c r="Z98" s="1128"/>
      <c r="AA98" s="1128"/>
      <c r="AB98" s="149"/>
      <c r="AC98" s="149"/>
      <c r="AT98" s="1811"/>
      <c r="AU98" s="1812"/>
      <c r="AV98" s="1787"/>
      <c r="AW98" s="1343" t="s">
        <v>1738</v>
      </c>
      <c r="AX98" s="1343" t="s">
        <v>1739</v>
      </c>
      <c r="AY98" s="1341">
        <v>0.06</v>
      </c>
      <c r="AZ98" s="1834"/>
      <c r="BA98" s="1822"/>
      <c r="BB98" s="1825"/>
      <c r="BC98" s="1831"/>
      <c r="BE98" s="1803"/>
      <c r="BF98" s="1792"/>
      <c r="BG98" s="1793"/>
      <c r="BH98" s="1786"/>
      <c r="BI98" s="1180" t="s">
        <v>1733</v>
      </c>
      <c r="BJ98" s="1343" t="s">
        <v>1734</v>
      </c>
      <c r="BK98" s="1789">
        <v>0.4</v>
      </c>
      <c r="BL98" s="1790" t="s">
        <v>2464</v>
      </c>
      <c r="BM98" s="1795"/>
      <c r="BN98" s="1798"/>
      <c r="BO98" s="1801"/>
    </row>
    <row r="99" spans="1:67" ht="6" customHeight="1" x14ac:dyDescent="0.25">
      <c r="R99" s="1128"/>
      <c r="S99" s="1128"/>
      <c r="T99" s="1128"/>
      <c r="U99" s="1368"/>
      <c r="V99" s="1128"/>
      <c r="W99" s="1128"/>
      <c r="X99" s="1128"/>
      <c r="Y99" s="1128"/>
      <c r="Z99" s="1128"/>
      <c r="AA99" s="1128"/>
      <c r="AB99" s="149"/>
      <c r="AC99" s="149"/>
      <c r="BE99" s="1803"/>
      <c r="BF99" s="1792"/>
      <c r="BG99" s="1793"/>
      <c r="BH99" s="1786"/>
      <c r="BI99" s="1181" t="s">
        <v>1738</v>
      </c>
      <c r="BJ99" s="1340" t="s">
        <v>2014</v>
      </c>
      <c r="BK99" s="1789"/>
      <c r="BL99" s="1790"/>
      <c r="BM99" s="1795"/>
      <c r="BN99" s="1798"/>
      <c r="BO99" s="1801"/>
    </row>
    <row r="100" spans="1:67" ht="30" x14ac:dyDescent="0.25">
      <c r="R100" s="1128"/>
      <c r="S100" s="1128"/>
      <c r="T100" s="1128"/>
      <c r="U100" s="1368"/>
      <c r="V100" s="1128"/>
      <c r="W100" s="1128"/>
      <c r="X100" s="1128"/>
      <c r="Y100" s="1128"/>
      <c r="Z100" s="1128"/>
      <c r="AA100" s="1128"/>
      <c r="AB100" s="149"/>
      <c r="AC100" s="149"/>
      <c r="BE100" s="1792" t="s">
        <v>1737</v>
      </c>
      <c r="BF100" s="1792" t="s">
        <v>2467</v>
      </c>
      <c r="BG100" s="1793" t="s">
        <v>1735</v>
      </c>
      <c r="BH100" s="1786">
        <v>1300</v>
      </c>
      <c r="BI100" s="1180" t="s">
        <v>2012</v>
      </c>
      <c r="BJ100" s="1339" t="s">
        <v>1798</v>
      </c>
      <c r="BK100" s="1787">
        <v>0.3</v>
      </c>
      <c r="BL100" s="1378" t="s">
        <v>1762</v>
      </c>
      <c r="BM100" s="1795"/>
      <c r="BN100" s="1798"/>
      <c r="BO100" s="1801"/>
    </row>
    <row r="101" spans="1:67" ht="30" x14ac:dyDescent="0.25">
      <c r="R101" s="1128"/>
      <c r="S101" s="1128"/>
      <c r="T101" s="1128"/>
      <c r="U101" s="1368"/>
      <c r="V101" s="1128"/>
      <c r="W101" s="1128"/>
      <c r="X101" s="1128"/>
      <c r="Y101" s="1128"/>
      <c r="Z101" s="1128"/>
      <c r="AA101" s="1128"/>
      <c r="AB101" s="149"/>
      <c r="AC101" s="149"/>
      <c r="BE101" s="1792"/>
      <c r="BF101" s="1792"/>
      <c r="BG101" s="1793"/>
      <c r="BH101" s="1786"/>
      <c r="BI101" s="1180" t="s">
        <v>2012</v>
      </c>
      <c r="BJ101" s="1339" t="s">
        <v>1799</v>
      </c>
      <c r="BK101" s="1788"/>
      <c r="BL101" s="1378" t="s">
        <v>2469</v>
      </c>
      <c r="BM101" s="1795"/>
      <c r="BN101" s="1798"/>
      <c r="BO101" s="1801"/>
    </row>
    <row r="102" spans="1:67" ht="30" customHeight="1" x14ac:dyDescent="0.25">
      <c r="A102" s="1184" t="s">
        <v>1781</v>
      </c>
      <c r="R102" s="1131"/>
      <c r="S102" s="1131"/>
      <c r="T102" s="1131"/>
      <c r="U102" s="1161"/>
      <c r="V102" s="1131"/>
      <c r="W102" s="1131"/>
      <c r="X102" s="1131"/>
      <c r="Y102" s="1131"/>
      <c r="Z102" s="1131"/>
      <c r="AA102" s="1131"/>
      <c r="BE102" s="1792"/>
      <c r="BF102" s="1792"/>
      <c r="BG102" s="1793"/>
      <c r="BH102" s="1786"/>
      <c r="BI102" s="1180" t="s">
        <v>2012</v>
      </c>
      <c r="BJ102" s="1343" t="s">
        <v>1800</v>
      </c>
      <c r="BK102" s="1788"/>
      <c r="BL102" s="1135" t="s">
        <v>2464</v>
      </c>
      <c r="BM102" s="1795"/>
      <c r="BN102" s="1798"/>
      <c r="BO102" s="1801"/>
    </row>
    <row r="103" spans="1:67" s="1187" customFormat="1" ht="30" customHeight="1" x14ac:dyDescent="0.25">
      <c r="A103" s="1348" t="s">
        <v>1782</v>
      </c>
      <c r="B103" s="1813" t="s">
        <v>2337</v>
      </c>
      <c r="C103" s="1813"/>
      <c r="D103" s="1813"/>
      <c r="E103" s="1813"/>
      <c r="F103" s="1813"/>
      <c r="G103" s="1813"/>
      <c r="H103" s="1813"/>
      <c r="I103" s="1813"/>
      <c r="J103" s="1348"/>
      <c r="K103" s="1348"/>
      <c r="L103" s="1348"/>
      <c r="M103" s="1348"/>
      <c r="N103" s="1348"/>
      <c r="O103" s="1348"/>
      <c r="P103" s="1348"/>
      <c r="Q103" s="1348"/>
      <c r="BE103" s="1792"/>
      <c r="BF103" s="1792"/>
      <c r="BG103" s="1793"/>
      <c r="BH103" s="1786"/>
      <c r="BI103" s="1180" t="s">
        <v>1733</v>
      </c>
      <c r="BJ103" s="1343" t="s">
        <v>1734</v>
      </c>
      <c r="BK103" s="1789">
        <v>0.4</v>
      </c>
      <c r="BL103" s="1790" t="s">
        <v>2464</v>
      </c>
      <c r="BM103" s="1795"/>
      <c r="BN103" s="1798"/>
      <c r="BO103" s="1801"/>
    </row>
    <row r="104" spans="1:67" s="1186" customFormat="1" x14ac:dyDescent="0.25">
      <c r="A104" s="1185" t="s">
        <v>1783</v>
      </c>
      <c r="B104" s="1185" t="s">
        <v>2123</v>
      </c>
      <c r="C104" s="1185"/>
      <c r="D104" s="1185"/>
      <c r="E104" s="1185"/>
      <c r="F104" s="1185"/>
      <c r="G104" s="1185"/>
      <c r="H104" s="1185"/>
      <c r="I104" s="1185"/>
      <c r="J104" s="1345"/>
      <c r="K104" s="1345"/>
      <c r="L104" s="1185"/>
      <c r="M104" s="1185"/>
      <c r="N104" s="1345"/>
      <c r="O104" s="1185"/>
      <c r="P104" s="1185"/>
      <c r="Q104" s="1185"/>
      <c r="U104" s="1187"/>
      <c r="AU104" s="1187"/>
      <c r="AZ104" s="1187"/>
      <c r="BE104" s="1792"/>
      <c r="BF104" s="1792"/>
      <c r="BG104" s="1793"/>
      <c r="BH104" s="1786"/>
      <c r="BI104" s="1181" t="s">
        <v>1738</v>
      </c>
      <c r="BJ104" s="1340" t="s">
        <v>2014</v>
      </c>
      <c r="BK104" s="1789"/>
      <c r="BL104" s="1790"/>
      <c r="BM104" s="1795"/>
      <c r="BN104" s="1798"/>
      <c r="BO104" s="1801"/>
    </row>
    <row r="105" spans="1:67" s="1186" customFormat="1" ht="30" x14ac:dyDescent="0.25">
      <c r="A105" s="1185"/>
      <c r="B105" s="1185"/>
      <c r="C105" s="1185"/>
      <c r="D105" s="1185"/>
      <c r="E105" s="1185"/>
      <c r="F105" s="1185"/>
      <c r="G105" s="1185"/>
      <c r="H105" s="1185"/>
      <c r="I105" s="1185"/>
      <c r="J105" s="1345"/>
      <c r="K105" s="1345"/>
      <c r="L105" s="1185"/>
      <c r="M105" s="1185"/>
      <c r="N105" s="1345"/>
      <c r="O105" s="1185"/>
      <c r="P105" s="1185"/>
      <c r="Q105" s="1185"/>
      <c r="U105" s="1187"/>
      <c r="AU105" s="1187"/>
      <c r="AZ105" s="1187"/>
      <c r="BE105" s="1792"/>
      <c r="BF105" s="1792"/>
      <c r="BG105" s="1793" t="s">
        <v>1736</v>
      </c>
      <c r="BH105" s="1786">
        <v>1700</v>
      </c>
      <c r="BI105" s="1180" t="s">
        <v>2012</v>
      </c>
      <c r="BJ105" s="1339" t="s">
        <v>1798</v>
      </c>
      <c r="BK105" s="1787">
        <v>0.3</v>
      </c>
      <c r="BL105" s="1378" t="s">
        <v>1762</v>
      </c>
      <c r="BM105" s="1795"/>
      <c r="BN105" s="1798"/>
      <c r="BO105" s="1801"/>
    </row>
    <row r="106" spans="1:67" s="1186" customFormat="1" ht="30" customHeight="1" x14ac:dyDescent="0.25">
      <c r="A106" s="1345" t="s">
        <v>1784</v>
      </c>
      <c r="B106" s="1814" t="s">
        <v>2338</v>
      </c>
      <c r="C106" s="1814"/>
      <c r="D106" s="1814"/>
      <c r="E106" s="1814"/>
      <c r="F106" s="1814"/>
      <c r="G106" s="1814"/>
      <c r="H106" s="1814"/>
      <c r="I106" s="1814"/>
      <c r="J106" s="1349"/>
      <c r="K106" s="1349"/>
      <c r="L106" s="1349"/>
      <c r="M106" s="1349"/>
      <c r="N106" s="1349"/>
      <c r="O106" s="1349"/>
      <c r="P106" s="1349"/>
      <c r="Q106" s="1349"/>
      <c r="U106" s="1187"/>
      <c r="AU106" s="1187"/>
      <c r="AZ106" s="1187"/>
      <c r="BE106" s="1792"/>
      <c r="BF106" s="1792"/>
      <c r="BG106" s="1793"/>
      <c r="BH106" s="1786"/>
      <c r="BI106" s="1180" t="s">
        <v>2012</v>
      </c>
      <c r="BJ106" s="1339" t="s">
        <v>1799</v>
      </c>
      <c r="BK106" s="1788"/>
      <c r="BL106" s="1378" t="s">
        <v>2469</v>
      </c>
      <c r="BM106" s="1795"/>
      <c r="BN106" s="1798"/>
      <c r="BO106" s="1801"/>
    </row>
    <row r="107" spans="1:67" s="1186" customFormat="1" ht="30" x14ac:dyDescent="0.25">
      <c r="A107" s="1185"/>
      <c r="B107" s="1185"/>
      <c r="C107" s="1185"/>
      <c r="D107" s="1185"/>
      <c r="E107" s="1185"/>
      <c r="F107" s="1185"/>
      <c r="G107" s="1185"/>
      <c r="H107" s="1185"/>
      <c r="I107" s="1185"/>
      <c r="J107" s="1345"/>
      <c r="K107" s="1345"/>
      <c r="L107" s="1185"/>
      <c r="M107" s="1185"/>
      <c r="N107" s="1345"/>
      <c r="O107" s="1185"/>
      <c r="P107" s="1185"/>
      <c r="Q107" s="1185"/>
      <c r="U107" s="1187"/>
      <c r="AU107" s="1187"/>
      <c r="AZ107" s="1187"/>
      <c r="BE107" s="1792"/>
      <c r="BF107" s="1792"/>
      <c r="BG107" s="1793"/>
      <c r="BH107" s="1786"/>
      <c r="BI107" s="1180" t="s">
        <v>2012</v>
      </c>
      <c r="BJ107" s="1343" t="s">
        <v>1800</v>
      </c>
      <c r="BK107" s="1788"/>
      <c r="BL107" s="1135" t="s">
        <v>2464</v>
      </c>
      <c r="BM107" s="1795"/>
      <c r="BN107" s="1798"/>
      <c r="BO107" s="1801"/>
    </row>
    <row r="108" spans="1:67" s="1186" customFormat="1" ht="31.5" customHeight="1" x14ac:dyDescent="0.25">
      <c r="A108" s="1349" t="s">
        <v>1785</v>
      </c>
      <c r="B108" s="1815" t="s">
        <v>1786</v>
      </c>
      <c r="C108" s="1815"/>
      <c r="D108" s="1815"/>
      <c r="E108" s="1815"/>
      <c r="F108" s="1815"/>
      <c r="G108" s="1815"/>
      <c r="H108" s="1815"/>
      <c r="I108" s="1815"/>
      <c r="J108" s="1350"/>
      <c r="K108" s="1350"/>
      <c r="L108" s="1350"/>
      <c r="M108" s="1350"/>
      <c r="N108" s="1350"/>
      <c r="O108" s="1350"/>
      <c r="P108" s="1350"/>
      <c r="Q108" s="1350"/>
      <c r="U108" s="1187"/>
      <c r="AU108" s="1187"/>
      <c r="AZ108" s="1187"/>
      <c r="BE108" s="1792"/>
      <c r="BF108" s="1792"/>
      <c r="BG108" s="1793"/>
      <c r="BH108" s="1786"/>
      <c r="BI108" s="1180" t="s">
        <v>1733</v>
      </c>
      <c r="BJ108" s="1343" t="s">
        <v>1734</v>
      </c>
      <c r="BK108" s="1789">
        <v>0.4</v>
      </c>
      <c r="BL108" s="1790" t="s">
        <v>2464</v>
      </c>
      <c r="BM108" s="1795"/>
      <c r="BN108" s="1798"/>
      <c r="BO108" s="1801"/>
    </row>
    <row r="109" spans="1:67" s="1186" customFormat="1" x14ac:dyDescent="0.25">
      <c r="A109" s="1345"/>
      <c r="B109" s="1185" t="s">
        <v>1787</v>
      </c>
      <c r="C109" s="1185"/>
      <c r="D109" s="1185"/>
      <c r="E109" s="1185"/>
      <c r="F109" s="1185"/>
      <c r="G109" s="1185"/>
      <c r="H109" s="1185"/>
      <c r="I109" s="1185"/>
      <c r="J109" s="1345"/>
      <c r="K109" s="1345"/>
      <c r="L109" s="1185"/>
      <c r="M109" s="1185"/>
      <c r="N109" s="1345"/>
      <c r="O109" s="1185"/>
      <c r="P109" s="1185"/>
      <c r="Q109" s="1185"/>
      <c r="U109" s="1187"/>
      <c r="AU109" s="1187"/>
      <c r="AZ109" s="1187"/>
      <c r="BE109" s="1792"/>
      <c r="BF109" s="1792"/>
      <c r="BG109" s="1793"/>
      <c r="BH109" s="1786"/>
      <c r="BI109" s="1181" t="s">
        <v>1738</v>
      </c>
      <c r="BJ109" s="1340" t="s">
        <v>2014</v>
      </c>
      <c r="BK109" s="1789"/>
      <c r="BL109" s="1790"/>
      <c r="BM109" s="1795"/>
      <c r="BN109" s="1798"/>
      <c r="BO109" s="1801"/>
    </row>
    <row r="110" spans="1:67" s="1186" customFormat="1" ht="30" x14ac:dyDescent="0.25">
      <c r="A110" s="1185" t="s">
        <v>2018</v>
      </c>
      <c r="B110" s="1185"/>
      <c r="C110" s="1185"/>
      <c r="D110" s="1185"/>
      <c r="E110" s="1185"/>
      <c r="F110" s="1185"/>
      <c r="G110" s="1185"/>
      <c r="H110" s="1185"/>
      <c r="I110" s="1185"/>
      <c r="J110" s="1345"/>
      <c r="K110" s="1345"/>
      <c r="L110" s="1185"/>
      <c r="M110" s="1185"/>
      <c r="N110" s="1345"/>
      <c r="O110" s="1185"/>
      <c r="P110" s="1185"/>
      <c r="Q110" s="1185"/>
      <c r="U110" s="1187"/>
      <c r="AU110" s="1187"/>
      <c r="AZ110" s="1187"/>
      <c r="BE110" s="1792"/>
      <c r="BF110" s="1792" t="s">
        <v>2470</v>
      </c>
      <c r="BG110" s="1793" t="s">
        <v>1735</v>
      </c>
      <c r="BH110" s="1786">
        <v>1300</v>
      </c>
      <c r="BI110" s="1180" t="s">
        <v>2012</v>
      </c>
      <c r="BJ110" s="1339" t="s">
        <v>1798</v>
      </c>
      <c r="BK110" s="1787">
        <v>0.3</v>
      </c>
      <c r="BL110" s="1378" t="s">
        <v>1762</v>
      </c>
      <c r="BM110" s="1795"/>
      <c r="BN110" s="1798"/>
      <c r="BO110" s="1801"/>
    </row>
    <row r="111" spans="1:67" s="1186" customFormat="1" ht="30" x14ac:dyDescent="0.25">
      <c r="A111" s="1185"/>
      <c r="B111" s="1185"/>
      <c r="C111" s="1185"/>
      <c r="D111" s="1185"/>
      <c r="E111" s="1185"/>
      <c r="F111" s="1185"/>
      <c r="G111" s="1185"/>
      <c r="H111" s="1185"/>
      <c r="I111" s="1185"/>
      <c r="J111" s="1345"/>
      <c r="K111" s="1345"/>
      <c r="L111" s="1185"/>
      <c r="M111" s="1185"/>
      <c r="N111" s="1345"/>
      <c r="O111" s="1185"/>
      <c r="P111" s="1185"/>
      <c r="Q111" s="1185"/>
      <c r="U111" s="1187"/>
      <c r="AU111" s="1187"/>
      <c r="AZ111" s="1187"/>
      <c r="BE111" s="1792"/>
      <c r="BF111" s="1792"/>
      <c r="BG111" s="1793"/>
      <c r="BH111" s="1786"/>
      <c r="BI111" s="1180" t="s">
        <v>2012</v>
      </c>
      <c r="BJ111" s="1339" t="s">
        <v>1799</v>
      </c>
      <c r="BK111" s="1788"/>
      <c r="BL111" s="1378" t="s">
        <v>2469</v>
      </c>
      <c r="BM111" s="1795"/>
      <c r="BN111" s="1798"/>
      <c r="BO111" s="1801"/>
    </row>
    <row r="112" spans="1:67" s="1186" customFormat="1" ht="15" customHeight="1" x14ac:dyDescent="0.25">
      <c r="A112" s="1185" t="s">
        <v>2339</v>
      </c>
      <c r="B112" s="1185"/>
      <c r="C112" s="1185"/>
      <c r="D112" s="1185"/>
      <c r="E112" s="1185"/>
      <c r="F112" s="1185"/>
      <c r="G112" s="1185"/>
      <c r="H112" s="1185"/>
      <c r="I112" s="1185"/>
      <c r="J112" s="1345"/>
      <c r="K112" s="1345"/>
      <c r="L112" s="1185"/>
      <c r="M112" s="1185"/>
      <c r="N112" s="1345"/>
      <c r="O112" s="1185"/>
      <c r="P112" s="1185"/>
      <c r="Q112" s="1185"/>
      <c r="U112" s="1187"/>
      <c r="AU112" s="1187"/>
      <c r="AZ112" s="1187"/>
      <c r="BE112" s="1792"/>
      <c r="BF112" s="1792"/>
      <c r="BG112" s="1793"/>
      <c r="BH112" s="1786"/>
      <c r="BI112" s="1180" t="s">
        <v>2012</v>
      </c>
      <c r="BJ112" s="1343" t="s">
        <v>1800</v>
      </c>
      <c r="BK112" s="1788"/>
      <c r="BL112" s="1135" t="s">
        <v>2464</v>
      </c>
      <c r="BM112" s="1795"/>
      <c r="BN112" s="1798"/>
      <c r="BO112" s="1801"/>
    </row>
    <row r="113" spans="1:67" s="1186" customFormat="1" ht="15" customHeight="1" x14ac:dyDescent="0.25">
      <c r="A113" s="1185"/>
      <c r="B113" s="1185"/>
      <c r="C113" s="1185"/>
      <c r="D113" s="1185"/>
      <c r="E113" s="1185"/>
      <c r="F113" s="1185"/>
      <c r="G113" s="1185"/>
      <c r="H113" s="1185"/>
      <c r="I113" s="1185"/>
      <c r="J113" s="1345"/>
      <c r="K113" s="1345"/>
      <c r="L113" s="1185"/>
      <c r="M113" s="1185"/>
      <c r="N113" s="1345"/>
      <c r="O113" s="1185"/>
      <c r="P113" s="1185"/>
      <c r="Q113" s="1185"/>
      <c r="U113" s="1187"/>
      <c r="AU113" s="1187"/>
      <c r="AZ113" s="1187"/>
      <c r="BE113" s="1792"/>
      <c r="BF113" s="1792"/>
      <c r="BG113" s="1793"/>
      <c r="BH113" s="1786"/>
      <c r="BI113" s="1180" t="s">
        <v>1733</v>
      </c>
      <c r="BJ113" s="1343" t="s">
        <v>1734</v>
      </c>
      <c r="BK113" s="1789">
        <v>0.4</v>
      </c>
      <c r="BL113" s="1790" t="s">
        <v>2464</v>
      </c>
      <c r="BM113" s="1795"/>
      <c r="BN113" s="1798"/>
      <c r="BO113" s="1801"/>
    </row>
    <row r="114" spans="1:67" s="1186" customFormat="1" ht="60.75" customHeight="1" x14ac:dyDescent="0.25">
      <c r="A114" s="1346" t="s">
        <v>2340</v>
      </c>
      <c r="B114" s="1807" t="s">
        <v>2481</v>
      </c>
      <c r="C114" s="1807"/>
      <c r="D114" s="1807"/>
      <c r="E114" s="1807"/>
      <c r="F114" s="1807"/>
      <c r="G114" s="1807"/>
      <c r="H114" s="1807"/>
      <c r="I114" s="1807"/>
      <c r="J114" s="1346"/>
      <c r="K114" s="1346"/>
      <c r="L114" s="1188"/>
      <c r="M114" s="1188"/>
      <c r="N114" s="1346"/>
      <c r="O114" s="1188"/>
      <c r="P114" s="1188"/>
      <c r="Q114" s="1188"/>
      <c r="U114" s="1187"/>
      <c r="AU114" s="1187"/>
      <c r="AZ114" s="1187"/>
      <c r="BE114" s="1792"/>
      <c r="BF114" s="1792"/>
      <c r="BG114" s="1793"/>
      <c r="BH114" s="1786"/>
      <c r="BI114" s="1181" t="s">
        <v>1738</v>
      </c>
      <c r="BJ114" s="1340" t="s">
        <v>2014</v>
      </c>
      <c r="BK114" s="1789"/>
      <c r="BL114" s="1790"/>
      <c r="BM114" s="1795"/>
      <c r="BN114" s="1798"/>
      <c r="BO114" s="1801"/>
    </row>
    <row r="115" spans="1:67" s="1186" customFormat="1" ht="37.5" customHeight="1" x14ac:dyDescent="0.25">
      <c r="A115" s="1188"/>
      <c r="B115" s="1188"/>
      <c r="C115" s="1188"/>
      <c r="D115" s="1188"/>
      <c r="E115" s="1188"/>
      <c r="F115" s="1188"/>
      <c r="G115" s="1188"/>
      <c r="H115" s="1188"/>
      <c r="I115" s="1188"/>
      <c r="J115" s="1346"/>
      <c r="K115" s="1346"/>
      <c r="L115" s="1188"/>
      <c r="M115" s="1188"/>
      <c r="N115" s="1346"/>
      <c r="O115" s="1188"/>
      <c r="P115" s="1188"/>
      <c r="Q115" s="1188"/>
      <c r="U115" s="1187"/>
      <c r="AU115" s="1187"/>
      <c r="AZ115" s="1187"/>
      <c r="BE115" s="1792"/>
      <c r="BF115" s="1792"/>
      <c r="BG115" s="1793" t="s">
        <v>1736</v>
      </c>
      <c r="BH115" s="1804" t="s">
        <v>2471</v>
      </c>
      <c r="BI115" s="1180" t="s">
        <v>2012</v>
      </c>
      <c r="BJ115" s="1339" t="s">
        <v>1798</v>
      </c>
      <c r="BK115" s="1787">
        <v>0.3</v>
      </c>
      <c r="BL115" s="1378" t="s">
        <v>1762</v>
      </c>
      <c r="BM115" s="1795"/>
      <c r="BN115" s="1798"/>
      <c r="BO115" s="1801"/>
    </row>
    <row r="116" spans="1:67" s="1186" customFormat="1" ht="30" customHeight="1" x14ac:dyDescent="0.25">
      <c r="A116" s="1346" t="s">
        <v>2341</v>
      </c>
      <c r="B116" s="1807" t="s">
        <v>2124</v>
      </c>
      <c r="C116" s="1807"/>
      <c r="D116" s="1807"/>
      <c r="E116" s="1807"/>
      <c r="F116" s="1807"/>
      <c r="G116" s="1807"/>
      <c r="H116" s="1807"/>
      <c r="I116" s="1807"/>
      <c r="J116" s="1346"/>
      <c r="K116" s="1346"/>
      <c r="L116" s="1346"/>
      <c r="M116" s="1346"/>
      <c r="N116" s="1346"/>
      <c r="O116" s="1346"/>
      <c r="P116" s="1346"/>
      <c r="Q116" s="1346"/>
      <c r="U116" s="1187"/>
      <c r="AU116" s="1187"/>
      <c r="AZ116" s="1187"/>
      <c r="BE116" s="1792"/>
      <c r="BF116" s="1792"/>
      <c r="BG116" s="1793"/>
      <c r="BH116" s="1805"/>
      <c r="BI116" s="1180" t="s">
        <v>2012</v>
      </c>
      <c r="BJ116" s="1339" t="s">
        <v>1799</v>
      </c>
      <c r="BK116" s="1788"/>
      <c r="BL116" s="1378" t="s">
        <v>2469</v>
      </c>
      <c r="BM116" s="1795"/>
      <c r="BN116" s="1798"/>
      <c r="BO116" s="1801"/>
    </row>
    <row r="117" spans="1:67" s="1186" customFormat="1" ht="30" x14ac:dyDescent="0.25">
      <c r="A117" s="1346"/>
      <c r="B117" s="1188"/>
      <c r="C117" s="1188"/>
      <c r="D117" s="1188"/>
      <c r="E117" s="1188"/>
      <c r="F117" s="1188"/>
      <c r="G117" s="1188"/>
      <c r="H117" s="1188"/>
      <c r="I117" s="1188"/>
      <c r="J117" s="1346"/>
      <c r="K117" s="1346"/>
      <c r="L117" s="1188"/>
      <c r="M117" s="1188"/>
      <c r="N117" s="1346"/>
      <c r="O117" s="1188"/>
      <c r="P117" s="1188"/>
      <c r="Q117" s="1188"/>
      <c r="U117" s="1187"/>
      <c r="AU117" s="1187"/>
      <c r="AZ117" s="1187"/>
      <c r="BE117" s="1792"/>
      <c r="BF117" s="1792"/>
      <c r="BG117" s="1793"/>
      <c r="BH117" s="1805"/>
      <c r="BI117" s="1180" t="s">
        <v>2012</v>
      </c>
      <c r="BJ117" s="1343" t="s">
        <v>1800</v>
      </c>
      <c r="BK117" s="1788"/>
      <c r="BL117" s="1135" t="s">
        <v>2464</v>
      </c>
      <c r="BM117" s="1795"/>
      <c r="BN117" s="1798"/>
      <c r="BO117" s="1801"/>
    </row>
    <row r="118" spans="1:67" s="1186" customFormat="1" ht="30" customHeight="1" x14ac:dyDescent="0.25">
      <c r="A118" s="1188"/>
      <c r="B118" s="1188"/>
      <c r="C118" s="1188"/>
      <c r="D118" s="1188"/>
      <c r="E118" s="1188"/>
      <c r="F118" s="1188"/>
      <c r="G118" s="1188"/>
      <c r="H118" s="1188"/>
      <c r="I118" s="1188"/>
      <c r="J118" s="1346"/>
      <c r="K118" s="1346"/>
      <c r="L118" s="1188"/>
      <c r="M118" s="1188"/>
      <c r="N118" s="1346"/>
      <c r="O118" s="1188"/>
      <c r="P118" s="1188"/>
      <c r="Q118" s="1188"/>
      <c r="U118" s="1187"/>
      <c r="AU118" s="1187"/>
      <c r="AZ118" s="1187"/>
      <c r="BE118" s="1792"/>
      <c r="BF118" s="1792"/>
      <c r="BG118" s="1793"/>
      <c r="BH118" s="1805"/>
      <c r="BI118" s="1180" t="s">
        <v>1733</v>
      </c>
      <c r="BJ118" s="1343" t="s">
        <v>1734</v>
      </c>
      <c r="BK118" s="1789">
        <v>0.4</v>
      </c>
      <c r="BL118" s="1790" t="s">
        <v>2464</v>
      </c>
      <c r="BM118" s="1795"/>
      <c r="BN118" s="1798"/>
      <c r="BO118" s="1801"/>
    </row>
    <row r="119" spans="1:67" s="1186" customFormat="1" ht="30" customHeight="1" x14ac:dyDescent="0.25">
      <c r="A119" s="1347" t="s">
        <v>2342</v>
      </c>
      <c r="B119" s="1808" t="s">
        <v>2125</v>
      </c>
      <c r="C119" s="1808"/>
      <c r="D119" s="1808"/>
      <c r="E119" s="1808"/>
      <c r="F119" s="1808"/>
      <c r="G119" s="1808"/>
      <c r="H119" s="1808"/>
      <c r="I119" s="1808"/>
      <c r="J119" s="1347"/>
      <c r="K119" s="1347"/>
      <c r="L119" s="1347"/>
      <c r="M119" s="1347"/>
      <c r="N119" s="1347"/>
      <c r="O119" s="1347"/>
      <c r="P119" s="1347"/>
      <c r="Q119" s="1347"/>
      <c r="U119" s="1187"/>
      <c r="AU119" s="1187"/>
      <c r="AZ119" s="1187"/>
      <c r="BE119" s="1792"/>
      <c r="BF119" s="1792"/>
      <c r="BG119" s="1793"/>
      <c r="BH119" s="1806"/>
      <c r="BI119" s="1181" t="s">
        <v>1738</v>
      </c>
      <c r="BJ119" s="1340" t="s">
        <v>2014</v>
      </c>
      <c r="BK119" s="1789"/>
      <c r="BL119" s="1790"/>
      <c r="BM119" s="1796"/>
      <c r="BN119" s="1799"/>
      <c r="BO119" s="1802"/>
    </row>
    <row r="120" spans="1:67" s="1186" customFormat="1" x14ac:dyDescent="0.25">
      <c r="A120" s="1347"/>
      <c r="B120" s="1347"/>
      <c r="C120" s="1347"/>
      <c r="D120" s="1347"/>
      <c r="E120" s="1347"/>
      <c r="F120" s="1347"/>
      <c r="G120" s="1347"/>
      <c r="H120" s="1347"/>
      <c r="I120" s="1347"/>
      <c r="J120" s="1347"/>
      <c r="K120" s="1347"/>
      <c r="L120" s="1347"/>
      <c r="M120" s="1347"/>
      <c r="N120" s="1347"/>
      <c r="O120" s="1347"/>
      <c r="P120" s="1347"/>
      <c r="Q120" s="1347"/>
      <c r="U120" s="1187"/>
      <c r="AU120" s="1187"/>
      <c r="AZ120" s="1187"/>
      <c r="BE120" s="1320"/>
      <c r="BF120" s="1320"/>
      <c r="BG120" s="1325"/>
      <c r="BH120" s="1325"/>
      <c r="BI120" s="1127"/>
      <c r="BJ120" s="1160"/>
      <c r="BK120" s="1160"/>
      <c r="BL120" s="1160"/>
      <c r="BM120" s="1336"/>
      <c r="BN120" s="1337"/>
      <c r="BO120" s="1126"/>
    </row>
    <row r="121" spans="1:67" s="1186" customFormat="1" ht="63" customHeight="1" x14ac:dyDescent="0.25">
      <c r="A121" s="1188" t="s">
        <v>2343</v>
      </c>
      <c r="B121" s="1188" t="s">
        <v>1797</v>
      </c>
      <c r="C121" s="1188"/>
      <c r="D121" s="1188"/>
      <c r="E121" s="1188"/>
      <c r="F121" s="1188"/>
      <c r="G121" s="1188"/>
      <c r="H121" s="1188"/>
      <c r="I121" s="1188"/>
      <c r="J121" s="1346"/>
      <c r="K121" s="1346"/>
      <c r="L121" s="1188"/>
      <c r="M121" s="1188"/>
      <c r="N121" s="1346"/>
      <c r="O121" s="1188"/>
      <c r="P121" s="1188"/>
      <c r="Q121" s="1188"/>
      <c r="U121" s="1187"/>
      <c r="AU121" s="1187"/>
      <c r="AZ121" s="1187"/>
      <c r="BE121" s="1320"/>
      <c r="BF121" s="1320"/>
      <c r="BG121" s="1325"/>
      <c r="BH121" s="1325"/>
      <c r="BI121" s="1127"/>
      <c r="BJ121" s="1160"/>
      <c r="BK121" s="1160"/>
      <c r="BL121" s="1160"/>
      <c r="BM121" s="1336"/>
      <c r="BN121" s="1337"/>
      <c r="BO121" s="1126"/>
    </row>
    <row r="122" spans="1:67" s="1186" customFormat="1" ht="16.5" thickBot="1" x14ac:dyDescent="0.3">
      <c r="A122" s="1188"/>
      <c r="B122" s="1188"/>
      <c r="C122" s="1188"/>
      <c r="D122" s="1188"/>
      <c r="E122" s="1188"/>
      <c r="F122" s="1188"/>
      <c r="G122" s="1188"/>
      <c r="H122" s="1188"/>
      <c r="I122" s="1188"/>
      <c r="J122" s="1346"/>
      <c r="K122" s="1346"/>
      <c r="L122" s="1188"/>
      <c r="M122" s="1188"/>
      <c r="N122" s="1346"/>
      <c r="O122" s="1188"/>
      <c r="P122" s="1188"/>
      <c r="Q122" s="1188"/>
      <c r="U122" s="1187"/>
      <c r="AU122" s="1187"/>
      <c r="AZ122" s="1187"/>
      <c r="BE122" s="1809" t="s">
        <v>2476</v>
      </c>
      <c r="BF122" s="1810"/>
      <c r="BG122" s="1810"/>
      <c r="BH122" s="1810"/>
      <c r="BI122" s="1810"/>
      <c r="BJ122" s="1810"/>
      <c r="BK122" s="1810"/>
      <c r="BL122" s="1810"/>
      <c r="BM122" s="1810"/>
      <c r="BN122" s="1810"/>
      <c r="BO122" s="1810"/>
    </row>
    <row r="123" spans="1:67" ht="30" customHeight="1" x14ac:dyDescent="0.25">
      <c r="A123" s="1791" t="s">
        <v>2344</v>
      </c>
      <c r="B123" s="1791"/>
      <c r="C123" s="1791"/>
      <c r="D123" s="1185"/>
      <c r="E123" s="1185"/>
      <c r="F123" s="1185"/>
      <c r="G123" s="1185"/>
      <c r="H123" s="1188"/>
      <c r="I123" s="1188"/>
      <c r="J123" s="1346"/>
      <c r="K123" s="1346"/>
      <c r="L123" s="1188"/>
      <c r="M123" s="1188"/>
      <c r="N123" s="1346"/>
      <c r="O123" s="1188"/>
      <c r="P123" s="1188"/>
      <c r="Q123" s="1188"/>
      <c r="BE123" s="1314" t="s">
        <v>1709</v>
      </c>
      <c r="BF123" s="1182" t="s">
        <v>1710</v>
      </c>
      <c r="BG123" s="1314" t="s">
        <v>1704</v>
      </c>
      <c r="BH123" s="1314" t="s">
        <v>1711</v>
      </c>
      <c r="BI123" s="1182" t="s">
        <v>1681</v>
      </c>
      <c r="BJ123" s="1315" t="s">
        <v>541</v>
      </c>
      <c r="BK123" s="1182" t="s">
        <v>1706</v>
      </c>
      <c r="BL123" s="1316" t="s">
        <v>1707</v>
      </c>
      <c r="BM123" s="1317" t="s">
        <v>2135</v>
      </c>
      <c r="BN123" s="1318" t="s">
        <v>78</v>
      </c>
      <c r="BO123" s="1318" t="s">
        <v>52</v>
      </c>
    </row>
    <row r="124" spans="1:67" ht="30" x14ac:dyDescent="0.25">
      <c r="A124" s="1188"/>
      <c r="B124" s="1189" t="s">
        <v>1788</v>
      </c>
      <c r="C124" s="1185"/>
      <c r="D124" s="1185"/>
      <c r="E124" s="1185"/>
      <c r="F124" s="1185"/>
      <c r="G124" s="1185"/>
      <c r="H124" s="1188"/>
      <c r="I124" s="1188"/>
      <c r="J124" s="1346"/>
      <c r="K124" s="1346"/>
      <c r="L124" s="1188"/>
      <c r="M124" s="1188"/>
      <c r="N124" s="1346"/>
      <c r="O124" s="1188"/>
      <c r="P124" s="1188"/>
      <c r="Q124" s="1188"/>
      <c r="BE124" s="1792" t="s">
        <v>1713</v>
      </c>
      <c r="BF124" s="1792" t="s">
        <v>2463</v>
      </c>
      <c r="BG124" s="1793" t="s">
        <v>1735</v>
      </c>
      <c r="BH124" s="1786">
        <v>1300</v>
      </c>
      <c r="BI124" s="1180" t="s">
        <v>2012</v>
      </c>
      <c r="BJ124" s="1339" t="s">
        <v>1798</v>
      </c>
      <c r="BK124" s="1787">
        <v>0.3</v>
      </c>
      <c r="BL124" s="1319" t="s">
        <v>1727</v>
      </c>
      <c r="BM124" s="1794">
        <v>8.56</v>
      </c>
      <c r="BN124" s="1797">
        <v>0.01</v>
      </c>
      <c r="BO124" s="1800" t="s">
        <v>2013</v>
      </c>
    </row>
    <row r="125" spans="1:67" ht="15" customHeight="1" x14ac:dyDescent="0.25">
      <c r="A125" s="1185"/>
      <c r="B125" s="1185" t="s">
        <v>1789</v>
      </c>
      <c r="C125" s="1185"/>
      <c r="D125" s="1185"/>
      <c r="E125" s="1185"/>
      <c r="F125" s="1185"/>
      <c r="G125" s="1185"/>
      <c r="H125" s="1188"/>
      <c r="I125" s="1188"/>
      <c r="J125" s="1346"/>
      <c r="K125" s="1346"/>
      <c r="L125" s="1188"/>
      <c r="M125" s="1188"/>
      <c r="N125" s="1346"/>
      <c r="O125" s="1188"/>
      <c r="P125" s="1188"/>
      <c r="Q125" s="1188"/>
      <c r="BE125" s="1792"/>
      <c r="BF125" s="1792"/>
      <c r="BG125" s="1793"/>
      <c r="BH125" s="1786"/>
      <c r="BI125" s="1180" t="s">
        <v>2012</v>
      </c>
      <c r="BJ125" s="1339" t="s">
        <v>1799</v>
      </c>
      <c r="BK125" s="1788"/>
      <c r="BL125" s="1319" t="s">
        <v>2466</v>
      </c>
      <c r="BM125" s="1795"/>
      <c r="BN125" s="1798"/>
      <c r="BO125" s="1801"/>
    </row>
    <row r="126" spans="1:67" ht="30" x14ac:dyDescent="0.25">
      <c r="A126" s="1185"/>
      <c r="B126" s="1185" t="s">
        <v>1790</v>
      </c>
      <c r="C126" s="1185"/>
      <c r="D126" s="1185"/>
      <c r="E126" s="1185"/>
      <c r="F126" s="1185"/>
      <c r="G126" s="1185"/>
      <c r="H126" s="1188"/>
      <c r="I126" s="1188"/>
      <c r="J126" s="1346"/>
      <c r="K126" s="1346"/>
      <c r="L126" s="1188"/>
      <c r="M126" s="1188"/>
      <c r="N126" s="1346"/>
      <c r="O126" s="1188"/>
      <c r="P126" s="1188"/>
      <c r="Q126" s="1188"/>
      <c r="BE126" s="1792"/>
      <c r="BF126" s="1792"/>
      <c r="BG126" s="1793"/>
      <c r="BH126" s="1786"/>
      <c r="BI126" s="1180" t="s">
        <v>2012</v>
      </c>
      <c r="BJ126" s="1343" t="s">
        <v>1800</v>
      </c>
      <c r="BK126" s="1788"/>
      <c r="BL126" s="1134" t="s">
        <v>1721</v>
      </c>
      <c r="BM126" s="1795"/>
      <c r="BN126" s="1798"/>
      <c r="BO126" s="1801"/>
    </row>
    <row r="127" spans="1:67" x14ac:dyDescent="0.25">
      <c r="A127" s="1185"/>
      <c r="B127" s="1185" t="s">
        <v>1791</v>
      </c>
      <c r="C127" s="1185"/>
      <c r="D127" s="1185"/>
      <c r="E127" s="1185"/>
      <c r="F127" s="1185"/>
      <c r="G127" s="1185"/>
      <c r="H127" s="1188"/>
      <c r="I127" s="1188"/>
      <c r="J127" s="1346"/>
      <c r="K127" s="1346"/>
      <c r="L127" s="1188"/>
      <c r="M127" s="1188"/>
      <c r="N127" s="1346"/>
      <c r="O127" s="1188"/>
      <c r="P127" s="1188"/>
      <c r="Q127" s="1188"/>
      <c r="BE127" s="1792"/>
      <c r="BF127" s="1792"/>
      <c r="BG127" s="1793"/>
      <c r="BH127" s="1786"/>
      <c r="BI127" s="1180" t="s">
        <v>1733</v>
      </c>
      <c r="BJ127" s="1343" t="s">
        <v>1734</v>
      </c>
      <c r="BK127" s="1789">
        <v>0.4</v>
      </c>
      <c r="BL127" s="1790" t="s">
        <v>1721</v>
      </c>
      <c r="BM127" s="1795"/>
      <c r="BN127" s="1798"/>
      <c r="BO127" s="1801"/>
    </row>
    <row r="128" spans="1:67" x14ac:dyDescent="0.25">
      <c r="A128" s="1185"/>
      <c r="B128" s="1185" t="s">
        <v>1792</v>
      </c>
      <c r="C128" s="1185"/>
      <c r="D128" s="1185"/>
      <c r="E128" s="1185"/>
      <c r="F128" s="1185"/>
      <c r="G128" s="1185"/>
      <c r="H128" s="1188"/>
      <c r="I128" s="1188"/>
      <c r="J128" s="1346"/>
      <c r="K128" s="1346"/>
      <c r="L128" s="1188"/>
      <c r="M128" s="1188"/>
      <c r="N128" s="1346"/>
      <c r="O128" s="1188"/>
      <c r="P128" s="1188"/>
      <c r="Q128" s="1188"/>
      <c r="BE128" s="1792"/>
      <c r="BF128" s="1792"/>
      <c r="BG128" s="1793"/>
      <c r="BH128" s="1786"/>
      <c r="BI128" s="1181" t="s">
        <v>1738</v>
      </c>
      <c r="BJ128" s="1340" t="s">
        <v>2014</v>
      </c>
      <c r="BK128" s="1789"/>
      <c r="BL128" s="1790"/>
      <c r="BM128" s="1795"/>
      <c r="BN128" s="1798"/>
      <c r="BO128" s="1801"/>
    </row>
    <row r="129" spans="1:67" ht="30" x14ac:dyDescent="0.25">
      <c r="A129" s="1185"/>
      <c r="B129" s="1185" t="s">
        <v>1793</v>
      </c>
      <c r="C129" s="1185"/>
      <c r="D129" s="1185"/>
      <c r="E129" s="1185"/>
      <c r="F129" s="1185"/>
      <c r="G129" s="1185"/>
      <c r="H129" s="1188"/>
      <c r="I129" s="1188"/>
      <c r="J129" s="1346"/>
      <c r="K129" s="1346"/>
      <c r="L129" s="1188"/>
      <c r="M129" s="1188"/>
      <c r="N129" s="1346"/>
      <c r="O129" s="1188"/>
      <c r="P129" s="1188"/>
      <c r="Q129" s="1188"/>
      <c r="BE129" s="1803" t="s">
        <v>1731</v>
      </c>
      <c r="BF129" s="1792"/>
      <c r="BG129" s="1793" t="s">
        <v>1736</v>
      </c>
      <c r="BH129" s="1786">
        <v>1800</v>
      </c>
      <c r="BI129" s="1180" t="s">
        <v>2012</v>
      </c>
      <c r="BJ129" s="1339" t="s">
        <v>1798</v>
      </c>
      <c r="BK129" s="1787">
        <v>0.3</v>
      </c>
      <c r="BL129" s="1319" t="s">
        <v>1727</v>
      </c>
      <c r="BM129" s="1795"/>
      <c r="BN129" s="1798"/>
      <c r="BO129" s="1801"/>
    </row>
    <row r="130" spans="1:67" ht="30" x14ac:dyDescent="0.25">
      <c r="A130" s="1185"/>
      <c r="B130" s="1185" t="s">
        <v>1794</v>
      </c>
      <c r="C130" s="1185"/>
      <c r="D130" s="1185"/>
      <c r="E130" s="1185"/>
      <c r="F130" s="1185"/>
      <c r="G130" s="1185"/>
      <c r="H130" s="1188"/>
      <c r="I130" s="1188"/>
      <c r="J130" s="1346"/>
      <c r="K130" s="1346"/>
      <c r="L130" s="1188"/>
      <c r="M130" s="1188"/>
      <c r="N130" s="1346"/>
      <c r="O130" s="1188"/>
      <c r="P130" s="1188"/>
      <c r="Q130" s="1188"/>
      <c r="BE130" s="1803"/>
      <c r="BF130" s="1792"/>
      <c r="BG130" s="1793"/>
      <c r="BH130" s="1786"/>
      <c r="BI130" s="1180" t="s">
        <v>2012</v>
      </c>
      <c r="BJ130" s="1339" t="s">
        <v>1799</v>
      </c>
      <c r="BK130" s="1788"/>
      <c r="BL130" s="1319" t="s">
        <v>2466</v>
      </c>
      <c r="BM130" s="1795"/>
      <c r="BN130" s="1798"/>
      <c r="BO130" s="1801"/>
    </row>
    <row r="131" spans="1:67" ht="30" x14ac:dyDescent="0.25">
      <c r="A131" s="1185"/>
      <c r="B131" s="1185" t="s">
        <v>1795</v>
      </c>
      <c r="C131" s="1185"/>
      <c r="D131" s="1185"/>
      <c r="E131" s="1185"/>
      <c r="F131" s="1185"/>
      <c r="G131" s="1185"/>
      <c r="H131" s="1188"/>
      <c r="I131" s="1188"/>
      <c r="J131" s="1346"/>
      <c r="K131" s="1346"/>
      <c r="L131" s="1188"/>
      <c r="M131" s="1188"/>
      <c r="N131" s="1346"/>
      <c r="O131" s="1188"/>
      <c r="P131" s="1188"/>
      <c r="Q131" s="1188"/>
      <c r="BE131" s="1803"/>
      <c r="BF131" s="1792"/>
      <c r="BG131" s="1793"/>
      <c r="BH131" s="1786"/>
      <c r="BI131" s="1180" t="s">
        <v>2012</v>
      </c>
      <c r="BJ131" s="1343" t="s">
        <v>1800</v>
      </c>
      <c r="BK131" s="1788"/>
      <c r="BL131" s="1134" t="s">
        <v>1721</v>
      </c>
      <c r="BM131" s="1795"/>
      <c r="BN131" s="1798"/>
      <c r="BO131" s="1801"/>
    </row>
    <row r="132" spans="1:67" x14ac:dyDescent="0.25">
      <c r="A132" s="1185"/>
      <c r="B132" s="1185" t="s">
        <v>1796</v>
      </c>
      <c r="C132" s="1185"/>
      <c r="D132" s="1185"/>
      <c r="E132" s="1185"/>
      <c r="F132" s="1185"/>
      <c r="G132" s="1185"/>
      <c r="H132" s="1188"/>
      <c r="I132" s="1188"/>
      <c r="J132" s="1346"/>
      <c r="K132" s="1346"/>
      <c r="L132" s="1188"/>
      <c r="M132" s="1188"/>
      <c r="N132" s="1346"/>
      <c r="O132" s="1188"/>
      <c r="P132" s="1188"/>
      <c r="Q132" s="1188"/>
      <c r="BE132" s="1803"/>
      <c r="BF132" s="1792"/>
      <c r="BG132" s="1793"/>
      <c r="BH132" s="1786"/>
      <c r="BI132" s="1180" t="s">
        <v>1733</v>
      </c>
      <c r="BJ132" s="1343" t="s">
        <v>1734</v>
      </c>
      <c r="BK132" s="1789">
        <v>0.4</v>
      </c>
      <c r="BL132" s="1790" t="s">
        <v>1721</v>
      </c>
      <c r="BM132" s="1795"/>
      <c r="BN132" s="1798"/>
      <c r="BO132" s="1801"/>
    </row>
    <row r="133" spans="1:67" x14ac:dyDescent="0.25">
      <c r="A133" s="1186"/>
      <c r="B133" s="1186"/>
      <c r="C133" s="1186"/>
      <c r="D133" s="1186"/>
      <c r="E133" s="1186"/>
      <c r="F133" s="1186"/>
      <c r="G133" s="1186"/>
      <c r="H133" s="1186"/>
      <c r="I133" s="1186"/>
      <c r="J133" s="1187"/>
      <c r="K133" s="1187"/>
      <c r="L133" s="1186"/>
      <c r="M133" s="1186"/>
      <c r="N133" s="1187"/>
      <c r="O133" s="1186"/>
      <c r="P133" s="1186"/>
      <c r="Q133" s="1186"/>
      <c r="BE133" s="1803"/>
      <c r="BF133" s="1792"/>
      <c r="BG133" s="1793"/>
      <c r="BH133" s="1786"/>
      <c r="BI133" s="1181" t="s">
        <v>1738</v>
      </c>
      <c r="BJ133" s="1340" t="s">
        <v>2014</v>
      </c>
      <c r="BK133" s="1789"/>
      <c r="BL133" s="1790"/>
      <c r="BM133" s="1795"/>
      <c r="BN133" s="1798"/>
      <c r="BO133" s="1801"/>
    </row>
    <row r="134" spans="1:67" ht="30" x14ac:dyDescent="0.25">
      <c r="BE134" s="1792" t="s">
        <v>1737</v>
      </c>
      <c r="BF134" s="1792" t="s">
        <v>2467</v>
      </c>
      <c r="BG134" s="1793" t="s">
        <v>1735</v>
      </c>
      <c r="BH134" s="1786">
        <v>1300</v>
      </c>
      <c r="BI134" s="1180" t="s">
        <v>2012</v>
      </c>
      <c r="BJ134" s="1339" t="s">
        <v>1798</v>
      </c>
      <c r="BK134" s="1787">
        <v>0.3</v>
      </c>
      <c r="BL134" s="1319" t="s">
        <v>1727</v>
      </c>
      <c r="BM134" s="1795"/>
      <c r="BN134" s="1798"/>
      <c r="BO134" s="1801"/>
    </row>
    <row r="135" spans="1:67" ht="30" x14ac:dyDescent="0.25">
      <c r="BE135" s="1792"/>
      <c r="BF135" s="1792"/>
      <c r="BG135" s="1793"/>
      <c r="BH135" s="1786"/>
      <c r="BI135" s="1180" t="s">
        <v>2012</v>
      </c>
      <c r="BJ135" s="1339" t="s">
        <v>1799</v>
      </c>
      <c r="BK135" s="1788"/>
      <c r="BL135" s="1319" t="s">
        <v>2466</v>
      </c>
      <c r="BM135" s="1795"/>
      <c r="BN135" s="1798"/>
      <c r="BO135" s="1801"/>
    </row>
    <row r="136" spans="1:67" ht="30" x14ac:dyDescent="0.25">
      <c r="BE136" s="1792"/>
      <c r="BF136" s="1792"/>
      <c r="BG136" s="1793"/>
      <c r="BH136" s="1786"/>
      <c r="BI136" s="1180" t="s">
        <v>2012</v>
      </c>
      <c r="BJ136" s="1343" t="s">
        <v>1800</v>
      </c>
      <c r="BK136" s="1788"/>
      <c r="BL136" s="1134" t="s">
        <v>1721</v>
      </c>
      <c r="BM136" s="1795"/>
      <c r="BN136" s="1798"/>
      <c r="BO136" s="1801"/>
    </row>
    <row r="137" spans="1:67" x14ac:dyDescent="0.25">
      <c r="BE137" s="1792"/>
      <c r="BF137" s="1792"/>
      <c r="BG137" s="1793"/>
      <c r="BH137" s="1786"/>
      <c r="BI137" s="1180" t="s">
        <v>1733</v>
      </c>
      <c r="BJ137" s="1343" t="s">
        <v>1734</v>
      </c>
      <c r="BK137" s="1789">
        <v>0.4</v>
      </c>
      <c r="BL137" s="1790" t="s">
        <v>1721</v>
      </c>
      <c r="BM137" s="1795"/>
      <c r="BN137" s="1798"/>
      <c r="BO137" s="1801"/>
    </row>
    <row r="138" spans="1:67" x14ac:dyDescent="0.25">
      <c r="BE138" s="1792"/>
      <c r="BF138" s="1792"/>
      <c r="BG138" s="1793"/>
      <c r="BH138" s="1786"/>
      <c r="BI138" s="1181" t="s">
        <v>1738</v>
      </c>
      <c r="BJ138" s="1340" t="s">
        <v>2014</v>
      </c>
      <c r="BK138" s="1789"/>
      <c r="BL138" s="1790"/>
      <c r="BM138" s="1795"/>
      <c r="BN138" s="1798"/>
      <c r="BO138" s="1801"/>
    </row>
    <row r="139" spans="1:67" ht="30" x14ac:dyDescent="0.25">
      <c r="BE139" s="1792"/>
      <c r="BF139" s="1792"/>
      <c r="BG139" s="1793" t="s">
        <v>1736</v>
      </c>
      <c r="BH139" s="1786">
        <v>1700</v>
      </c>
      <c r="BI139" s="1180" t="s">
        <v>2012</v>
      </c>
      <c r="BJ139" s="1339" t="s">
        <v>1798</v>
      </c>
      <c r="BK139" s="1787">
        <v>0.3</v>
      </c>
      <c r="BL139" s="1319" t="s">
        <v>1727</v>
      </c>
      <c r="BM139" s="1795"/>
      <c r="BN139" s="1798"/>
      <c r="BO139" s="1801"/>
    </row>
    <row r="140" spans="1:67" ht="30" x14ac:dyDescent="0.25">
      <c r="BE140" s="1792"/>
      <c r="BF140" s="1792"/>
      <c r="BG140" s="1793"/>
      <c r="BH140" s="1786"/>
      <c r="BI140" s="1180" t="s">
        <v>2012</v>
      </c>
      <c r="BJ140" s="1339" t="s">
        <v>1799</v>
      </c>
      <c r="BK140" s="1788"/>
      <c r="BL140" s="1319" t="s">
        <v>2466</v>
      </c>
      <c r="BM140" s="1795"/>
      <c r="BN140" s="1798"/>
      <c r="BO140" s="1801"/>
    </row>
    <row r="141" spans="1:67" ht="30" x14ac:dyDescent="0.25">
      <c r="BE141" s="1792"/>
      <c r="BF141" s="1792"/>
      <c r="BG141" s="1793"/>
      <c r="BH141" s="1786"/>
      <c r="BI141" s="1180" t="s">
        <v>2012</v>
      </c>
      <c r="BJ141" s="1343" t="s">
        <v>1800</v>
      </c>
      <c r="BK141" s="1788"/>
      <c r="BL141" s="1134" t="s">
        <v>1721</v>
      </c>
      <c r="BM141" s="1795"/>
      <c r="BN141" s="1798"/>
      <c r="BO141" s="1801"/>
    </row>
    <row r="142" spans="1:67" x14ac:dyDescent="0.25">
      <c r="BE142" s="1792"/>
      <c r="BF142" s="1792"/>
      <c r="BG142" s="1793"/>
      <c r="BH142" s="1786"/>
      <c r="BI142" s="1180" t="s">
        <v>1733</v>
      </c>
      <c r="BJ142" s="1343" t="s">
        <v>1734</v>
      </c>
      <c r="BK142" s="1789">
        <v>0.4</v>
      </c>
      <c r="BL142" s="1790" t="s">
        <v>1721</v>
      </c>
      <c r="BM142" s="1795"/>
      <c r="BN142" s="1798"/>
      <c r="BO142" s="1801"/>
    </row>
    <row r="143" spans="1:67" x14ac:dyDescent="0.25">
      <c r="BE143" s="1792"/>
      <c r="BF143" s="1792"/>
      <c r="BG143" s="1793"/>
      <c r="BH143" s="1786"/>
      <c r="BI143" s="1181" t="s">
        <v>1738</v>
      </c>
      <c r="BJ143" s="1340" t="s">
        <v>2014</v>
      </c>
      <c r="BK143" s="1789"/>
      <c r="BL143" s="1790"/>
      <c r="BM143" s="1795"/>
      <c r="BN143" s="1798"/>
      <c r="BO143" s="1801"/>
    </row>
    <row r="144" spans="1:67" ht="30" x14ac:dyDescent="0.25">
      <c r="BE144" s="1792"/>
      <c r="BF144" s="1792" t="s">
        <v>2470</v>
      </c>
      <c r="BG144" s="1793" t="s">
        <v>1735</v>
      </c>
      <c r="BH144" s="1786">
        <v>1300</v>
      </c>
      <c r="BI144" s="1180" t="s">
        <v>2012</v>
      </c>
      <c r="BJ144" s="1339" t="s">
        <v>1798</v>
      </c>
      <c r="BK144" s="1787">
        <v>0.3</v>
      </c>
      <c r="BL144" s="1319" t="s">
        <v>1727</v>
      </c>
      <c r="BM144" s="1795"/>
      <c r="BN144" s="1798"/>
      <c r="BO144" s="1801"/>
    </row>
    <row r="145" spans="57:67" ht="30" x14ac:dyDescent="0.25">
      <c r="BE145" s="1792"/>
      <c r="BF145" s="1792"/>
      <c r="BG145" s="1793"/>
      <c r="BH145" s="1786"/>
      <c r="BI145" s="1180" t="s">
        <v>2012</v>
      </c>
      <c r="BJ145" s="1339" t="s">
        <v>1799</v>
      </c>
      <c r="BK145" s="1788"/>
      <c r="BL145" s="1319" t="s">
        <v>2466</v>
      </c>
      <c r="BM145" s="1795"/>
      <c r="BN145" s="1798"/>
      <c r="BO145" s="1801"/>
    </row>
    <row r="146" spans="57:67" ht="30" x14ac:dyDescent="0.25">
      <c r="BE146" s="1792"/>
      <c r="BF146" s="1792"/>
      <c r="BG146" s="1793"/>
      <c r="BH146" s="1786"/>
      <c r="BI146" s="1180" t="s">
        <v>2012</v>
      </c>
      <c r="BJ146" s="1343" t="s">
        <v>1800</v>
      </c>
      <c r="BK146" s="1788"/>
      <c r="BL146" s="1134" t="s">
        <v>1721</v>
      </c>
      <c r="BM146" s="1795"/>
      <c r="BN146" s="1798"/>
      <c r="BO146" s="1801"/>
    </row>
    <row r="147" spans="57:67" x14ac:dyDescent="0.25">
      <c r="BE147" s="1792"/>
      <c r="BF147" s="1792"/>
      <c r="BG147" s="1793"/>
      <c r="BH147" s="1786"/>
      <c r="BI147" s="1180" t="s">
        <v>1733</v>
      </c>
      <c r="BJ147" s="1343" t="s">
        <v>1734</v>
      </c>
      <c r="BK147" s="1789">
        <v>0.4</v>
      </c>
      <c r="BL147" s="1790" t="s">
        <v>1721</v>
      </c>
      <c r="BM147" s="1795"/>
      <c r="BN147" s="1798"/>
      <c r="BO147" s="1801"/>
    </row>
    <row r="148" spans="57:67" x14ac:dyDescent="0.25">
      <c r="BE148" s="1792"/>
      <c r="BF148" s="1792"/>
      <c r="BG148" s="1793"/>
      <c r="BH148" s="1786"/>
      <c r="BI148" s="1181" t="s">
        <v>1738</v>
      </c>
      <c r="BJ148" s="1340" t="s">
        <v>2014</v>
      </c>
      <c r="BK148" s="1789"/>
      <c r="BL148" s="1790"/>
      <c r="BM148" s="1795"/>
      <c r="BN148" s="1798"/>
      <c r="BO148" s="1801"/>
    </row>
    <row r="149" spans="57:67" ht="30" x14ac:dyDescent="0.25">
      <c r="BE149" s="1792"/>
      <c r="BF149" s="1792"/>
      <c r="BG149" s="1793" t="s">
        <v>1736</v>
      </c>
      <c r="BH149" s="1804" t="s">
        <v>2471</v>
      </c>
      <c r="BI149" s="1180" t="s">
        <v>2012</v>
      </c>
      <c r="BJ149" s="1339" t="s">
        <v>1798</v>
      </c>
      <c r="BK149" s="1787">
        <v>0.3</v>
      </c>
      <c r="BL149" s="1319" t="s">
        <v>1727</v>
      </c>
      <c r="BM149" s="1795"/>
      <c r="BN149" s="1798"/>
      <c r="BO149" s="1801"/>
    </row>
    <row r="150" spans="57:67" ht="30" x14ac:dyDescent="0.25">
      <c r="BE150" s="1792"/>
      <c r="BF150" s="1792"/>
      <c r="BG150" s="1793"/>
      <c r="BH150" s="1805"/>
      <c r="BI150" s="1180" t="s">
        <v>2012</v>
      </c>
      <c r="BJ150" s="1339" t="s">
        <v>1799</v>
      </c>
      <c r="BK150" s="1788"/>
      <c r="BL150" s="1319" t="s">
        <v>2466</v>
      </c>
      <c r="BM150" s="1795"/>
      <c r="BN150" s="1798"/>
      <c r="BO150" s="1801"/>
    </row>
    <row r="151" spans="57:67" ht="30" x14ac:dyDescent="0.25">
      <c r="BE151" s="1792"/>
      <c r="BF151" s="1792"/>
      <c r="BG151" s="1793"/>
      <c r="BH151" s="1805"/>
      <c r="BI151" s="1180" t="s">
        <v>2012</v>
      </c>
      <c r="BJ151" s="1343" t="s">
        <v>1800</v>
      </c>
      <c r="BK151" s="1788"/>
      <c r="BL151" s="1134" t="s">
        <v>1721</v>
      </c>
      <c r="BM151" s="1795"/>
      <c r="BN151" s="1798"/>
      <c r="BO151" s="1801"/>
    </row>
    <row r="152" spans="57:67" x14ac:dyDescent="0.25">
      <c r="BE152" s="1792"/>
      <c r="BF152" s="1792"/>
      <c r="BG152" s="1793"/>
      <c r="BH152" s="1805"/>
      <c r="BI152" s="1180" t="s">
        <v>1733</v>
      </c>
      <c r="BJ152" s="1343" t="s">
        <v>1734</v>
      </c>
      <c r="BK152" s="1789">
        <v>0.4</v>
      </c>
      <c r="BL152" s="1790" t="s">
        <v>1721</v>
      </c>
      <c r="BM152" s="1795"/>
      <c r="BN152" s="1798"/>
      <c r="BO152" s="1801"/>
    </row>
    <row r="153" spans="57:67" x14ac:dyDescent="0.25">
      <c r="BE153" s="1792"/>
      <c r="BF153" s="1792"/>
      <c r="BG153" s="1793"/>
      <c r="BH153" s="1806"/>
      <c r="BI153" s="1181" t="s">
        <v>1738</v>
      </c>
      <c r="BJ153" s="1340" t="s">
        <v>2014</v>
      </c>
      <c r="BK153" s="1789"/>
      <c r="BL153" s="1790"/>
      <c r="BM153" s="1796"/>
      <c r="BN153" s="1799"/>
      <c r="BO153" s="1802"/>
    </row>
  </sheetData>
  <mergeCells count="596">
    <mergeCell ref="A1:I1"/>
    <mergeCell ref="R1:U1"/>
    <mergeCell ref="V1:AF1"/>
    <mergeCell ref="AG1:AQ1"/>
    <mergeCell ref="AR1:AS1"/>
    <mergeCell ref="BD1:BL1"/>
    <mergeCell ref="BZ3:CE3"/>
    <mergeCell ref="CG3:CL3"/>
    <mergeCell ref="CO3:CS4"/>
    <mergeCell ref="BE4:BO4"/>
    <mergeCell ref="BQ4:BX4"/>
    <mergeCell ref="BZ4:CE4"/>
    <mergeCell ref="CG4:CL4"/>
    <mergeCell ref="BN1:BT1"/>
    <mergeCell ref="BU1:CC1"/>
    <mergeCell ref="CD1:CE1"/>
    <mergeCell ref="CF1:CM1"/>
    <mergeCell ref="CO1:CP1"/>
    <mergeCell ref="A4:H4"/>
    <mergeCell ref="J4:R4"/>
    <mergeCell ref="T4:AB4"/>
    <mergeCell ref="AD4:AI4"/>
    <mergeCell ref="AK4:AR4"/>
    <mergeCell ref="AT4:BC4"/>
    <mergeCell ref="AT3:BC3"/>
    <mergeCell ref="BE3:BO3"/>
    <mergeCell ref="BQ3:BX3"/>
    <mergeCell ref="A3:H3"/>
    <mergeCell ref="J3:R3"/>
    <mergeCell ref="T3:AB3"/>
    <mergeCell ref="AD3:AI3"/>
    <mergeCell ref="AK3:AR3"/>
    <mergeCell ref="F6:F9"/>
    <mergeCell ref="H6:H9"/>
    <mergeCell ref="J6:J40"/>
    <mergeCell ref="K6:K20"/>
    <mergeCell ref="L6:L20"/>
    <mergeCell ref="M6:M10"/>
    <mergeCell ref="A11:H11"/>
    <mergeCell ref="M11:M15"/>
    <mergeCell ref="A15:A16"/>
    <mergeCell ref="A18:H18"/>
    <mergeCell ref="AV6:AV10"/>
    <mergeCell ref="AZ6:AZ10"/>
    <mergeCell ref="BA6:BA25"/>
    <mergeCell ref="BB6:BB25"/>
    <mergeCell ref="BC6:BC25"/>
    <mergeCell ref="AV16:AV20"/>
    <mergeCell ref="AP6:AP9"/>
    <mergeCell ref="AR6:AR9"/>
    <mergeCell ref="AT6:AT10"/>
    <mergeCell ref="CP6:CP8"/>
    <mergeCell ref="CR6:CR8"/>
    <mergeCell ref="CS6:CS8"/>
    <mergeCell ref="CI6:CI9"/>
    <mergeCell ref="CJ6:CJ9"/>
    <mergeCell ref="CK6:CK9"/>
    <mergeCell ref="BK9:BK10"/>
    <mergeCell ref="BL9:BL10"/>
    <mergeCell ref="CL6:CL9"/>
    <mergeCell ref="BR6:BR9"/>
    <mergeCell ref="BS6:BS9"/>
    <mergeCell ref="BT6:BT9"/>
    <mergeCell ref="BU6:BU9"/>
    <mergeCell ref="BE6:BE10"/>
    <mergeCell ref="BF6:BF15"/>
    <mergeCell ref="BG6:BG10"/>
    <mergeCell ref="BH6:BH10"/>
    <mergeCell ref="BK6:BK8"/>
    <mergeCell ref="BZ11:CE11"/>
    <mergeCell ref="CG11:CL11"/>
    <mergeCell ref="CO11:CS11"/>
    <mergeCell ref="AN7:AN9"/>
    <mergeCell ref="AQ7:AQ9"/>
    <mergeCell ref="AD8:AD9"/>
    <mergeCell ref="CD6:CD9"/>
    <mergeCell ref="CE6:CE9"/>
    <mergeCell ref="CH6:CH9"/>
    <mergeCell ref="CG8:CG9"/>
    <mergeCell ref="BV6:BV9"/>
    <mergeCell ref="BW6:BW9"/>
    <mergeCell ref="BX6:BX9"/>
    <mergeCell ref="CA6:CA9"/>
    <mergeCell ref="CB6:CB9"/>
    <mergeCell ref="CC6:CC9"/>
    <mergeCell ref="BN6:BN35"/>
    <mergeCell ref="BO6:BO35"/>
    <mergeCell ref="AE8:AE9"/>
    <mergeCell ref="AF8:AF9"/>
    <mergeCell ref="AK8:AK9"/>
    <mergeCell ref="AM8:AM9"/>
    <mergeCell ref="BQ8:BQ9"/>
    <mergeCell ref="BZ8:BZ9"/>
    <mergeCell ref="AH6:AH9"/>
    <mergeCell ref="AI6:AI9"/>
    <mergeCell ref="AO6:AO9"/>
    <mergeCell ref="CS13:CS16"/>
    <mergeCell ref="CK13:CK16"/>
    <mergeCell ref="CL13:CL16"/>
    <mergeCell ref="CO13:CO16"/>
    <mergeCell ref="CP13:CP16"/>
    <mergeCell ref="CQ13:CQ16"/>
    <mergeCell ref="CR13:CR16"/>
    <mergeCell ref="CC13:CC16"/>
    <mergeCell ref="CD13:CD16"/>
    <mergeCell ref="CE13:CE16"/>
    <mergeCell ref="CH13:CH16"/>
    <mergeCell ref="CI13:CI16"/>
    <mergeCell ref="CJ13:CJ16"/>
    <mergeCell ref="BZ15:BZ16"/>
    <mergeCell ref="CG15:CG16"/>
    <mergeCell ref="AD11:AI11"/>
    <mergeCell ref="AK11:AR11"/>
    <mergeCell ref="T14:AB14"/>
    <mergeCell ref="AG14:AG16"/>
    <mergeCell ref="AD15:AD16"/>
    <mergeCell ref="AE15:AE16"/>
    <mergeCell ref="AF15:AF16"/>
    <mergeCell ref="BU13:BU16"/>
    <mergeCell ref="BV13:BV16"/>
    <mergeCell ref="AT16:AT25"/>
    <mergeCell ref="AU16:AU20"/>
    <mergeCell ref="CA13:CA16"/>
    <mergeCell ref="CB13:CB16"/>
    <mergeCell ref="BQ18:BW18"/>
    <mergeCell ref="BK19:BK20"/>
    <mergeCell ref="BL19:BL20"/>
    <mergeCell ref="BE16:BE35"/>
    <mergeCell ref="BF16:BF25"/>
    <mergeCell ref="BG16:BG20"/>
    <mergeCell ref="BH16:BH20"/>
    <mergeCell ref="BK16:BK18"/>
    <mergeCell ref="U17:U19"/>
    <mergeCell ref="M16:M20"/>
    <mergeCell ref="V16:V21"/>
    <mergeCell ref="Z16:Z21"/>
    <mergeCell ref="AA16:AA21"/>
    <mergeCell ref="AB16:AB21"/>
    <mergeCell ref="AD18:AI18"/>
    <mergeCell ref="BW13:BW16"/>
    <mergeCell ref="BX13:BX16"/>
    <mergeCell ref="AK18:AR18"/>
    <mergeCell ref="AN20:AN23"/>
    <mergeCell ref="BM6:BM35"/>
    <mergeCell ref="BE11:BE15"/>
    <mergeCell ref="BG11:BG15"/>
    <mergeCell ref="BH11:BH15"/>
    <mergeCell ref="BK11:BK13"/>
    <mergeCell ref="AU6:AU10"/>
    <mergeCell ref="T7:T10"/>
    <mergeCell ref="U7:U9"/>
    <mergeCell ref="AG7:AG9"/>
    <mergeCell ref="BT13:BT16"/>
    <mergeCell ref="AN14:AN16"/>
    <mergeCell ref="AQ14:AQ16"/>
    <mergeCell ref="BK14:BK15"/>
    <mergeCell ref="BL14:BL15"/>
    <mergeCell ref="D13:D16"/>
    <mergeCell ref="F13:F16"/>
    <mergeCell ref="H13:H16"/>
    <mergeCell ref="T13:AB13"/>
    <mergeCell ref="AH13:AH16"/>
    <mergeCell ref="AI13:AI16"/>
    <mergeCell ref="AM13:AM14"/>
    <mergeCell ref="D20:D23"/>
    <mergeCell ref="F20:F23"/>
    <mergeCell ref="H20:H23"/>
    <mergeCell ref="T23:AB23"/>
    <mergeCell ref="N6:N20"/>
    <mergeCell ref="R6:R20"/>
    <mergeCell ref="V6:V11"/>
    <mergeCell ref="Z6:Z11"/>
    <mergeCell ref="AA6:AA11"/>
    <mergeCell ref="AB6:AB11"/>
    <mergeCell ref="U10:U11"/>
    <mergeCell ref="Y10:Y11"/>
    <mergeCell ref="U20:U21"/>
    <mergeCell ref="Y20:Y21"/>
    <mergeCell ref="AH20:AH23"/>
    <mergeCell ref="AI20:AI23"/>
    <mergeCell ref="T17:T20"/>
    <mergeCell ref="BQ15:BQ16"/>
    <mergeCell ref="AG21:AG23"/>
    <mergeCell ref="AO20:AO23"/>
    <mergeCell ref="AP20:AP23"/>
    <mergeCell ref="AR20:AR23"/>
    <mergeCell ref="BR20:BR23"/>
    <mergeCell ref="BS20:BS23"/>
    <mergeCell ref="BT20:BT23"/>
    <mergeCell ref="AQ21:AQ23"/>
    <mergeCell ref="AU21:AU25"/>
    <mergeCell ref="AV21:AV25"/>
    <mergeCell ref="BG21:BG25"/>
    <mergeCell ref="BQ22:BQ23"/>
    <mergeCell ref="AT11:AT15"/>
    <mergeCell ref="AU11:AU15"/>
    <mergeCell ref="AV11:AV15"/>
    <mergeCell ref="AZ11:AZ25"/>
    <mergeCell ref="AO13:AO16"/>
    <mergeCell ref="AP13:AP16"/>
    <mergeCell ref="AR13:AR16"/>
    <mergeCell ref="AK15:AK16"/>
    <mergeCell ref="BQ11:BX11"/>
    <mergeCell ref="BR13:BR16"/>
    <mergeCell ref="BS13:BS16"/>
    <mergeCell ref="T24:AB24"/>
    <mergeCell ref="BK24:BK25"/>
    <mergeCell ref="BL24:BL25"/>
    <mergeCell ref="A25:H25"/>
    <mergeCell ref="AD25:AI25"/>
    <mergeCell ref="AK25:AR25"/>
    <mergeCell ref="BQ25:BX25"/>
    <mergeCell ref="BH21:BH25"/>
    <mergeCell ref="BK21:BK23"/>
    <mergeCell ref="AD22:AD23"/>
    <mergeCell ref="AE22:AE23"/>
    <mergeCell ref="AF22:AF23"/>
    <mergeCell ref="AK22:AK23"/>
    <mergeCell ref="BU20:BU23"/>
    <mergeCell ref="BV20:BV23"/>
    <mergeCell ref="BW20:BW23"/>
    <mergeCell ref="BX20:BX23"/>
    <mergeCell ref="K21:K30"/>
    <mergeCell ref="L21:L30"/>
    <mergeCell ref="M21:M25"/>
    <mergeCell ref="N21:N30"/>
    <mergeCell ref="R21:R30"/>
    <mergeCell ref="F27:F30"/>
    <mergeCell ref="H27:H30"/>
    <mergeCell ref="A29:A30"/>
    <mergeCell ref="AD29:AD30"/>
    <mergeCell ref="AE29:AE30"/>
    <mergeCell ref="AF29:AF30"/>
    <mergeCell ref="AK29:AK30"/>
    <mergeCell ref="T30:AB30"/>
    <mergeCell ref="BS27:BS30"/>
    <mergeCell ref="BT27:BT30"/>
    <mergeCell ref="BU27:BU30"/>
    <mergeCell ref="AN27:AN30"/>
    <mergeCell ref="AO27:AO30"/>
    <mergeCell ref="AP27:AP30"/>
    <mergeCell ref="AR27:AR30"/>
    <mergeCell ref="AT27:BC27"/>
    <mergeCell ref="BR27:BR30"/>
    <mergeCell ref="AT29:AT33"/>
    <mergeCell ref="AU29:AU33"/>
    <mergeCell ref="AV29:AV33"/>
    <mergeCell ref="AZ29:AZ33"/>
    <mergeCell ref="BF26:BF35"/>
    <mergeCell ref="BG26:BG30"/>
    <mergeCell ref="BH26:BH30"/>
    <mergeCell ref="BK26:BK28"/>
    <mergeCell ref="D27:D30"/>
    <mergeCell ref="L31:L35"/>
    <mergeCell ref="M31:M35"/>
    <mergeCell ref="N31:N35"/>
    <mergeCell ref="R31:R40"/>
    <mergeCell ref="T31:AB31"/>
    <mergeCell ref="T37:AB37"/>
    <mergeCell ref="T38:AB38"/>
    <mergeCell ref="BA29:BA48"/>
    <mergeCell ref="BB29:BB48"/>
    <mergeCell ref="AG28:AG30"/>
    <mergeCell ref="AQ28:AQ30"/>
    <mergeCell ref="AK32:AR32"/>
    <mergeCell ref="T47:AB47"/>
    <mergeCell ref="Y27:Y28"/>
    <mergeCell ref="AH27:AH30"/>
    <mergeCell ref="AI27:AI30"/>
    <mergeCell ref="M26:M30"/>
    <mergeCell ref="W26:W28"/>
    <mergeCell ref="X26:X28"/>
    <mergeCell ref="Z26:Z28"/>
    <mergeCell ref="AA26:AA28"/>
    <mergeCell ref="AB26:AB28"/>
    <mergeCell ref="AT39:AT48"/>
    <mergeCell ref="AU39:AU43"/>
    <mergeCell ref="BH31:BH35"/>
    <mergeCell ref="BK31:BK33"/>
    <mergeCell ref="BK34:BK35"/>
    <mergeCell ref="BV27:BV30"/>
    <mergeCell ref="BW27:BW30"/>
    <mergeCell ref="BX27:BX30"/>
    <mergeCell ref="BW34:BW37"/>
    <mergeCell ref="BX34:BX37"/>
    <mergeCell ref="AN35:AN37"/>
    <mergeCell ref="AQ35:AQ37"/>
    <mergeCell ref="BT34:BT37"/>
    <mergeCell ref="BU34:BU37"/>
    <mergeCell ref="BV34:BV37"/>
    <mergeCell ref="BE37:BO37"/>
    <mergeCell ref="AP34:AP37"/>
    <mergeCell ref="AR34:AR37"/>
    <mergeCell ref="AT34:AT38"/>
    <mergeCell ref="AU34:AU38"/>
    <mergeCell ref="AV34:AV38"/>
    <mergeCell ref="AZ34:AZ48"/>
    <mergeCell ref="BS41:BS44"/>
    <mergeCell ref="BT41:BT44"/>
    <mergeCell ref="BQ38:BX38"/>
    <mergeCell ref="AK39:AR39"/>
    <mergeCell ref="K36:K40"/>
    <mergeCell ref="L36:L40"/>
    <mergeCell ref="M36:M40"/>
    <mergeCell ref="N36:N40"/>
    <mergeCell ref="AK36:AK37"/>
    <mergeCell ref="BQ36:BQ37"/>
    <mergeCell ref="BL34:BL35"/>
    <mergeCell ref="BR34:BR37"/>
    <mergeCell ref="BS34:BS37"/>
    <mergeCell ref="K31:K35"/>
    <mergeCell ref="BQ32:BX32"/>
    <mergeCell ref="W33:W35"/>
    <mergeCell ref="X33:X35"/>
    <mergeCell ref="Z33:Z35"/>
    <mergeCell ref="AA33:AA35"/>
    <mergeCell ref="AB33:AB35"/>
    <mergeCell ref="AD33:AF33"/>
    <mergeCell ref="Y34:Y35"/>
    <mergeCell ref="AO34:AO37"/>
    <mergeCell ref="BC29:BC48"/>
    <mergeCell ref="BK29:BK30"/>
    <mergeCell ref="BL29:BL30"/>
    <mergeCell ref="BQ29:BQ30"/>
    <mergeCell ref="BG31:BG35"/>
    <mergeCell ref="AV39:AV43"/>
    <mergeCell ref="BE39:BE43"/>
    <mergeCell ref="BF39:BF48"/>
    <mergeCell ref="BG39:BG43"/>
    <mergeCell ref="BH39:BH43"/>
    <mergeCell ref="BK39:BK41"/>
    <mergeCell ref="BU41:BU44"/>
    <mergeCell ref="BV41:BV44"/>
    <mergeCell ref="BW41:BW44"/>
    <mergeCell ref="BL47:BL48"/>
    <mergeCell ref="BX41:BX44"/>
    <mergeCell ref="J42:R42"/>
    <mergeCell ref="AN42:AN44"/>
    <mergeCell ref="AQ42:AQ44"/>
    <mergeCell ref="BK42:BK43"/>
    <mergeCell ref="BL42:BL43"/>
    <mergeCell ref="AK43:AK44"/>
    <mergeCell ref="T41:T44"/>
    <mergeCell ref="U41:U45"/>
    <mergeCell ref="AO41:AO44"/>
    <mergeCell ref="AP41:AP44"/>
    <mergeCell ref="AR41:AR44"/>
    <mergeCell ref="BR41:BR44"/>
    <mergeCell ref="BQ43:BQ44"/>
    <mergeCell ref="AV44:AV48"/>
    <mergeCell ref="BE44:BE48"/>
    <mergeCell ref="BG44:BG48"/>
    <mergeCell ref="BM39:BM68"/>
    <mergeCell ref="BN39:BN68"/>
    <mergeCell ref="BO39:BO68"/>
    <mergeCell ref="BQ39:BX39"/>
    <mergeCell ref="BH44:BH48"/>
    <mergeCell ref="BK44:BK46"/>
    <mergeCell ref="BK47:BK48"/>
    <mergeCell ref="T48:AB48"/>
    <mergeCell ref="N44:N47"/>
    <mergeCell ref="O44:O47"/>
    <mergeCell ref="P44:P47"/>
    <mergeCell ref="R44:R47"/>
    <mergeCell ref="Y44:Y45"/>
    <mergeCell ref="AU44:AU48"/>
    <mergeCell ref="V40:V45"/>
    <mergeCell ref="Z40:Z45"/>
    <mergeCell ref="AA40:AA45"/>
    <mergeCell ref="AB40:AB45"/>
    <mergeCell ref="J50:R50"/>
    <mergeCell ref="V50:V55"/>
    <mergeCell ref="Z50:Z55"/>
    <mergeCell ref="AA50:AA55"/>
    <mergeCell ref="AB50:AB55"/>
    <mergeCell ref="K62:K66"/>
    <mergeCell ref="L62:L66"/>
    <mergeCell ref="M62:M66"/>
    <mergeCell ref="BB59:BB62"/>
    <mergeCell ref="T51:T54"/>
    <mergeCell ref="U51:U55"/>
    <mergeCell ref="J52:J71"/>
    <mergeCell ref="K52:K56"/>
    <mergeCell ref="L52:L56"/>
    <mergeCell ref="M52:M56"/>
    <mergeCell ref="N52:N71"/>
    <mergeCell ref="R52:R71"/>
    <mergeCell ref="AW52:AW55"/>
    <mergeCell ref="K57:K61"/>
    <mergeCell ref="L57:L61"/>
    <mergeCell ref="M57:M61"/>
    <mergeCell ref="AW59:AW62"/>
    <mergeCell ref="AX59:AX62"/>
    <mergeCell ref="AY59:AY62"/>
    <mergeCell ref="BL52:BL53"/>
    <mergeCell ref="AZ53:AZ55"/>
    <mergeCell ref="Y54:Y55"/>
    <mergeCell ref="AT54:AT55"/>
    <mergeCell ref="AV54:AV55"/>
    <mergeCell ref="BG54:BG58"/>
    <mergeCell ref="BH54:BH58"/>
    <mergeCell ref="BK54:BK56"/>
    <mergeCell ref="AX52:AX55"/>
    <mergeCell ref="AY52:AY55"/>
    <mergeCell ref="BA52:BA55"/>
    <mergeCell ref="BB52:BB55"/>
    <mergeCell ref="BC52:BC55"/>
    <mergeCell ref="BK52:BK53"/>
    <mergeCell ref="BE49:BE68"/>
    <mergeCell ref="BF49:BF58"/>
    <mergeCell ref="BG49:BG53"/>
    <mergeCell ref="BH49:BH53"/>
    <mergeCell ref="BK49:BK51"/>
    <mergeCell ref="AT50:BC50"/>
    <mergeCell ref="BC59:BC62"/>
    <mergeCell ref="AT57:BC57"/>
    <mergeCell ref="BK57:BK58"/>
    <mergeCell ref="BL57:BL58"/>
    <mergeCell ref="BA59:BA62"/>
    <mergeCell ref="BL62:BL63"/>
    <mergeCell ref="AT64:BC64"/>
    <mergeCell ref="BG64:BG68"/>
    <mergeCell ref="BH64:BH68"/>
    <mergeCell ref="BK64:BK66"/>
    <mergeCell ref="AT66:AT70"/>
    <mergeCell ref="AU66:AU70"/>
    <mergeCell ref="AV66:AV70"/>
    <mergeCell ref="AZ66:AZ70"/>
    <mergeCell ref="BA66:BA80"/>
    <mergeCell ref="AZ60:AZ62"/>
    <mergeCell ref="AT61:AT62"/>
    <mergeCell ref="AV61:AV62"/>
    <mergeCell ref="BL72:BL77"/>
    <mergeCell ref="BF59:BF68"/>
    <mergeCell ref="BG59:BG63"/>
    <mergeCell ref="BH59:BH63"/>
    <mergeCell ref="BK59:BK61"/>
    <mergeCell ref="BK62:BK63"/>
    <mergeCell ref="BB66:BB80"/>
    <mergeCell ref="BC66:BC80"/>
    <mergeCell ref="BF72:BF73"/>
    <mergeCell ref="K67:K71"/>
    <mergeCell ref="L67:L71"/>
    <mergeCell ref="M67:M71"/>
    <mergeCell ref="BK67:BK68"/>
    <mergeCell ref="BL67:BL68"/>
    <mergeCell ref="BE70:BO70"/>
    <mergeCell ref="AT71:AT75"/>
    <mergeCell ref="AU71:AU75"/>
    <mergeCell ref="AV71:AV75"/>
    <mergeCell ref="AZ71:AZ80"/>
    <mergeCell ref="BH74:BH75"/>
    <mergeCell ref="BK74:BK75"/>
    <mergeCell ref="BI72:BI77"/>
    <mergeCell ref="BJ72:BJ77"/>
    <mergeCell ref="BK72:BK73"/>
    <mergeCell ref="BH76:BH77"/>
    <mergeCell ref="BK76:BK77"/>
    <mergeCell ref="BE79:BO79"/>
    <mergeCell ref="K80:K84"/>
    <mergeCell ref="L80:L84"/>
    <mergeCell ref="BF81:BF82"/>
    <mergeCell ref="BI81:BI86"/>
    <mergeCell ref="BJ81:BJ86"/>
    <mergeCell ref="BK81:BK82"/>
    <mergeCell ref="BL81:BL86"/>
    <mergeCell ref="N75:N94"/>
    <mergeCell ref="R75:R94"/>
    <mergeCell ref="AT76:AT80"/>
    <mergeCell ref="AU76:AU80"/>
    <mergeCell ref="AV76:AV80"/>
    <mergeCell ref="BF76:BF77"/>
    <mergeCell ref="AV84:AV98"/>
    <mergeCell ref="BM72:BM77"/>
    <mergeCell ref="BK90:BK92"/>
    <mergeCell ref="BM90:BM119"/>
    <mergeCell ref="BK115:BK117"/>
    <mergeCell ref="BK108:BK109"/>
    <mergeCell ref="BL108:BL109"/>
    <mergeCell ref="BK100:BK102"/>
    <mergeCell ref="BH110:BH114"/>
    <mergeCell ref="BK110:BK112"/>
    <mergeCell ref="BK113:BK114"/>
    <mergeCell ref="BL113:BL114"/>
    <mergeCell ref="BN72:BN77"/>
    <mergeCell ref="BO72:BO77"/>
    <mergeCell ref="J73:R73"/>
    <mergeCell ref="BE74:BE77"/>
    <mergeCell ref="BF74:BF75"/>
    <mergeCell ref="BK85:BK86"/>
    <mergeCell ref="AT86:AT91"/>
    <mergeCell ref="BC86:BC98"/>
    <mergeCell ref="BE88:BO88"/>
    <mergeCell ref="AU89:AU93"/>
    <mergeCell ref="AZ89:AZ98"/>
    <mergeCell ref="BM81:BM86"/>
    <mergeCell ref="BN81:BN86"/>
    <mergeCell ref="BO81:BO86"/>
    <mergeCell ref="AT82:BC82"/>
    <mergeCell ref="BE83:BE86"/>
    <mergeCell ref="BF83:BF84"/>
    <mergeCell ref="BH83:BH84"/>
    <mergeCell ref="BK83:BK84"/>
    <mergeCell ref="AT84:AT85"/>
    <mergeCell ref="AU84:AU88"/>
    <mergeCell ref="K90:K94"/>
    <mergeCell ref="J75:J94"/>
    <mergeCell ref="K75:K79"/>
    <mergeCell ref="B114:I114"/>
    <mergeCell ref="BG115:BG119"/>
    <mergeCell ref="BH115:BH119"/>
    <mergeCell ref="L75:L79"/>
    <mergeCell ref="L90:L94"/>
    <mergeCell ref="BE90:BE94"/>
    <mergeCell ref="BF90:BF99"/>
    <mergeCell ref="BG90:BG94"/>
    <mergeCell ref="BH90:BH94"/>
    <mergeCell ref="BH95:BH99"/>
    <mergeCell ref="K85:K89"/>
    <mergeCell ref="L85:L89"/>
    <mergeCell ref="BF85:BF86"/>
    <mergeCell ref="BH85:BH86"/>
    <mergeCell ref="AZ84:AZ88"/>
    <mergeCell ref="BA84:BA98"/>
    <mergeCell ref="BB84:BB98"/>
    <mergeCell ref="M75:M94"/>
    <mergeCell ref="BE100:BE119"/>
    <mergeCell ref="BF100:BF109"/>
    <mergeCell ref="BG100:BG104"/>
    <mergeCell ref="BH100:BH104"/>
    <mergeCell ref="BF110:BF119"/>
    <mergeCell ref="BG110:BG114"/>
    <mergeCell ref="B116:I116"/>
    <mergeCell ref="BK118:BK119"/>
    <mergeCell ref="BL118:BL119"/>
    <mergeCell ref="B119:I119"/>
    <mergeCell ref="BE122:BO122"/>
    <mergeCell ref="BN90:BN119"/>
    <mergeCell ref="BO90:BO119"/>
    <mergeCell ref="AT92:AT98"/>
    <mergeCell ref="BK93:BK94"/>
    <mergeCell ref="BL93:BL94"/>
    <mergeCell ref="AU94:AU98"/>
    <mergeCell ref="BE95:BE99"/>
    <mergeCell ref="BG95:BG99"/>
    <mergeCell ref="BK95:BK97"/>
    <mergeCell ref="BK98:BK99"/>
    <mergeCell ref="BL98:BL99"/>
    <mergeCell ref="B103:I103"/>
    <mergeCell ref="BK103:BK104"/>
    <mergeCell ref="BL103:BL104"/>
    <mergeCell ref="BG105:BG109"/>
    <mergeCell ref="BH105:BH109"/>
    <mergeCell ref="BK105:BK107"/>
    <mergeCell ref="B106:I106"/>
    <mergeCell ref="B108:I108"/>
    <mergeCell ref="BM124:BM153"/>
    <mergeCell ref="BN124:BN153"/>
    <mergeCell ref="BO124:BO153"/>
    <mergeCell ref="BK127:BK128"/>
    <mergeCell ref="BL127:BL128"/>
    <mergeCell ref="BE129:BE133"/>
    <mergeCell ref="BG129:BG133"/>
    <mergeCell ref="BH129:BH133"/>
    <mergeCell ref="BK129:BK131"/>
    <mergeCell ref="BK132:BK133"/>
    <mergeCell ref="BL132:BL133"/>
    <mergeCell ref="BE134:BE153"/>
    <mergeCell ref="BF134:BF143"/>
    <mergeCell ref="BG134:BG138"/>
    <mergeCell ref="BH134:BH138"/>
    <mergeCell ref="BK134:BK136"/>
    <mergeCell ref="BK137:BK138"/>
    <mergeCell ref="BF144:BF153"/>
    <mergeCell ref="BG149:BG153"/>
    <mergeCell ref="BH149:BH153"/>
    <mergeCell ref="BK149:BK151"/>
    <mergeCell ref="BK152:BK153"/>
    <mergeCell ref="BL152:BL153"/>
    <mergeCell ref="BG144:BG148"/>
    <mergeCell ref="BH144:BH148"/>
    <mergeCell ref="BK144:BK146"/>
    <mergeCell ref="BK147:BK148"/>
    <mergeCell ref="BL147:BL148"/>
    <mergeCell ref="A123:C123"/>
    <mergeCell ref="BE124:BE128"/>
    <mergeCell ref="BF124:BF133"/>
    <mergeCell ref="BG124:BG128"/>
    <mergeCell ref="BH124:BH128"/>
    <mergeCell ref="BK124:BK126"/>
    <mergeCell ref="BL137:BL138"/>
    <mergeCell ref="BG139:BG143"/>
    <mergeCell ref="BH139:BH143"/>
    <mergeCell ref="BK139:BK141"/>
    <mergeCell ref="BK142:BK143"/>
    <mergeCell ref="BL142:BL143"/>
  </mergeCells>
  <pageMargins left="0.7" right="0.7" top="0.75" bottom="0.75" header="0.3" footer="0.3"/>
  <pageSetup orientation="landscape"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6"/>
  <dimension ref="A1"/>
  <sheetViews>
    <sheetView workbookViewId="0"/>
  </sheetViews>
  <sheetFormatPr baseColWidth="10" defaultRowHeight="15"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dimension ref="B1:F33"/>
  <sheetViews>
    <sheetView showGridLines="0" workbookViewId="0">
      <selection activeCell="P2" sqref="P2"/>
    </sheetView>
  </sheetViews>
  <sheetFormatPr baseColWidth="10" defaultRowHeight="15" x14ac:dyDescent="0.25"/>
  <cols>
    <col min="1" max="1" width="3.5703125" customWidth="1"/>
    <col min="2" max="2" width="17.7109375" style="1123" customWidth="1"/>
    <col min="3" max="3" width="19" style="1123" customWidth="1"/>
    <col min="4" max="4" width="21" style="1288" customWidth="1"/>
  </cols>
  <sheetData>
    <row r="1" spans="2:6" x14ac:dyDescent="0.25">
      <c r="B1" s="2005" t="s">
        <v>2219</v>
      </c>
      <c r="C1" s="2005"/>
      <c r="D1" s="2005"/>
      <c r="E1" s="2005"/>
      <c r="F1" s="2005"/>
    </row>
    <row r="2" spans="2:6" x14ac:dyDescent="0.25">
      <c r="B2" s="2006" t="s">
        <v>2477</v>
      </c>
      <c r="C2" s="2006"/>
      <c r="D2" s="2006"/>
      <c r="E2" s="2006"/>
      <c r="F2" s="2006"/>
    </row>
    <row r="3" spans="2:6" x14ac:dyDescent="0.25">
      <c r="B3" s="2006"/>
      <c r="C3" s="2006"/>
      <c r="D3" s="2006"/>
      <c r="E3" s="2006"/>
      <c r="F3" s="2006"/>
    </row>
    <row r="4" spans="2:6" x14ac:dyDescent="0.25">
      <c r="B4" s="876" t="s">
        <v>2220</v>
      </c>
      <c r="C4" s="1380"/>
      <c r="D4" s="1380"/>
      <c r="E4" s="1380"/>
      <c r="F4" s="1380"/>
    </row>
    <row r="5" spans="2:6" ht="18.75" x14ac:dyDescent="0.3">
      <c r="B5" s="1285" t="s">
        <v>2221</v>
      </c>
      <c r="C5"/>
      <c r="D5"/>
    </row>
    <row r="6" spans="2:6" ht="40.5" customHeight="1" x14ac:dyDescent="0.25">
      <c r="B6" s="1286" t="s">
        <v>2222</v>
      </c>
      <c r="C6" s="1286" t="s">
        <v>2223</v>
      </c>
      <c r="D6" s="1177" t="s">
        <v>2224</v>
      </c>
    </row>
    <row r="7" spans="2:6" x14ac:dyDescent="0.25">
      <c r="B7" s="1158" t="s">
        <v>2225</v>
      </c>
      <c r="C7" s="1287">
        <v>1</v>
      </c>
      <c r="D7" s="1287">
        <v>1</v>
      </c>
    </row>
    <row r="8" spans="2:6" ht="45" x14ac:dyDescent="0.25">
      <c r="B8" s="1158" t="s">
        <v>2226</v>
      </c>
      <c r="C8" s="1379">
        <v>1</v>
      </c>
      <c r="D8" s="1379">
        <v>1</v>
      </c>
    </row>
    <row r="9" spans="2:6" x14ac:dyDescent="0.25">
      <c r="B9" s="1158" t="s">
        <v>2227</v>
      </c>
      <c r="C9" s="1287">
        <v>0.5</v>
      </c>
      <c r="D9" s="1287">
        <v>0.5</v>
      </c>
    </row>
    <row r="10" spans="2:6" ht="44.25" customHeight="1" x14ac:dyDescent="0.25">
      <c r="B10" s="2007" t="s">
        <v>2478</v>
      </c>
      <c r="C10" s="2007"/>
      <c r="D10" s="2007"/>
    </row>
    <row r="11" spans="2:6" x14ac:dyDescent="0.25">
      <c r="B11" s="1288"/>
      <c r="C11" s="1288"/>
    </row>
    <row r="12" spans="2:6" x14ac:dyDescent="0.25">
      <c r="B12" s="1288"/>
      <c r="C12" s="1288"/>
    </row>
    <row r="13" spans="2:6" x14ac:dyDescent="0.25">
      <c r="B13" s="1288"/>
      <c r="C13" s="1288"/>
    </row>
    <row r="19" spans="2:4" ht="18.75" x14ac:dyDescent="0.3">
      <c r="B19" s="1289" t="s">
        <v>66</v>
      </c>
    </row>
    <row r="20" spans="2:4" ht="31.5" x14ac:dyDescent="0.25">
      <c r="B20" s="1290" t="s">
        <v>2228</v>
      </c>
      <c r="C20" s="1291" t="s">
        <v>2229</v>
      </c>
      <c r="D20" s="1290" t="s">
        <v>2230</v>
      </c>
    </row>
    <row r="21" spans="2:4" x14ac:dyDescent="0.25">
      <c r="B21" s="1998" t="s">
        <v>2231</v>
      </c>
      <c r="C21" s="1998"/>
      <c r="D21" s="1998"/>
    </row>
    <row r="22" spans="2:4" ht="30" x14ac:dyDescent="0.25">
      <c r="B22" s="1158" t="s">
        <v>2232</v>
      </c>
      <c r="C22" s="1138">
        <v>0</v>
      </c>
      <c r="D22" s="1292">
        <v>0</v>
      </c>
    </row>
    <row r="23" spans="2:4" ht="30" x14ac:dyDescent="0.25">
      <c r="B23" s="1158" t="s">
        <v>2233</v>
      </c>
      <c r="C23" s="1138">
        <v>1.4999999999999999E-2</v>
      </c>
      <c r="D23" s="1158" t="s">
        <v>2234</v>
      </c>
    </row>
    <row r="24" spans="2:4" x14ac:dyDescent="0.25">
      <c r="B24" s="1999" t="s">
        <v>2235</v>
      </c>
      <c r="C24" s="2000"/>
      <c r="D24" s="2001"/>
    </row>
    <row r="25" spans="2:4" ht="30" x14ac:dyDescent="0.25">
      <c r="B25" s="1158" t="s">
        <v>2236</v>
      </c>
      <c r="C25" s="1135" t="s">
        <v>2486</v>
      </c>
      <c r="D25" s="1158" t="s">
        <v>2484</v>
      </c>
    </row>
    <row r="26" spans="2:4" ht="30" x14ac:dyDescent="0.25">
      <c r="B26" s="1158" t="s">
        <v>2237</v>
      </c>
      <c r="C26" s="1135" t="s">
        <v>2485</v>
      </c>
      <c r="D26" s="1158" t="s">
        <v>2484</v>
      </c>
    </row>
    <row r="27" spans="2:4" ht="30" x14ac:dyDescent="0.25">
      <c r="B27" s="1158" t="s">
        <v>2238</v>
      </c>
      <c r="C27" s="1138">
        <v>0.06</v>
      </c>
      <c r="D27" s="1292">
        <v>5.7500000000000002E-2</v>
      </c>
    </row>
    <row r="28" spans="2:4" ht="30" x14ac:dyDescent="0.25">
      <c r="B28" s="1158" t="s">
        <v>2239</v>
      </c>
      <c r="C28" s="1138">
        <v>0.06</v>
      </c>
      <c r="D28" s="1292">
        <v>5.7500000000000002E-2</v>
      </c>
    </row>
    <row r="29" spans="2:4" ht="31.5" customHeight="1" x14ac:dyDescent="0.25">
      <c r="B29" s="2008" t="s">
        <v>2479</v>
      </c>
      <c r="C29" s="2009"/>
      <c r="D29" s="2010"/>
    </row>
    <row r="30" spans="2:4" x14ac:dyDescent="0.25">
      <c r="B30" s="2002" t="s">
        <v>2240</v>
      </c>
      <c r="C30" s="2003"/>
      <c r="D30" s="2004"/>
    </row>
    <row r="31" spans="2:4" x14ac:dyDescent="0.25">
      <c r="B31" s="2002" t="s">
        <v>2241</v>
      </c>
      <c r="C31" s="2003"/>
      <c r="D31" s="2004"/>
    </row>
    <row r="33" spans="3:4" customFormat="1" x14ac:dyDescent="0.25">
      <c r="C33" s="876"/>
      <c r="D33" s="876"/>
    </row>
  </sheetData>
  <mergeCells count="8">
    <mergeCell ref="B21:D21"/>
    <mergeCell ref="B24:D24"/>
    <mergeCell ref="B30:D30"/>
    <mergeCell ref="B31:D31"/>
    <mergeCell ref="B1:F1"/>
    <mergeCell ref="B2:F3"/>
    <mergeCell ref="B10:D10"/>
    <mergeCell ref="B29:D29"/>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3"/>
  <dimension ref="A1:HD62"/>
  <sheetViews>
    <sheetView workbookViewId="0">
      <selection activeCell="B2" sqref="B2"/>
    </sheetView>
  </sheetViews>
  <sheetFormatPr baseColWidth="10" defaultRowHeight="15" x14ac:dyDescent="0.25"/>
  <cols>
    <col min="1" max="1" width="5.7109375" style="204" customWidth="1"/>
    <col min="2" max="2" width="57.7109375" style="204" customWidth="1"/>
    <col min="3" max="3" width="0.85546875" style="204" customWidth="1"/>
    <col min="4" max="4" width="5.7109375" style="204" customWidth="1"/>
    <col min="5" max="5" width="0.85546875" style="204" customWidth="1"/>
    <col min="6" max="6" width="5.7109375" style="204" customWidth="1"/>
    <col min="7" max="7" width="0.85546875" style="204" customWidth="1"/>
    <col min="8" max="8" width="5.7109375" style="204" customWidth="1"/>
    <col min="9" max="9" width="0.85546875" style="204" customWidth="1"/>
    <col min="10" max="10" width="6" style="204" customWidth="1"/>
    <col min="11" max="11" width="0.85546875" style="204" customWidth="1"/>
    <col min="12" max="12" width="42.5703125" style="204" customWidth="1"/>
    <col min="13" max="256" width="11.42578125" style="204"/>
    <col min="257" max="257" width="4.28515625" style="204" customWidth="1"/>
    <col min="258" max="258" width="50.7109375" style="204" customWidth="1"/>
    <col min="259" max="259" width="0.85546875" style="204" customWidth="1"/>
    <col min="260" max="260" width="5.7109375" style="204" customWidth="1"/>
    <col min="261" max="261" width="0.85546875" style="204" customWidth="1"/>
    <col min="262" max="262" width="5.7109375" style="204" customWidth="1"/>
    <col min="263" max="263" width="0.85546875" style="204" customWidth="1"/>
    <col min="264" max="264" width="5.7109375" style="204" customWidth="1"/>
    <col min="265" max="265" width="0.85546875" style="204" customWidth="1"/>
    <col min="266" max="266" width="5.7109375" style="204" customWidth="1"/>
    <col min="267" max="267" width="0.85546875" style="204" customWidth="1"/>
    <col min="268" max="268" width="45.7109375" style="204" customWidth="1"/>
    <col min="269" max="512" width="11.42578125" style="204"/>
    <col min="513" max="513" width="4.28515625" style="204" customWidth="1"/>
    <col min="514" max="514" width="50.7109375" style="204" customWidth="1"/>
    <col min="515" max="515" width="0.85546875" style="204" customWidth="1"/>
    <col min="516" max="516" width="5.7109375" style="204" customWidth="1"/>
    <col min="517" max="517" width="0.85546875" style="204" customWidth="1"/>
    <col min="518" max="518" width="5.7109375" style="204" customWidth="1"/>
    <col min="519" max="519" width="0.85546875" style="204" customWidth="1"/>
    <col min="520" max="520" width="5.7109375" style="204" customWidth="1"/>
    <col min="521" max="521" width="0.85546875" style="204" customWidth="1"/>
    <col min="522" max="522" width="5.7109375" style="204" customWidth="1"/>
    <col min="523" max="523" width="0.85546875" style="204" customWidth="1"/>
    <col min="524" max="524" width="45.7109375" style="204" customWidth="1"/>
    <col min="525" max="768" width="11.42578125" style="204"/>
    <col min="769" max="769" width="4.28515625" style="204" customWidth="1"/>
    <col min="770" max="770" width="50.7109375" style="204" customWidth="1"/>
    <col min="771" max="771" width="0.85546875" style="204" customWidth="1"/>
    <col min="772" max="772" width="5.7109375" style="204" customWidth="1"/>
    <col min="773" max="773" width="0.85546875" style="204" customWidth="1"/>
    <col min="774" max="774" width="5.7109375" style="204" customWidth="1"/>
    <col min="775" max="775" width="0.85546875" style="204" customWidth="1"/>
    <col min="776" max="776" width="5.7109375" style="204" customWidth="1"/>
    <col min="777" max="777" width="0.85546875" style="204" customWidth="1"/>
    <col min="778" max="778" width="5.7109375" style="204" customWidth="1"/>
    <col min="779" max="779" width="0.85546875" style="204" customWidth="1"/>
    <col min="780" max="780" width="45.7109375" style="204" customWidth="1"/>
    <col min="781" max="1024" width="11.42578125" style="204"/>
    <col min="1025" max="1025" width="4.28515625" style="204" customWidth="1"/>
    <col min="1026" max="1026" width="50.7109375" style="204" customWidth="1"/>
    <col min="1027" max="1027" width="0.85546875" style="204" customWidth="1"/>
    <col min="1028" max="1028" width="5.7109375" style="204" customWidth="1"/>
    <col min="1029" max="1029" width="0.85546875" style="204" customWidth="1"/>
    <col min="1030" max="1030" width="5.7109375" style="204" customWidth="1"/>
    <col min="1031" max="1031" width="0.85546875" style="204" customWidth="1"/>
    <col min="1032" max="1032" width="5.7109375" style="204" customWidth="1"/>
    <col min="1033" max="1033" width="0.85546875" style="204" customWidth="1"/>
    <col min="1034" max="1034" width="5.7109375" style="204" customWidth="1"/>
    <col min="1035" max="1035" width="0.85546875" style="204" customWidth="1"/>
    <col min="1036" max="1036" width="45.7109375" style="204" customWidth="1"/>
    <col min="1037" max="1280" width="11.42578125" style="204"/>
    <col min="1281" max="1281" width="4.28515625" style="204" customWidth="1"/>
    <col min="1282" max="1282" width="50.7109375" style="204" customWidth="1"/>
    <col min="1283" max="1283" width="0.85546875" style="204" customWidth="1"/>
    <col min="1284" max="1284" width="5.7109375" style="204" customWidth="1"/>
    <col min="1285" max="1285" width="0.85546875" style="204" customWidth="1"/>
    <col min="1286" max="1286" width="5.7109375" style="204" customWidth="1"/>
    <col min="1287" max="1287" width="0.85546875" style="204" customWidth="1"/>
    <col min="1288" max="1288" width="5.7109375" style="204" customWidth="1"/>
    <col min="1289" max="1289" width="0.85546875" style="204" customWidth="1"/>
    <col min="1290" max="1290" width="5.7109375" style="204" customWidth="1"/>
    <col min="1291" max="1291" width="0.85546875" style="204" customWidth="1"/>
    <col min="1292" max="1292" width="45.7109375" style="204" customWidth="1"/>
    <col min="1293" max="1536" width="11.42578125" style="204"/>
    <col min="1537" max="1537" width="4.28515625" style="204" customWidth="1"/>
    <col min="1538" max="1538" width="50.7109375" style="204" customWidth="1"/>
    <col min="1539" max="1539" width="0.85546875" style="204" customWidth="1"/>
    <col min="1540" max="1540" width="5.7109375" style="204" customWidth="1"/>
    <col min="1541" max="1541" width="0.85546875" style="204" customWidth="1"/>
    <col min="1542" max="1542" width="5.7109375" style="204" customWidth="1"/>
    <col min="1543" max="1543" width="0.85546875" style="204" customWidth="1"/>
    <col min="1544" max="1544" width="5.7109375" style="204" customWidth="1"/>
    <col min="1545" max="1545" width="0.85546875" style="204" customWidth="1"/>
    <col min="1546" max="1546" width="5.7109375" style="204" customWidth="1"/>
    <col min="1547" max="1547" width="0.85546875" style="204" customWidth="1"/>
    <col min="1548" max="1548" width="45.7109375" style="204" customWidth="1"/>
    <col min="1549" max="1792" width="11.42578125" style="204"/>
    <col min="1793" max="1793" width="4.28515625" style="204" customWidth="1"/>
    <col min="1794" max="1794" width="50.7109375" style="204" customWidth="1"/>
    <col min="1795" max="1795" width="0.85546875" style="204" customWidth="1"/>
    <col min="1796" max="1796" width="5.7109375" style="204" customWidth="1"/>
    <col min="1797" max="1797" width="0.85546875" style="204" customWidth="1"/>
    <col min="1798" max="1798" width="5.7109375" style="204" customWidth="1"/>
    <col min="1799" max="1799" width="0.85546875" style="204" customWidth="1"/>
    <col min="1800" max="1800" width="5.7109375" style="204" customWidth="1"/>
    <col min="1801" max="1801" width="0.85546875" style="204" customWidth="1"/>
    <col min="1802" max="1802" width="5.7109375" style="204" customWidth="1"/>
    <col min="1803" max="1803" width="0.85546875" style="204" customWidth="1"/>
    <col min="1804" max="1804" width="45.7109375" style="204" customWidth="1"/>
    <col min="1805" max="2048" width="11.42578125" style="204"/>
    <col min="2049" max="2049" width="4.28515625" style="204" customWidth="1"/>
    <col min="2050" max="2050" width="50.7109375" style="204" customWidth="1"/>
    <col min="2051" max="2051" width="0.85546875" style="204" customWidth="1"/>
    <col min="2052" max="2052" width="5.7109375" style="204" customWidth="1"/>
    <col min="2053" max="2053" width="0.85546875" style="204" customWidth="1"/>
    <col min="2054" max="2054" width="5.7109375" style="204" customWidth="1"/>
    <col min="2055" max="2055" width="0.85546875" style="204" customWidth="1"/>
    <col min="2056" max="2056" width="5.7109375" style="204" customWidth="1"/>
    <col min="2057" max="2057" width="0.85546875" style="204" customWidth="1"/>
    <col min="2058" max="2058" width="5.7109375" style="204" customWidth="1"/>
    <col min="2059" max="2059" width="0.85546875" style="204" customWidth="1"/>
    <col min="2060" max="2060" width="45.7109375" style="204" customWidth="1"/>
    <col min="2061" max="2304" width="11.42578125" style="204"/>
    <col min="2305" max="2305" width="4.28515625" style="204" customWidth="1"/>
    <col min="2306" max="2306" width="50.7109375" style="204" customWidth="1"/>
    <col min="2307" max="2307" width="0.85546875" style="204" customWidth="1"/>
    <col min="2308" max="2308" width="5.7109375" style="204" customWidth="1"/>
    <col min="2309" max="2309" width="0.85546875" style="204" customWidth="1"/>
    <col min="2310" max="2310" width="5.7109375" style="204" customWidth="1"/>
    <col min="2311" max="2311" width="0.85546875" style="204" customWidth="1"/>
    <col min="2312" max="2312" width="5.7109375" style="204" customWidth="1"/>
    <col min="2313" max="2313" width="0.85546875" style="204" customWidth="1"/>
    <col min="2314" max="2314" width="5.7109375" style="204" customWidth="1"/>
    <col min="2315" max="2315" width="0.85546875" style="204" customWidth="1"/>
    <col min="2316" max="2316" width="45.7109375" style="204" customWidth="1"/>
    <col min="2317" max="2560" width="11.42578125" style="204"/>
    <col min="2561" max="2561" width="4.28515625" style="204" customWidth="1"/>
    <col min="2562" max="2562" width="50.7109375" style="204" customWidth="1"/>
    <col min="2563" max="2563" width="0.85546875" style="204" customWidth="1"/>
    <col min="2564" max="2564" width="5.7109375" style="204" customWidth="1"/>
    <col min="2565" max="2565" width="0.85546875" style="204" customWidth="1"/>
    <col min="2566" max="2566" width="5.7109375" style="204" customWidth="1"/>
    <col min="2567" max="2567" width="0.85546875" style="204" customWidth="1"/>
    <col min="2568" max="2568" width="5.7109375" style="204" customWidth="1"/>
    <col min="2569" max="2569" width="0.85546875" style="204" customWidth="1"/>
    <col min="2570" max="2570" width="5.7109375" style="204" customWidth="1"/>
    <col min="2571" max="2571" width="0.85546875" style="204" customWidth="1"/>
    <col min="2572" max="2572" width="45.7109375" style="204" customWidth="1"/>
    <col min="2573" max="2816" width="11.42578125" style="204"/>
    <col min="2817" max="2817" width="4.28515625" style="204" customWidth="1"/>
    <col min="2818" max="2818" width="50.7109375" style="204" customWidth="1"/>
    <col min="2819" max="2819" width="0.85546875" style="204" customWidth="1"/>
    <col min="2820" max="2820" width="5.7109375" style="204" customWidth="1"/>
    <col min="2821" max="2821" width="0.85546875" style="204" customWidth="1"/>
    <col min="2822" max="2822" width="5.7109375" style="204" customWidth="1"/>
    <col min="2823" max="2823" width="0.85546875" style="204" customWidth="1"/>
    <col min="2824" max="2824" width="5.7109375" style="204" customWidth="1"/>
    <col min="2825" max="2825" width="0.85546875" style="204" customWidth="1"/>
    <col min="2826" max="2826" width="5.7109375" style="204" customWidth="1"/>
    <col min="2827" max="2827" width="0.85546875" style="204" customWidth="1"/>
    <col min="2828" max="2828" width="45.7109375" style="204" customWidth="1"/>
    <col min="2829" max="3072" width="11.42578125" style="204"/>
    <col min="3073" max="3073" width="4.28515625" style="204" customWidth="1"/>
    <col min="3074" max="3074" width="50.7109375" style="204" customWidth="1"/>
    <col min="3075" max="3075" width="0.85546875" style="204" customWidth="1"/>
    <col min="3076" max="3076" width="5.7109375" style="204" customWidth="1"/>
    <col min="3077" max="3077" width="0.85546875" style="204" customWidth="1"/>
    <col min="3078" max="3078" width="5.7109375" style="204" customWidth="1"/>
    <col min="3079" max="3079" width="0.85546875" style="204" customWidth="1"/>
    <col min="3080" max="3080" width="5.7109375" style="204" customWidth="1"/>
    <col min="3081" max="3081" width="0.85546875" style="204" customWidth="1"/>
    <col min="3082" max="3082" width="5.7109375" style="204" customWidth="1"/>
    <col min="3083" max="3083" width="0.85546875" style="204" customWidth="1"/>
    <col min="3084" max="3084" width="45.7109375" style="204" customWidth="1"/>
    <col min="3085" max="3328" width="11.42578125" style="204"/>
    <col min="3329" max="3329" width="4.28515625" style="204" customWidth="1"/>
    <col min="3330" max="3330" width="50.7109375" style="204" customWidth="1"/>
    <col min="3331" max="3331" width="0.85546875" style="204" customWidth="1"/>
    <col min="3332" max="3332" width="5.7109375" style="204" customWidth="1"/>
    <col min="3333" max="3333" width="0.85546875" style="204" customWidth="1"/>
    <col min="3334" max="3334" width="5.7109375" style="204" customWidth="1"/>
    <col min="3335" max="3335" width="0.85546875" style="204" customWidth="1"/>
    <col min="3336" max="3336" width="5.7109375" style="204" customWidth="1"/>
    <col min="3337" max="3337" width="0.85546875" style="204" customWidth="1"/>
    <col min="3338" max="3338" width="5.7109375" style="204" customWidth="1"/>
    <col min="3339" max="3339" width="0.85546875" style="204" customWidth="1"/>
    <col min="3340" max="3340" width="45.7109375" style="204" customWidth="1"/>
    <col min="3341" max="3584" width="11.42578125" style="204"/>
    <col min="3585" max="3585" width="4.28515625" style="204" customWidth="1"/>
    <col min="3586" max="3586" width="50.7109375" style="204" customWidth="1"/>
    <col min="3587" max="3587" width="0.85546875" style="204" customWidth="1"/>
    <col min="3588" max="3588" width="5.7109375" style="204" customWidth="1"/>
    <col min="3589" max="3589" width="0.85546875" style="204" customWidth="1"/>
    <col min="3590" max="3590" width="5.7109375" style="204" customWidth="1"/>
    <col min="3591" max="3591" width="0.85546875" style="204" customWidth="1"/>
    <col min="3592" max="3592" width="5.7109375" style="204" customWidth="1"/>
    <col min="3593" max="3593" width="0.85546875" style="204" customWidth="1"/>
    <col min="3594" max="3594" width="5.7109375" style="204" customWidth="1"/>
    <col min="3595" max="3595" width="0.85546875" style="204" customWidth="1"/>
    <col min="3596" max="3596" width="45.7109375" style="204" customWidth="1"/>
    <col min="3597" max="3840" width="11.42578125" style="204"/>
    <col min="3841" max="3841" width="4.28515625" style="204" customWidth="1"/>
    <col min="3842" max="3842" width="50.7109375" style="204" customWidth="1"/>
    <col min="3843" max="3843" width="0.85546875" style="204" customWidth="1"/>
    <col min="3844" max="3844" width="5.7109375" style="204" customWidth="1"/>
    <col min="3845" max="3845" width="0.85546875" style="204" customWidth="1"/>
    <col min="3846" max="3846" width="5.7109375" style="204" customWidth="1"/>
    <col min="3847" max="3847" width="0.85546875" style="204" customWidth="1"/>
    <col min="3848" max="3848" width="5.7109375" style="204" customWidth="1"/>
    <col min="3849" max="3849" width="0.85546875" style="204" customWidth="1"/>
    <col min="3850" max="3850" width="5.7109375" style="204" customWidth="1"/>
    <col min="3851" max="3851" width="0.85546875" style="204" customWidth="1"/>
    <col min="3852" max="3852" width="45.7109375" style="204" customWidth="1"/>
    <col min="3853" max="4096" width="11.42578125" style="204"/>
    <col min="4097" max="4097" width="4.28515625" style="204" customWidth="1"/>
    <col min="4098" max="4098" width="50.7109375" style="204" customWidth="1"/>
    <col min="4099" max="4099" width="0.85546875" style="204" customWidth="1"/>
    <col min="4100" max="4100" width="5.7109375" style="204" customWidth="1"/>
    <col min="4101" max="4101" width="0.85546875" style="204" customWidth="1"/>
    <col min="4102" max="4102" width="5.7109375" style="204" customWidth="1"/>
    <col min="4103" max="4103" width="0.85546875" style="204" customWidth="1"/>
    <col min="4104" max="4104" width="5.7109375" style="204" customWidth="1"/>
    <col min="4105" max="4105" width="0.85546875" style="204" customWidth="1"/>
    <col min="4106" max="4106" width="5.7109375" style="204" customWidth="1"/>
    <col min="4107" max="4107" width="0.85546875" style="204" customWidth="1"/>
    <col min="4108" max="4108" width="45.7109375" style="204" customWidth="1"/>
    <col min="4109" max="4352" width="11.42578125" style="204"/>
    <col min="4353" max="4353" width="4.28515625" style="204" customWidth="1"/>
    <col min="4354" max="4354" width="50.7109375" style="204" customWidth="1"/>
    <col min="4355" max="4355" width="0.85546875" style="204" customWidth="1"/>
    <col min="4356" max="4356" width="5.7109375" style="204" customWidth="1"/>
    <col min="4357" max="4357" width="0.85546875" style="204" customWidth="1"/>
    <col min="4358" max="4358" width="5.7109375" style="204" customWidth="1"/>
    <col min="4359" max="4359" width="0.85546875" style="204" customWidth="1"/>
    <col min="4360" max="4360" width="5.7109375" style="204" customWidth="1"/>
    <col min="4361" max="4361" width="0.85546875" style="204" customWidth="1"/>
    <col min="4362" max="4362" width="5.7109375" style="204" customWidth="1"/>
    <col min="4363" max="4363" width="0.85546875" style="204" customWidth="1"/>
    <col min="4364" max="4364" width="45.7109375" style="204" customWidth="1"/>
    <col min="4365" max="4608" width="11.42578125" style="204"/>
    <col min="4609" max="4609" width="4.28515625" style="204" customWidth="1"/>
    <col min="4610" max="4610" width="50.7109375" style="204" customWidth="1"/>
    <col min="4611" max="4611" width="0.85546875" style="204" customWidth="1"/>
    <col min="4612" max="4612" width="5.7109375" style="204" customWidth="1"/>
    <col min="4613" max="4613" width="0.85546875" style="204" customWidth="1"/>
    <col min="4614" max="4614" width="5.7109375" style="204" customWidth="1"/>
    <col min="4615" max="4615" width="0.85546875" style="204" customWidth="1"/>
    <col min="4616" max="4616" width="5.7109375" style="204" customWidth="1"/>
    <col min="4617" max="4617" width="0.85546875" style="204" customWidth="1"/>
    <col min="4618" max="4618" width="5.7109375" style="204" customWidth="1"/>
    <col min="4619" max="4619" width="0.85546875" style="204" customWidth="1"/>
    <col min="4620" max="4620" width="45.7109375" style="204" customWidth="1"/>
    <col min="4621" max="4864" width="11.42578125" style="204"/>
    <col min="4865" max="4865" width="4.28515625" style="204" customWidth="1"/>
    <col min="4866" max="4866" width="50.7109375" style="204" customWidth="1"/>
    <col min="4867" max="4867" width="0.85546875" style="204" customWidth="1"/>
    <col min="4868" max="4868" width="5.7109375" style="204" customWidth="1"/>
    <col min="4869" max="4869" width="0.85546875" style="204" customWidth="1"/>
    <col min="4870" max="4870" width="5.7109375" style="204" customWidth="1"/>
    <col min="4871" max="4871" width="0.85546875" style="204" customWidth="1"/>
    <col min="4872" max="4872" width="5.7109375" style="204" customWidth="1"/>
    <col min="4873" max="4873" width="0.85546875" style="204" customWidth="1"/>
    <col min="4874" max="4874" width="5.7109375" style="204" customWidth="1"/>
    <col min="4875" max="4875" width="0.85546875" style="204" customWidth="1"/>
    <col min="4876" max="4876" width="45.7109375" style="204" customWidth="1"/>
    <col min="4877" max="5120" width="11.42578125" style="204"/>
    <col min="5121" max="5121" width="4.28515625" style="204" customWidth="1"/>
    <col min="5122" max="5122" width="50.7109375" style="204" customWidth="1"/>
    <col min="5123" max="5123" width="0.85546875" style="204" customWidth="1"/>
    <col min="5124" max="5124" width="5.7109375" style="204" customWidth="1"/>
    <col min="5125" max="5125" width="0.85546875" style="204" customWidth="1"/>
    <col min="5126" max="5126" width="5.7109375" style="204" customWidth="1"/>
    <col min="5127" max="5127" width="0.85546875" style="204" customWidth="1"/>
    <col min="5128" max="5128" width="5.7109375" style="204" customWidth="1"/>
    <col min="5129" max="5129" width="0.85546875" style="204" customWidth="1"/>
    <col min="5130" max="5130" width="5.7109375" style="204" customWidth="1"/>
    <col min="5131" max="5131" width="0.85546875" style="204" customWidth="1"/>
    <col min="5132" max="5132" width="45.7109375" style="204" customWidth="1"/>
    <col min="5133" max="5376" width="11.42578125" style="204"/>
    <col min="5377" max="5377" width="4.28515625" style="204" customWidth="1"/>
    <col min="5378" max="5378" width="50.7109375" style="204" customWidth="1"/>
    <col min="5379" max="5379" width="0.85546875" style="204" customWidth="1"/>
    <col min="5380" max="5380" width="5.7109375" style="204" customWidth="1"/>
    <col min="5381" max="5381" width="0.85546875" style="204" customWidth="1"/>
    <col min="5382" max="5382" width="5.7109375" style="204" customWidth="1"/>
    <col min="5383" max="5383" width="0.85546875" style="204" customWidth="1"/>
    <col min="5384" max="5384" width="5.7109375" style="204" customWidth="1"/>
    <col min="5385" max="5385" width="0.85546875" style="204" customWidth="1"/>
    <col min="5386" max="5386" width="5.7109375" style="204" customWidth="1"/>
    <col min="5387" max="5387" width="0.85546875" style="204" customWidth="1"/>
    <col min="5388" max="5388" width="45.7109375" style="204" customWidth="1"/>
    <col min="5389" max="5632" width="11.42578125" style="204"/>
    <col min="5633" max="5633" width="4.28515625" style="204" customWidth="1"/>
    <col min="5634" max="5634" width="50.7109375" style="204" customWidth="1"/>
    <col min="5635" max="5635" width="0.85546875" style="204" customWidth="1"/>
    <col min="5636" max="5636" width="5.7109375" style="204" customWidth="1"/>
    <col min="5637" max="5637" width="0.85546875" style="204" customWidth="1"/>
    <col min="5638" max="5638" width="5.7109375" style="204" customWidth="1"/>
    <col min="5639" max="5639" width="0.85546875" style="204" customWidth="1"/>
    <col min="5640" max="5640" width="5.7109375" style="204" customWidth="1"/>
    <col min="5641" max="5641" width="0.85546875" style="204" customWidth="1"/>
    <col min="5642" max="5642" width="5.7109375" style="204" customWidth="1"/>
    <col min="5643" max="5643" width="0.85546875" style="204" customWidth="1"/>
    <col min="5644" max="5644" width="45.7109375" style="204" customWidth="1"/>
    <col min="5645" max="5888" width="11.42578125" style="204"/>
    <col min="5889" max="5889" width="4.28515625" style="204" customWidth="1"/>
    <col min="5890" max="5890" width="50.7109375" style="204" customWidth="1"/>
    <col min="5891" max="5891" width="0.85546875" style="204" customWidth="1"/>
    <col min="5892" max="5892" width="5.7109375" style="204" customWidth="1"/>
    <col min="5893" max="5893" width="0.85546875" style="204" customWidth="1"/>
    <col min="5894" max="5894" width="5.7109375" style="204" customWidth="1"/>
    <col min="5895" max="5895" width="0.85546875" style="204" customWidth="1"/>
    <col min="5896" max="5896" width="5.7109375" style="204" customWidth="1"/>
    <col min="5897" max="5897" width="0.85546875" style="204" customWidth="1"/>
    <col min="5898" max="5898" width="5.7109375" style="204" customWidth="1"/>
    <col min="5899" max="5899" width="0.85546875" style="204" customWidth="1"/>
    <col min="5900" max="5900" width="45.7109375" style="204" customWidth="1"/>
    <col min="5901" max="6144" width="11.42578125" style="204"/>
    <col min="6145" max="6145" width="4.28515625" style="204" customWidth="1"/>
    <col min="6146" max="6146" width="50.7109375" style="204" customWidth="1"/>
    <col min="6147" max="6147" width="0.85546875" style="204" customWidth="1"/>
    <col min="6148" max="6148" width="5.7109375" style="204" customWidth="1"/>
    <col min="6149" max="6149" width="0.85546875" style="204" customWidth="1"/>
    <col min="6150" max="6150" width="5.7109375" style="204" customWidth="1"/>
    <col min="6151" max="6151" width="0.85546875" style="204" customWidth="1"/>
    <col min="6152" max="6152" width="5.7109375" style="204" customWidth="1"/>
    <col min="6153" max="6153" width="0.85546875" style="204" customWidth="1"/>
    <col min="6154" max="6154" width="5.7109375" style="204" customWidth="1"/>
    <col min="6155" max="6155" width="0.85546875" style="204" customWidth="1"/>
    <col min="6156" max="6156" width="45.7109375" style="204" customWidth="1"/>
    <col min="6157" max="6400" width="11.42578125" style="204"/>
    <col min="6401" max="6401" width="4.28515625" style="204" customWidth="1"/>
    <col min="6402" max="6402" width="50.7109375" style="204" customWidth="1"/>
    <col min="6403" max="6403" width="0.85546875" style="204" customWidth="1"/>
    <col min="6404" max="6404" width="5.7109375" style="204" customWidth="1"/>
    <col min="6405" max="6405" width="0.85546875" style="204" customWidth="1"/>
    <col min="6406" max="6406" width="5.7109375" style="204" customWidth="1"/>
    <col min="6407" max="6407" width="0.85546875" style="204" customWidth="1"/>
    <col min="6408" max="6408" width="5.7109375" style="204" customWidth="1"/>
    <col min="6409" max="6409" width="0.85546875" style="204" customWidth="1"/>
    <col min="6410" max="6410" width="5.7109375" style="204" customWidth="1"/>
    <col min="6411" max="6411" width="0.85546875" style="204" customWidth="1"/>
    <col min="6412" max="6412" width="45.7109375" style="204" customWidth="1"/>
    <col min="6413" max="6656" width="11.42578125" style="204"/>
    <col min="6657" max="6657" width="4.28515625" style="204" customWidth="1"/>
    <col min="6658" max="6658" width="50.7109375" style="204" customWidth="1"/>
    <col min="6659" max="6659" width="0.85546875" style="204" customWidth="1"/>
    <col min="6660" max="6660" width="5.7109375" style="204" customWidth="1"/>
    <col min="6661" max="6661" width="0.85546875" style="204" customWidth="1"/>
    <col min="6662" max="6662" width="5.7109375" style="204" customWidth="1"/>
    <col min="6663" max="6663" width="0.85546875" style="204" customWidth="1"/>
    <col min="6664" max="6664" width="5.7109375" style="204" customWidth="1"/>
    <col min="6665" max="6665" width="0.85546875" style="204" customWidth="1"/>
    <col min="6666" max="6666" width="5.7109375" style="204" customWidth="1"/>
    <col min="6667" max="6667" width="0.85546875" style="204" customWidth="1"/>
    <col min="6668" max="6668" width="45.7109375" style="204" customWidth="1"/>
    <col min="6669" max="6912" width="11.42578125" style="204"/>
    <col min="6913" max="6913" width="4.28515625" style="204" customWidth="1"/>
    <col min="6914" max="6914" width="50.7109375" style="204" customWidth="1"/>
    <col min="6915" max="6915" width="0.85546875" style="204" customWidth="1"/>
    <col min="6916" max="6916" width="5.7109375" style="204" customWidth="1"/>
    <col min="6917" max="6917" width="0.85546875" style="204" customWidth="1"/>
    <col min="6918" max="6918" width="5.7109375" style="204" customWidth="1"/>
    <col min="6919" max="6919" width="0.85546875" style="204" customWidth="1"/>
    <col min="6920" max="6920" width="5.7109375" style="204" customWidth="1"/>
    <col min="6921" max="6921" width="0.85546875" style="204" customWidth="1"/>
    <col min="6922" max="6922" width="5.7109375" style="204" customWidth="1"/>
    <col min="6923" max="6923" width="0.85546875" style="204" customWidth="1"/>
    <col min="6924" max="6924" width="45.7109375" style="204" customWidth="1"/>
    <col min="6925" max="7168" width="11.42578125" style="204"/>
    <col min="7169" max="7169" width="4.28515625" style="204" customWidth="1"/>
    <col min="7170" max="7170" width="50.7109375" style="204" customWidth="1"/>
    <col min="7171" max="7171" width="0.85546875" style="204" customWidth="1"/>
    <col min="7172" max="7172" width="5.7109375" style="204" customWidth="1"/>
    <col min="7173" max="7173" width="0.85546875" style="204" customWidth="1"/>
    <col min="7174" max="7174" width="5.7109375" style="204" customWidth="1"/>
    <col min="7175" max="7175" width="0.85546875" style="204" customWidth="1"/>
    <col min="7176" max="7176" width="5.7109375" style="204" customWidth="1"/>
    <col min="7177" max="7177" width="0.85546875" style="204" customWidth="1"/>
    <col min="7178" max="7178" width="5.7109375" style="204" customWidth="1"/>
    <col min="7179" max="7179" width="0.85546875" style="204" customWidth="1"/>
    <col min="7180" max="7180" width="45.7109375" style="204" customWidth="1"/>
    <col min="7181" max="7424" width="11.42578125" style="204"/>
    <col min="7425" max="7425" width="4.28515625" style="204" customWidth="1"/>
    <col min="7426" max="7426" width="50.7109375" style="204" customWidth="1"/>
    <col min="7427" max="7427" width="0.85546875" style="204" customWidth="1"/>
    <col min="7428" max="7428" width="5.7109375" style="204" customWidth="1"/>
    <col min="7429" max="7429" width="0.85546875" style="204" customWidth="1"/>
    <col min="7430" max="7430" width="5.7109375" style="204" customWidth="1"/>
    <col min="7431" max="7431" width="0.85546875" style="204" customWidth="1"/>
    <col min="7432" max="7432" width="5.7109375" style="204" customWidth="1"/>
    <col min="7433" max="7433" width="0.85546875" style="204" customWidth="1"/>
    <col min="7434" max="7434" width="5.7109375" style="204" customWidth="1"/>
    <col min="7435" max="7435" width="0.85546875" style="204" customWidth="1"/>
    <col min="7436" max="7436" width="45.7109375" style="204" customWidth="1"/>
    <col min="7437" max="7680" width="11.42578125" style="204"/>
    <col min="7681" max="7681" width="4.28515625" style="204" customWidth="1"/>
    <col min="7682" max="7682" width="50.7109375" style="204" customWidth="1"/>
    <col min="7683" max="7683" width="0.85546875" style="204" customWidth="1"/>
    <col min="7684" max="7684" width="5.7109375" style="204" customWidth="1"/>
    <col min="7685" max="7685" width="0.85546875" style="204" customWidth="1"/>
    <col min="7686" max="7686" width="5.7109375" style="204" customWidth="1"/>
    <col min="7687" max="7687" width="0.85546875" style="204" customWidth="1"/>
    <col min="7688" max="7688" width="5.7109375" style="204" customWidth="1"/>
    <col min="7689" max="7689" width="0.85546875" style="204" customWidth="1"/>
    <col min="7690" max="7690" width="5.7109375" style="204" customWidth="1"/>
    <col min="7691" max="7691" width="0.85546875" style="204" customWidth="1"/>
    <col min="7692" max="7692" width="45.7109375" style="204" customWidth="1"/>
    <col min="7693" max="7936" width="11.42578125" style="204"/>
    <col min="7937" max="7937" width="4.28515625" style="204" customWidth="1"/>
    <col min="7938" max="7938" width="50.7109375" style="204" customWidth="1"/>
    <col min="7939" max="7939" width="0.85546875" style="204" customWidth="1"/>
    <col min="7940" max="7940" width="5.7109375" style="204" customWidth="1"/>
    <col min="7941" max="7941" width="0.85546875" style="204" customWidth="1"/>
    <col min="7942" max="7942" width="5.7109375" style="204" customWidth="1"/>
    <col min="7943" max="7943" width="0.85546875" style="204" customWidth="1"/>
    <col min="7944" max="7944" width="5.7109375" style="204" customWidth="1"/>
    <col min="7945" max="7945" width="0.85546875" style="204" customWidth="1"/>
    <col min="7946" max="7946" width="5.7109375" style="204" customWidth="1"/>
    <col min="7947" max="7947" width="0.85546875" style="204" customWidth="1"/>
    <col min="7948" max="7948" width="45.7109375" style="204" customWidth="1"/>
    <col min="7949" max="8192" width="11.42578125" style="204"/>
    <col min="8193" max="8193" width="4.28515625" style="204" customWidth="1"/>
    <col min="8194" max="8194" width="50.7109375" style="204" customWidth="1"/>
    <col min="8195" max="8195" width="0.85546875" style="204" customWidth="1"/>
    <col min="8196" max="8196" width="5.7109375" style="204" customWidth="1"/>
    <col min="8197" max="8197" width="0.85546875" style="204" customWidth="1"/>
    <col min="8198" max="8198" width="5.7109375" style="204" customWidth="1"/>
    <col min="8199" max="8199" width="0.85546875" style="204" customWidth="1"/>
    <col min="8200" max="8200" width="5.7109375" style="204" customWidth="1"/>
    <col min="8201" max="8201" width="0.85546875" style="204" customWidth="1"/>
    <col min="8202" max="8202" width="5.7109375" style="204" customWidth="1"/>
    <col min="8203" max="8203" width="0.85546875" style="204" customWidth="1"/>
    <col min="8204" max="8204" width="45.7109375" style="204" customWidth="1"/>
    <col min="8205" max="8448" width="11.42578125" style="204"/>
    <col min="8449" max="8449" width="4.28515625" style="204" customWidth="1"/>
    <col min="8450" max="8450" width="50.7109375" style="204" customWidth="1"/>
    <col min="8451" max="8451" width="0.85546875" style="204" customWidth="1"/>
    <col min="8452" max="8452" width="5.7109375" style="204" customWidth="1"/>
    <col min="8453" max="8453" width="0.85546875" style="204" customWidth="1"/>
    <col min="8454" max="8454" width="5.7109375" style="204" customWidth="1"/>
    <col min="8455" max="8455" width="0.85546875" style="204" customWidth="1"/>
    <col min="8456" max="8456" width="5.7109375" style="204" customWidth="1"/>
    <col min="8457" max="8457" width="0.85546875" style="204" customWidth="1"/>
    <col min="8458" max="8458" width="5.7109375" style="204" customWidth="1"/>
    <col min="8459" max="8459" width="0.85546875" style="204" customWidth="1"/>
    <col min="8460" max="8460" width="45.7109375" style="204" customWidth="1"/>
    <col min="8461" max="8704" width="11.42578125" style="204"/>
    <col min="8705" max="8705" width="4.28515625" style="204" customWidth="1"/>
    <col min="8706" max="8706" width="50.7109375" style="204" customWidth="1"/>
    <col min="8707" max="8707" width="0.85546875" style="204" customWidth="1"/>
    <col min="8708" max="8708" width="5.7109375" style="204" customWidth="1"/>
    <col min="8709" max="8709" width="0.85546875" style="204" customWidth="1"/>
    <col min="8710" max="8710" width="5.7109375" style="204" customWidth="1"/>
    <col min="8711" max="8711" width="0.85546875" style="204" customWidth="1"/>
    <col min="8712" max="8712" width="5.7109375" style="204" customWidth="1"/>
    <col min="8713" max="8713" width="0.85546875" style="204" customWidth="1"/>
    <col min="8714" max="8714" width="5.7109375" style="204" customWidth="1"/>
    <col min="8715" max="8715" width="0.85546875" style="204" customWidth="1"/>
    <col min="8716" max="8716" width="45.7109375" style="204" customWidth="1"/>
    <col min="8717" max="8960" width="11.42578125" style="204"/>
    <col min="8961" max="8961" width="4.28515625" style="204" customWidth="1"/>
    <col min="8962" max="8962" width="50.7109375" style="204" customWidth="1"/>
    <col min="8963" max="8963" width="0.85546875" style="204" customWidth="1"/>
    <col min="8964" max="8964" width="5.7109375" style="204" customWidth="1"/>
    <col min="8965" max="8965" width="0.85546875" style="204" customWidth="1"/>
    <col min="8966" max="8966" width="5.7109375" style="204" customWidth="1"/>
    <col min="8967" max="8967" width="0.85546875" style="204" customWidth="1"/>
    <col min="8968" max="8968" width="5.7109375" style="204" customWidth="1"/>
    <col min="8969" max="8969" width="0.85546875" style="204" customWidth="1"/>
    <col min="8970" max="8970" width="5.7109375" style="204" customWidth="1"/>
    <col min="8971" max="8971" width="0.85546875" style="204" customWidth="1"/>
    <col min="8972" max="8972" width="45.7109375" style="204" customWidth="1"/>
    <col min="8973" max="9216" width="11.42578125" style="204"/>
    <col min="9217" max="9217" width="4.28515625" style="204" customWidth="1"/>
    <col min="9218" max="9218" width="50.7109375" style="204" customWidth="1"/>
    <col min="9219" max="9219" width="0.85546875" style="204" customWidth="1"/>
    <col min="9220" max="9220" width="5.7109375" style="204" customWidth="1"/>
    <col min="9221" max="9221" width="0.85546875" style="204" customWidth="1"/>
    <col min="9222" max="9222" width="5.7109375" style="204" customWidth="1"/>
    <col min="9223" max="9223" width="0.85546875" style="204" customWidth="1"/>
    <col min="9224" max="9224" width="5.7109375" style="204" customWidth="1"/>
    <col min="9225" max="9225" width="0.85546875" style="204" customWidth="1"/>
    <col min="9226" max="9226" width="5.7109375" style="204" customWidth="1"/>
    <col min="9227" max="9227" width="0.85546875" style="204" customWidth="1"/>
    <col min="9228" max="9228" width="45.7109375" style="204" customWidth="1"/>
    <col min="9229" max="9472" width="11.42578125" style="204"/>
    <col min="9473" max="9473" width="4.28515625" style="204" customWidth="1"/>
    <col min="9474" max="9474" width="50.7109375" style="204" customWidth="1"/>
    <col min="9475" max="9475" width="0.85546875" style="204" customWidth="1"/>
    <col min="9476" max="9476" width="5.7109375" style="204" customWidth="1"/>
    <col min="9477" max="9477" width="0.85546875" style="204" customWidth="1"/>
    <col min="9478" max="9478" width="5.7109375" style="204" customWidth="1"/>
    <col min="9479" max="9479" width="0.85546875" style="204" customWidth="1"/>
    <col min="9480" max="9480" width="5.7109375" style="204" customWidth="1"/>
    <col min="9481" max="9481" width="0.85546875" style="204" customWidth="1"/>
    <col min="9482" max="9482" width="5.7109375" style="204" customWidth="1"/>
    <col min="9483" max="9483" width="0.85546875" style="204" customWidth="1"/>
    <col min="9484" max="9484" width="45.7109375" style="204" customWidth="1"/>
    <col min="9485" max="9728" width="11.42578125" style="204"/>
    <col min="9729" max="9729" width="4.28515625" style="204" customWidth="1"/>
    <col min="9730" max="9730" width="50.7109375" style="204" customWidth="1"/>
    <col min="9731" max="9731" width="0.85546875" style="204" customWidth="1"/>
    <col min="9732" max="9732" width="5.7109375" style="204" customWidth="1"/>
    <col min="9733" max="9733" width="0.85546875" style="204" customWidth="1"/>
    <col min="9734" max="9734" width="5.7109375" style="204" customWidth="1"/>
    <col min="9735" max="9735" width="0.85546875" style="204" customWidth="1"/>
    <col min="9736" max="9736" width="5.7109375" style="204" customWidth="1"/>
    <col min="9737" max="9737" width="0.85546875" style="204" customWidth="1"/>
    <col min="9738" max="9738" width="5.7109375" style="204" customWidth="1"/>
    <col min="9739" max="9739" width="0.85546875" style="204" customWidth="1"/>
    <col min="9740" max="9740" width="45.7109375" style="204" customWidth="1"/>
    <col min="9741" max="9984" width="11.42578125" style="204"/>
    <col min="9985" max="9985" width="4.28515625" style="204" customWidth="1"/>
    <col min="9986" max="9986" width="50.7109375" style="204" customWidth="1"/>
    <col min="9987" max="9987" width="0.85546875" style="204" customWidth="1"/>
    <col min="9988" max="9988" width="5.7109375" style="204" customWidth="1"/>
    <col min="9989" max="9989" width="0.85546875" style="204" customWidth="1"/>
    <col min="9990" max="9990" width="5.7109375" style="204" customWidth="1"/>
    <col min="9991" max="9991" width="0.85546875" style="204" customWidth="1"/>
    <col min="9992" max="9992" width="5.7109375" style="204" customWidth="1"/>
    <col min="9993" max="9993" width="0.85546875" style="204" customWidth="1"/>
    <col min="9994" max="9994" width="5.7109375" style="204" customWidth="1"/>
    <col min="9995" max="9995" width="0.85546875" style="204" customWidth="1"/>
    <col min="9996" max="9996" width="45.7109375" style="204" customWidth="1"/>
    <col min="9997" max="10240" width="11.42578125" style="204"/>
    <col min="10241" max="10241" width="4.28515625" style="204" customWidth="1"/>
    <col min="10242" max="10242" width="50.7109375" style="204" customWidth="1"/>
    <col min="10243" max="10243" width="0.85546875" style="204" customWidth="1"/>
    <col min="10244" max="10244" width="5.7109375" style="204" customWidth="1"/>
    <col min="10245" max="10245" width="0.85546875" style="204" customWidth="1"/>
    <col min="10246" max="10246" width="5.7109375" style="204" customWidth="1"/>
    <col min="10247" max="10247" width="0.85546875" style="204" customWidth="1"/>
    <col min="10248" max="10248" width="5.7109375" style="204" customWidth="1"/>
    <col min="10249" max="10249" width="0.85546875" style="204" customWidth="1"/>
    <col min="10250" max="10250" width="5.7109375" style="204" customWidth="1"/>
    <col min="10251" max="10251" width="0.85546875" style="204" customWidth="1"/>
    <col min="10252" max="10252" width="45.7109375" style="204" customWidth="1"/>
    <col min="10253" max="10496" width="11.42578125" style="204"/>
    <col min="10497" max="10497" width="4.28515625" style="204" customWidth="1"/>
    <col min="10498" max="10498" width="50.7109375" style="204" customWidth="1"/>
    <col min="10499" max="10499" width="0.85546875" style="204" customWidth="1"/>
    <col min="10500" max="10500" width="5.7109375" style="204" customWidth="1"/>
    <col min="10501" max="10501" width="0.85546875" style="204" customWidth="1"/>
    <col min="10502" max="10502" width="5.7109375" style="204" customWidth="1"/>
    <col min="10503" max="10503" width="0.85546875" style="204" customWidth="1"/>
    <col min="10504" max="10504" width="5.7109375" style="204" customWidth="1"/>
    <col min="10505" max="10505" width="0.85546875" style="204" customWidth="1"/>
    <col min="10506" max="10506" width="5.7109375" style="204" customWidth="1"/>
    <col min="10507" max="10507" width="0.85546875" style="204" customWidth="1"/>
    <col min="10508" max="10508" width="45.7109375" style="204" customWidth="1"/>
    <col min="10509" max="10752" width="11.42578125" style="204"/>
    <col min="10753" max="10753" width="4.28515625" style="204" customWidth="1"/>
    <col min="10754" max="10754" width="50.7109375" style="204" customWidth="1"/>
    <col min="10755" max="10755" width="0.85546875" style="204" customWidth="1"/>
    <col min="10756" max="10756" width="5.7109375" style="204" customWidth="1"/>
    <col min="10757" max="10757" width="0.85546875" style="204" customWidth="1"/>
    <col min="10758" max="10758" width="5.7109375" style="204" customWidth="1"/>
    <col min="10759" max="10759" width="0.85546875" style="204" customWidth="1"/>
    <col min="10760" max="10760" width="5.7109375" style="204" customWidth="1"/>
    <col min="10761" max="10761" width="0.85546875" style="204" customWidth="1"/>
    <col min="10762" max="10762" width="5.7109375" style="204" customWidth="1"/>
    <col min="10763" max="10763" width="0.85546875" style="204" customWidth="1"/>
    <col min="10764" max="10764" width="45.7109375" style="204" customWidth="1"/>
    <col min="10765" max="11008" width="11.42578125" style="204"/>
    <col min="11009" max="11009" width="4.28515625" style="204" customWidth="1"/>
    <col min="11010" max="11010" width="50.7109375" style="204" customWidth="1"/>
    <col min="11011" max="11011" width="0.85546875" style="204" customWidth="1"/>
    <col min="11012" max="11012" width="5.7109375" style="204" customWidth="1"/>
    <col min="11013" max="11013" width="0.85546875" style="204" customWidth="1"/>
    <col min="11014" max="11014" width="5.7109375" style="204" customWidth="1"/>
    <col min="11015" max="11015" width="0.85546875" style="204" customWidth="1"/>
    <col min="11016" max="11016" width="5.7109375" style="204" customWidth="1"/>
    <col min="11017" max="11017" width="0.85546875" style="204" customWidth="1"/>
    <col min="11018" max="11018" width="5.7109375" style="204" customWidth="1"/>
    <col min="11019" max="11019" width="0.85546875" style="204" customWidth="1"/>
    <col min="11020" max="11020" width="45.7109375" style="204" customWidth="1"/>
    <col min="11021" max="11264" width="11.42578125" style="204"/>
    <col min="11265" max="11265" width="4.28515625" style="204" customWidth="1"/>
    <col min="11266" max="11266" width="50.7109375" style="204" customWidth="1"/>
    <col min="11267" max="11267" width="0.85546875" style="204" customWidth="1"/>
    <col min="11268" max="11268" width="5.7109375" style="204" customWidth="1"/>
    <col min="11269" max="11269" width="0.85546875" style="204" customWidth="1"/>
    <col min="11270" max="11270" width="5.7109375" style="204" customWidth="1"/>
    <col min="11271" max="11271" width="0.85546875" style="204" customWidth="1"/>
    <col min="11272" max="11272" width="5.7109375" style="204" customWidth="1"/>
    <col min="11273" max="11273" width="0.85546875" style="204" customWidth="1"/>
    <col min="11274" max="11274" width="5.7109375" style="204" customWidth="1"/>
    <col min="11275" max="11275" width="0.85546875" style="204" customWidth="1"/>
    <col min="11276" max="11276" width="45.7109375" style="204" customWidth="1"/>
    <col min="11277" max="11520" width="11.42578125" style="204"/>
    <col min="11521" max="11521" width="4.28515625" style="204" customWidth="1"/>
    <col min="11522" max="11522" width="50.7109375" style="204" customWidth="1"/>
    <col min="11523" max="11523" width="0.85546875" style="204" customWidth="1"/>
    <col min="11524" max="11524" width="5.7109375" style="204" customWidth="1"/>
    <col min="11525" max="11525" width="0.85546875" style="204" customWidth="1"/>
    <col min="11526" max="11526" width="5.7109375" style="204" customWidth="1"/>
    <col min="11527" max="11527" width="0.85546875" style="204" customWidth="1"/>
    <col min="11528" max="11528" width="5.7109375" style="204" customWidth="1"/>
    <col min="11529" max="11529" width="0.85546875" style="204" customWidth="1"/>
    <col min="11530" max="11530" width="5.7109375" style="204" customWidth="1"/>
    <col min="11531" max="11531" width="0.85546875" style="204" customWidth="1"/>
    <col min="11532" max="11532" width="45.7109375" style="204" customWidth="1"/>
    <col min="11533" max="11776" width="11.42578125" style="204"/>
    <col min="11777" max="11777" width="4.28515625" style="204" customWidth="1"/>
    <col min="11778" max="11778" width="50.7109375" style="204" customWidth="1"/>
    <col min="11779" max="11779" width="0.85546875" style="204" customWidth="1"/>
    <col min="11780" max="11780" width="5.7109375" style="204" customWidth="1"/>
    <col min="11781" max="11781" width="0.85546875" style="204" customWidth="1"/>
    <col min="11782" max="11782" width="5.7109375" style="204" customWidth="1"/>
    <col min="11783" max="11783" width="0.85546875" style="204" customWidth="1"/>
    <col min="11784" max="11784" width="5.7109375" style="204" customWidth="1"/>
    <col min="11785" max="11785" width="0.85546875" style="204" customWidth="1"/>
    <col min="11786" max="11786" width="5.7109375" style="204" customWidth="1"/>
    <col min="11787" max="11787" width="0.85546875" style="204" customWidth="1"/>
    <col min="11788" max="11788" width="45.7109375" style="204" customWidth="1"/>
    <col min="11789" max="12032" width="11.42578125" style="204"/>
    <col min="12033" max="12033" width="4.28515625" style="204" customWidth="1"/>
    <col min="12034" max="12034" width="50.7109375" style="204" customWidth="1"/>
    <col min="12035" max="12035" width="0.85546875" style="204" customWidth="1"/>
    <col min="12036" max="12036" width="5.7109375" style="204" customWidth="1"/>
    <col min="12037" max="12037" width="0.85546875" style="204" customWidth="1"/>
    <col min="12038" max="12038" width="5.7109375" style="204" customWidth="1"/>
    <col min="12039" max="12039" width="0.85546875" style="204" customWidth="1"/>
    <col min="12040" max="12040" width="5.7109375" style="204" customWidth="1"/>
    <col min="12041" max="12041" width="0.85546875" style="204" customWidth="1"/>
    <col min="12042" max="12042" width="5.7109375" style="204" customWidth="1"/>
    <col min="12043" max="12043" width="0.85546875" style="204" customWidth="1"/>
    <col min="12044" max="12044" width="45.7109375" style="204" customWidth="1"/>
    <col min="12045" max="12288" width="11.42578125" style="204"/>
    <col min="12289" max="12289" width="4.28515625" style="204" customWidth="1"/>
    <col min="12290" max="12290" width="50.7109375" style="204" customWidth="1"/>
    <col min="12291" max="12291" width="0.85546875" style="204" customWidth="1"/>
    <col min="12292" max="12292" width="5.7109375" style="204" customWidth="1"/>
    <col min="12293" max="12293" width="0.85546875" style="204" customWidth="1"/>
    <col min="12294" max="12294" width="5.7109375" style="204" customWidth="1"/>
    <col min="12295" max="12295" width="0.85546875" style="204" customWidth="1"/>
    <col min="12296" max="12296" width="5.7109375" style="204" customWidth="1"/>
    <col min="12297" max="12297" width="0.85546875" style="204" customWidth="1"/>
    <col min="12298" max="12298" width="5.7109375" style="204" customWidth="1"/>
    <col min="12299" max="12299" width="0.85546875" style="204" customWidth="1"/>
    <col min="12300" max="12300" width="45.7109375" style="204" customWidth="1"/>
    <col min="12301" max="12544" width="11.42578125" style="204"/>
    <col min="12545" max="12545" width="4.28515625" style="204" customWidth="1"/>
    <col min="12546" max="12546" width="50.7109375" style="204" customWidth="1"/>
    <col min="12547" max="12547" width="0.85546875" style="204" customWidth="1"/>
    <col min="12548" max="12548" width="5.7109375" style="204" customWidth="1"/>
    <col min="12549" max="12549" width="0.85546875" style="204" customWidth="1"/>
    <col min="12550" max="12550" width="5.7109375" style="204" customWidth="1"/>
    <col min="12551" max="12551" width="0.85546875" style="204" customWidth="1"/>
    <col min="12552" max="12552" width="5.7109375" style="204" customWidth="1"/>
    <col min="12553" max="12553" width="0.85546875" style="204" customWidth="1"/>
    <col min="12554" max="12554" width="5.7109375" style="204" customWidth="1"/>
    <col min="12555" max="12555" width="0.85546875" style="204" customWidth="1"/>
    <col min="12556" max="12556" width="45.7109375" style="204" customWidth="1"/>
    <col min="12557" max="12800" width="11.42578125" style="204"/>
    <col min="12801" max="12801" width="4.28515625" style="204" customWidth="1"/>
    <col min="12802" max="12802" width="50.7109375" style="204" customWidth="1"/>
    <col min="12803" max="12803" width="0.85546875" style="204" customWidth="1"/>
    <col min="12804" max="12804" width="5.7109375" style="204" customWidth="1"/>
    <col min="12805" max="12805" width="0.85546875" style="204" customWidth="1"/>
    <col min="12806" max="12806" width="5.7109375" style="204" customWidth="1"/>
    <col min="12807" max="12807" width="0.85546875" style="204" customWidth="1"/>
    <col min="12808" max="12808" width="5.7109375" style="204" customWidth="1"/>
    <col min="12809" max="12809" width="0.85546875" style="204" customWidth="1"/>
    <col min="12810" max="12810" width="5.7109375" style="204" customWidth="1"/>
    <col min="12811" max="12811" width="0.85546875" style="204" customWidth="1"/>
    <col min="12812" max="12812" width="45.7109375" style="204" customWidth="1"/>
    <col min="12813" max="13056" width="11.42578125" style="204"/>
    <col min="13057" max="13057" width="4.28515625" style="204" customWidth="1"/>
    <col min="13058" max="13058" width="50.7109375" style="204" customWidth="1"/>
    <col min="13059" max="13059" width="0.85546875" style="204" customWidth="1"/>
    <col min="13060" max="13060" width="5.7109375" style="204" customWidth="1"/>
    <col min="13061" max="13061" width="0.85546875" style="204" customWidth="1"/>
    <col min="13062" max="13062" width="5.7109375" style="204" customWidth="1"/>
    <col min="13063" max="13063" width="0.85546875" style="204" customWidth="1"/>
    <col min="13064" max="13064" width="5.7109375" style="204" customWidth="1"/>
    <col min="13065" max="13065" width="0.85546875" style="204" customWidth="1"/>
    <col min="13066" max="13066" width="5.7109375" style="204" customWidth="1"/>
    <col min="13067" max="13067" width="0.85546875" style="204" customWidth="1"/>
    <col min="13068" max="13068" width="45.7109375" style="204" customWidth="1"/>
    <col min="13069" max="13312" width="11.42578125" style="204"/>
    <col min="13313" max="13313" width="4.28515625" style="204" customWidth="1"/>
    <col min="13314" max="13314" width="50.7109375" style="204" customWidth="1"/>
    <col min="13315" max="13315" width="0.85546875" style="204" customWidth="1"/>
    <col min="13316" max="13316" width="5.7109375" style="204" customWidth="1"/>
    <col min="13317" max="13317" width="0.85546875" style="204" customWidth="1"/>
    <col min="13318" max="13318" width="5.7109375" style="204" customWidth="1"/>
    <col min="13319" max="13319" width="0.85546875" style="204" customWidth="1"/>
    <col min="13320" max="13320" width="5.7109375" style="204" customWidth="1"/>
    <col min="13321" max="13321" width="0.85546875" style="204" customWidth="1"/>
    <col min="13322" max="13322" width="5.7109375" style="204" customWidth="1"/>
    <col min="13323" max="13323" width="0.85546875" style="204" customWidth="1"/>
    <col min="13324" max="13324" width="45.7109375" style="204" customWidth="1"/>
    <col min="13325" max="13568" width="11.42578125" style="204"/>
    <col min="13569" max="13569" width="4.28515625" style="204" customWidth="1"/>
    <col min="13570" max="13570" width="50.7109375" style="204" customWidth="1"/>
    <col min="13571" max="13571" width="0.85546875" style="204" customWidth="1"/>
    <col min="13572" max="13572" width="5.7109375" style="204" customWidth="1"/>
    <col min="13573" max="13573" width="0.85546875" style="204" customWidth="1"/>
    <col min="13574" max="13574" width="5.7109375" style="204" customWidth="1"/>
    <col min="13575" max="13575" width="0.85546875" style="204" customWidth="1"/>
    <col min="13576" max="13576" width="5.7109375" style="204" customWidth="1"/>
    <col min="13577" max="13577" width="0.85546875" style="204" customWidth="1"/>
    <col min="13578" max="13578" width="5.7109375" style="204" customWidth="1"/>
    <col min="13579" max="13579" width="0.85546875" style="204" customWidth="1"/>
    <col min="13580" max="13580" width="45.7109375" style="204" customWidth="1"/>
    <col min="13581" max="13824" width="11.42578125" style="204"/>
    <col min="13825" max="13825" width="4.28515625" style="204" customWidth="1"/>
    <col min="13826" max="13826" width="50.7109375" style="204" customWidth="1"/>
    <col min="13827" max="13827" width="0.85546875" style="204" customWidth="1"/>
    <col min="13828" max="13828" width="5.7109375" style="204" customWidth="1"/>
    <col min="13829" max="13829" width="0.85546875" style="204" customWidth="1"/>
    <col min="13830" max="13830" width="5.7109375" style="204" customWidth="1"/>
    <col min="13831" max="13831" width="0.85546875" style="204" customWidth="1"/>
    <col min="13832" max="13832" width="5.7109375" style="204" customWidth="1"/>
    <col min="13833" max="13833" width="0.85546875" style="204" customWidth="1"/>
    <col min="13834" max="13834" width="5.7109375" style="204" customWidth="1"/>
    <col min="13835" max="13835" width="0.85546875" style="204" customWidth="1"/>
    <col min="13836" max="13836" width="45.7109375" style="204" customWidth="1"/>
    <col min="13837" max="14080" width="11.42578125" style="204"/>
    <col min="14081" max="14081" width="4.28515625" style="204" customWidth="1"/>
    <col min="14082" max="14082" width="50.7109375" style="204" customWidth="1"/>
    <col min="14083" max="14083" width="0.85546875" style="204" customWidth="1"/>
    <col min="14084" max="14084" width="5.7109375" style="204" customWidth="1"/>
    <col min="14085" max="14085" width="0.85546875" style="204" customWidth="1"/>
    <col min="14086" max="14086" width="5.7109375" style="204" customWidth="1"/>
    <col min="14087" max="14087" width="0.85546875" style="204" customWidth="1"/>
    <col min="14088" max="14088" width="5.7109375" style="204" customWidth="1"/>
    <col min="14089" max="14089" width="0.85546875" style="204" customWidth="1"/>
    <col min="14090" max="14090" width="5.7109375" style="204" customWidth="1"/>
    <col min="14091" max="14091" width="0.85546875" style="204" customWidth="1"/>
    <col min="14092" max="14092" width="45.7109375" style="204" customWidth="1"/>
    <col min="14093" max="14336" width="11.42578125" style="204"/>
    <col min="14337" max="14337" width="4.28515625" style="204" customWidth="1"/>
    <col min="14338" max="14338" width="50.7109375" style="204" customWidth="1"/>
    <col min="14339" max="14339" width="0.85546875" style="204" customWidth="1"/>
    <col min="14340" max="14340" width="5.7109375" style="204" customWidth="1"/>
    <col min="14341" max="14341" width="0.85546875" style="204" customWidth="1"/>
    <col min="14342" max="14342" width="5.7109375" style="204" customWidth="1"/>
    <col min="14343" max="14343" width="0.85546875" style="204" customWidth="1"/>
    <col min="14344" max="14344" width="5.7109375" style="204" customWidth="1"/>
    <col min="14345" max="14345" width="0.85546875" style="204" customWidth="1"/>
    <col min="14346" max="14346" width="5.7109375" style="204" customWidth="1"/>
    <col min="14347" max="14347" width="0.85546875" style="204" customWidth="1"/>
    <col min="14348" max="14348" width="45.7109375" style="204" customWidth="1"/>
    <col min="14349" max="14592" width="11.42578125" style="204"/>
    <col min="14593" max="14593" width="4.28515625" style="204" customWidth="1"/>
    <col min="14594" max="14594" width="50.7109375" style="204" customWidth="1"/>
    <col min="14595" max="14595" width="0.85546875" style="204" customWidth="1"/>
    <col min="14596" max="14596" width="5.7109375" style="204" customWidth="1"/>
    <col min="14597" max="14597" width="0.85546875" style="204" customWidth="1"/>
    <col min="14598" max="14598" width="5.7109375" style="204" customWidth="1"/>
    <col min="14599" max="14599" width="0.85546875" style="204" customWidth="1"/>
    <col min="14600" max="14600" width="5.7109375" style="204" customWidth="1"/>
    <col min="14601" max="14601" width="0.85546875" style="204" customWidth="1"/>
    <col min="14602" max="14602" width="5.7109375" style="204" customWidth="1"/>
    <col min="14603" max="14603" width="0.85546875" style="204" customWidth="1"/>
    <col min="14604" max="14604" width="45.7109375" style="204" customWidth="1"/>
    <col min="14605" max="14848" width="11.42578125" style="204"/>
    <col min="14849" max="14849" width="4.28515625" style="204" customWidth="1"/>
    <col min="14850" max="14850" width="50.7109375" style="204" customWidth="1"/>
    <col min="14851" max="14851" width="0.85546875" style="204" customWidth="1"/>
    <col min="14852" max="14852" width="5.7109375" style="204" customWidth="1"/>
    <col min="14853" max="14853" width="0.85546875" style="204" customWidth="1"/>
    <col min="14854" max="14854" width="5.7109375" style="204" customWidth="1"/>
    <col min="14855" max="14855" width="0.85546875" style="204" customWidth="1"/>
    <col min="14856" max="14856" width="5.7109375" style="204" customWidth="1"/>
    <col min="14857" max="14857" width="0.85546875" style="204" customWidth="1"/>
    <col min="14858" max="14858" width="5.7109375" style="204" customWidth="1"/>
    <col min="14859" max="14859" width="0.85546875" style="204" customWidth="1"/>
    <col min="14860" max="14860" width="45.7109375" style="204" customWidth="1"/>
    <col min="14861" max="15104" width="11.42578125" style="204"/>
    <col min="15105" max="15105" width="4.28515625" style="204" customWidth="1"/>
    <col min="15106" max="15106" width="50.7109375" style="204" customWidth="1"/>
    <col min="15107" max="15107" width="0.85546875" style="204" customWidth="1"/>
    <col min="15108" max="15108" width="5.7109375" style="204" customWidth="1"/>
    <col min="15109" max="15109" width="0.85546875" style="204" customWidth="1"/>
    <col min="15110" max="15110" width="5.7109375" style="204" customWidth="1"/>
    <col min="15111" max="15111" width="0.85546875" style="204" customWidth="1"/>
    <col min="15112" max="15112" width="5.7109375" style="204" customWidth="1"/>
    <col min="15113" max="15113" width="0.85546875" style="204" customWidth="1"/>
    <col min="15114" max="15114" width="5.7109375" style="204" customWidth="1"/>
    <col min="15115" max="15115" width="0.85546875" style="204" customWidth="1"/>
    <col min="15116" max="15116" width="45.7109375" style="204" customWidth="1"/>
    <col min="15117" max="15360" width="11.42578125" style="204"/>
    <col min="15361" max="15361" width="4.28515625" style="204" customWidth="1"/>
    <col min="15362" max="15362" width="50.7109375" style="204" customWidth="1"/>
    <col min="15363" max="15363" width="0.85546875" style="204" customWidth="1"/>
    <col min="15364" max="15364" width="5.7109375" style="204" customWidth="1"/>
    <col min="15365" max="15365" width="0.85546875" style="204" customWidth="1"/>
    <col min="15366" max="15366" width="5.7109375" style="204" customWidth="1"/>
    <col min="15367" max="15367" width="0.85546875" style="204" customWidth="1"/>
    <col min="15368" max="15368" width="5.7109375" style="204" customWidth="1"/>
    <col min="15369" max="15369" width="0.85546875" style="204" customWidth="1"/>
    <col min="15370" max="15370" width="5.7109375" style="204" customWidth="1"/>
    <col min="15371" max="15371" width="0.85546875" style="204" customWidth="1"/>
    <col min="15372" max="15372" width="45.7109375" style="204" customWidth="1"/>
    <col min="15373" max="15616" width="11.42578125" style="204"/>
    <col min="15617" max="15617" width="4.28515625" style="204" customWidth="1"/>
    <col min="15618" max="15618" width="50.7109375" style="204" customWidth="1"/>
    <col min="15619" max="15619" width="0.85546875" style="204" customWidth="1"/>
    <col min="15620" max="15620" width="5.7109375" style="204" customWidth="1"/>
    <col min="15621" max="15621" width="0.85546875" style="204" customWidth="1"/>
    <col min="15622" max="15622" width="5.7109375" style="204" customWidth="1"/>
    <col min="15623" max="15623" width="0.85546875" style="204" customWidth="1"/>
    <col min="15624" max="15624" width="5.7109375" style="204" customWidth="1"/>
    <col min="15625" max="15625" width="0.85546875" style="204" customWidth="1"/>
    <col min="15626" max="15626" width="5.7109375" style="204" customWidth="1"/>
    <col min="15627" max="15627" width="0.85546875" style="204" customWidth="1"/>
    <col min="15628" max="15628" width="45.7109375" style="204" customWidth="1"/>
    <col min="15629" max="15872" width="11.42578125" style="204"/>
    <col min="15873" max="15873" width="4.28515625" style="204" customWidth="1"/>
    <col min="15874" max="15874" width="50.7109375" style="204" customWidth="1"/>
    <col min="15875" max="15875" width="0.85546875" style="204" customWidth="1"/>
    <col min="15876" max="15876" width="5.7109375" style="204" customWidth="1"/>
    <col min="15877" max="15877" width="0.85546875" style="204" customWidth="1"/>
    <col min="15878" max="15878" width="5.7109375" style="204" customWidth="1"/>
    <col min="15879" max="15879" width="0.85546875" style="204" customWidth="1"/>
    <col min="15880" max="15880" width="5.7109375" style="204" customWidth="1"/>
    <col min="15881" max="15881" width="0.85546875" style="204" customWidth="1"/>
    <col min="15882" max="15882" width="5.7109375" style="204" customWidth="1"/>
    <col min="15883" max="15883" width="0.85546875" style="204" customWidth="1"/>
    <col min="15884" max="15884" width="45.7109375" style="204" customWidth="1"/>
    <col min="15885" max="16128" width="11.42578125" style="204"/>
    <col min="16129" max="16129" width="4.28515625" style="204" customWidth="1"/>
    <col min="16130" max="16130" width="50.7109375" style="204" customWidth="1"/>
    <col min="16131" max="16131" width="0.85546875" style="204" customWidth="1"/>
    <col min="16132" max="16132" width="5.7109375" style="204" customWidth="1"/>
    <col min="16133" max="16133" width="0.85546875" style="204" customWidth="1"/>
    <col min="16134" max="16134" width="5.7109375" style="204" customWidth="1"/>
    <col min="16135" max="16135" width="0.85546875" style="204" customWidth="1"/>
    <col min="16136" max="16136" width="5.7109375" style="204" customWidth="1"/>
    <col min="16137" max="16137" width="0.85546875" style="204" customWidth="1"/>
    <col min="16138" max="16138" width="5.7109375" style="204" customWidth="1"/>
    <col min="16139" max="16139" width="0.85546875" style="204" customWidth="1"/>
    <col min="16140" max="16140" width="45.7109375" style="204" customWidth="1"/>
    <col min="16141" max="16384" width="11.42578125" style="204"/>
  </cols>
  <sheetData>
    <row r="1" spans="1:212" ht="42.95" customHeight="1" x14ac:dyDescent="0.25">
      <c r="B1" s="2064" t="s">
        <v>1669</v>
      </c>
      <c r="C1" s="2064"/>
      <c r="D1" s="2064"/>
      <c r="E1" s="2064"/>
      <c r="F1" s="2064"/>
      <c r="G1" s="2064"/>
      <c r="H1" s="2064"/>
      <c r="I1" s="2064"/>
      <c r="J1" s="2064"/>
      <c r="K1" s="2064"/>
      <c r="L1" s="2064"/>
    </row>
    <row r="2" spans="1:212" ht="30" customHeight="1" x14ac:dyDescent="0.25">
      <c r="B2" s="1008" t="s">
        <v>835</v>
      </c>
      <c r="C2" s="221"/>
      <c r="D2" s="222"/>
      <c r="E2" s="222"/>
      <c r="F2" s="222"/>
      <c r="G2" s="222"/>
      <c r="H2" s="222"/>
      <c r="I2" s="205"/>
      <c r="J2" s="205"/>
      <c r="K2" s="205"/>
      <c r="L2" s="205"/>
    </row>
    <row r="3" spans="1:212" ht="20.100000000000001" customHeight="1" thickBot="1" x14ac:dyDescent="0.3">
      <c r="B3" s="1009" t="s">
        <v>836</v>
      </c>
      <c r="C3" s="1010"/>
      <c r="D3" s="1010"/>
      <c r="E3" s="1010"/>
      <c r="F3" s="1010"/>
      <c r="G3" s="1011"/>
      <c r="H3" s="2065" t="s">
        <v>837</v>
      </c>
      <c r="I3" s="2065"/>
      <c r="J3" s="2065"/>
      <c r="K3" s="2065"/>
      <c r="L3" s="2065"/>
    </row>
    <row r="4" spans="1:212" ht="32.25" customHeight="1" thickBot="1" x14ac:dyDescent="0.3">
      <c r="B4" s="1012">
        <f>'1.Hoja_de_Cotización'!C69</f>
        <v>0</v>
      </c>
      <c r="C4" s="1013"/>
      <c r="D4" s="1013"/>
      <c r="E4" s="1013"/>
      <c r="F4" s="1013"/>
      <c r="G4" s="206"/>
      <c r="H4" s="2066" t="str">
        <f>CONCATENATE('1.Hoja_de_Cotización'!C16,"-",'1.Hoja_de_Cotización'!C18,"-",'1.Hoja_de_Cotización'!C20,"-",'1.Hoja_de_Cotización'!C22,"-",'1.Hoja_de_Cotización'!C24)</f>
        <v>Compra Vivienda Vacacional-Individual-Residencial-Nueva-Casa</v>
      </c>
      <c r="I4" s="2067"/>
      <c r="J4" s="2067"/>
      <c r="K4" s="2067"/>
      <c r="L4" s="2068"/>
    </row>
    <row r="5" spans="1:212" ht="9.9499999999999993" customHeight="1" thickBot="1" x14ac:dyDescent="0.3">
      <c r="B5" s="205"/>
      <c r="C5" s="205"/>
      <c r="D5" s="205"/>
      <c r="E5" s="205"/>
      <c r="F5" s="205"/>
      <c r="G5" s="206"/>
      <c r="H5" s="207"/>
      <c r="I5" s="207"/>
      <c r="J5" s="207"/>
      <c r="K5" s="207"/>
      <c r="L5" s="207"/>
    </row>
    <row r="6" spans="1:212" ht="18" customHeight="1" x14ac:dyDescent="0.25">
      <c r="B6" s="2069" t="s">
        <v>810</v>
      </c>
      <c r="C6" s="2070"/>
      <c r="D6" s="2070"/>
      <c r="E6" s="2070"/>
      <c r="F6" s="2070"/>
      <c r="G6" s="2070"/>
      <c r="H6" s="2070"/>
      <c r="I6" s="2070"/>
      <c r="J6" s="2070"/>
      <c r="K6" s="2070"/>
      <c r="L6" s="208" t="s">
        <v>811</v>
      </c>
    </row>
    <row r="7" spans="1:212" ht="18" customHeight="1" x14ac:dyDescent="0.2">
      <c r="B7" s="2071" t="s">
        <v>1336</v>
      </c>
      <c r="C7" s="2072"/>
      <c r="D7" s="2072"/>
      <c r="E7" s="2072"/>
      <c r="F7" s="2072"/>
      <c r="G7" s="2072"/>
      <c r="H7" s="2072"/>
      <c r="I7" s="2072"/>
      <c r="J7" s="2072"/>
      <c r="K7" s="2073"/>
      <c r="L7" s="1258" t="s">
        <v>1337</v>
      </c>
    </row>
    <row r="8" spans="1:212" ht="18" customHeight="1" x14ac:dyDescent="0.25">
      <c r="B8" s="2033" t="s">
        <v>812</v>
      </c>
      <c r="C8" s="2034"/>
      <c r="D8" s="2034"/>
      <c r="E8" s="2034"/>
      <c r="F8" s="2034"/>
      <c r="G8" s="2034"/>
      <c r="H8" s="2034"/>
      <c r="I8" s="2034"/>
      <c r="J8" s="2034"/>
      <c r="K8" s="2034"/>
      <c r="L8" s="1259"/>
    </row>
    <row r="9" spans="1:212" ht="18" customHeight="1" x14ac:dyDescent="0.25">
      <c r="B9" s="2033" t="s">
        <v>831</v>
      </c>
      <c r="C9" s="2034"/>
      <c r="D9" s="2034"/>
      <c r="E9" s="2034"/>
      <c r="F9" s="2034"/>
      <c r="G9" s="2034"/>
      <c r="H9" s="2034"/>
      <c r="I9" s="2034"/>
      <c r="J9" s="2034"/>
      <c r="K9" s="2034"/>
      <c r="L9" s="1259"/>
    </row>
    <row r="10" spans="1:212" ht="20.100000000000001" customHeight="1" x14ac:dyDescent="0.25">
      <c r="B10" s="2055" t="s">
        <v>1359</v>
      </c>
      <c r="C10" s="2056"/>
      <c r="D10" s="2056"/>
      <c r="E10" s="2056"/>
      <c r="F10" s="2056"/>
      <c r="G10" s="2056"/>
      <c r="H10" s="2056"/>
      <c r="I10" s="2056"/>
      <c r="J10" s="2056"/>
      <c r="K10" s="2056"/>
      <c r="L10" s="2057"/>
    </row>
    <row r="11" spans="1:212" ht="20.100000000000001" customHeight="1" x14ac:dyDescent="0.25">
      <c r="B11" s="2055" t="s">
        <v>1338</v>
      </c>
      <c r="C11" s="2056"/>
      <c r="D11" s="2056"/>
      <c r="E11" s="2056"/>
      <c r="F11" s="2056"/>
      <c r="G11" s="2056"/>
      <c r="H11" s="2056"/>
      <c r="I11" s="2056"/>
      <c r="J11" s="2056"/>
      <c r="K11" s="2056"/>
      <c r="L11" s="2057"/>
    </row>
    <row r="12" spans="1:212" ht="20.100000000000001" customHeight="1" thickBot="1" x14ac:dyDescent="0.3">
      <c r="B12" s="2058" t="s">
        <v>1339</v>
      </c>
      <c r="C12" s="2059"/>
      <c r="D12" s="2059"/>
      <c r="E12" s="2059"/>
      <c r="F12" s="2059"/>
      <c r="G12" s="2059"/>
      <c r="H12" s="2059"/>
      <c r="I12" s="2059"/>
      <c r="J12" s="2059"/>
      <c r="K12" s="2059"/>
      <c r="L12" s="2060"/>
    </row>
    <row r="13" spans="1:212" s="1022" customFormat="1" ht="15.75" thickBot="1" x14ac:dyDescent="0.3">
      <c r="A13" s="209"/>
      <c r="B13" s="2061" t="s">
        <v>813</v>
      </c>
      <c r="C13" s="210"/>
      <c r="D13" s="2044" t="s">
        <v>156</v>
      </c>
      <c r="E13" s="2045"/>
      <c r="F13" s="2045"/>
      <c r="G13" s="2045"/>
      <c r="H13" s="2045"/>
      <c r="I13" s="2045"/>
      <c r="J13" s="2046"/>
      <c r="K13" s="210"/>
      <c r="L13" s="2061" t="s">
        <v>811</v>
      </c>
      <c r="M13" s="209"/>
      <c r="N13" s="209"/>
      <c r="O13" s="209"/>
      <c r="P13" s="209"/>
      <c r="Q13" s="209"/>
      <c r="R13" s="209"/>
      <c r="S13" s="209"/>
      <c r="T13" s="209"/>
      <c r="U13" s="209"/>
      <c r="V13" s="209"/>
      <c r="W13" s="209"/>
      <c r="X13" s="209"/>
      <c r="Y13" s="209"/>
      <c r="Z13" s="209"/>
      <c r="AA13" s="209"/>
      <c r="AB13" s="209"/>
      <c r="AC13" s="209"/>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c r="BB13" s="209"/>
      <c r="BC13" s="209"/>
      <c r="BD13" s="209"/>
      <c r="BE13" s="209"/>
      <c r="BF13" s="209"/>
      <c r="BG13" s="209"/>
      <c r="BH13" s="209"/>
      <c r="BI13" s="209"/>
      <c r="BJ13" s="209"/>
      <c r="BK13" s="209"/>
      <c r="BL13" s="209"/>
      <c r="BM13" s="209"/>
      <c r="BN13" s="209"/>
      <c r="BO13" s="209"/>
      <c r="BP13" s="209"/>
      <c r="BQ13" s="209"/>
      <c r="BR13" s="209"/>
      <c r="BS13" s="209"/>
      <c r="BT13" s="209"/>
      <c r="BU13" s="209"/>
      <c r="BV13" s="209"/>
      <c r="BW13" s="209"/>
      <c r="BX13" s="209"/>
      <c r="BY13" s="209"/>
      <c r="BZ13" s="209"/>
      <c r="CA13" s="209"/>
      <c r="CB13" s="209"/>
      <c r="CC13" s="209"/>
      <c r="CD13" s="209"/>
      <c r="CE13" s="209"/>
      <c r="CF13" s="209"/>
      <c r="CG13" s="209"/>
      <c r="CH13" s="209"/>
      <c r="CI13" s="209"/>
      <c r="CJ13" s="209"/>
      <c r="CK13" s="209"/>
      <c r="CL13" s="209"/>
      <c r="CM13" s="209"/>
      <c r="CN13" s="209"/>
      <c r="CO13" s="209"/>
      <c r="CP13" s="209"/>
      <c r="CQ13" s="209"/>
      <c r="CR13" s="209"/>
      <c r="CS13" s="209"/>
      <c r="CT13" s="209"/>
      <c r="CU13" s="209"/>
      <c r="CV13" s="209"/>
      <c r="CW13" s="209"/>
      <c r="CX13" s="209"/>
      <c r="CY13" s="209"/>
      <c r="CZ13" s="209"/>
      <c r="DA13" s="209"/>
      <c r="DB13" s="209"/>
      <c r="DC13" s="209"/>
      <c r="DD13" s="209"/>
      <c r="DE13" s="209"/>
      <c r="DF13" s="209"/>
      <c r="DG13" s="209"/>
      <c r="DH13" s="209"/>
      <c r="DI13" s="209"/>
      <c r="DJ13" s="209"/>
      <c r="DK13" s="209"/>
      <c r="DL13" s="209"/>
      <c r="DM13" s="209"/>
      <c r="DN13" s="209"/>
      <c r="DO13" s="209"/>
      <c r="DP13" s="209"/>
      <c r="DQ13" s="209"/>
      <c r="DR13" s="209"/>
      <c r="DS13" s="209"/>
      <c r="DT13" s="209"/>
      <c r="DU13" s="209"/>
      <c r="DV13" s="209"/>
      <c r="DW13" s="209"/>
      <c r="DX13" s="209"/>
      <c r="DY13" s="209"/>
      <c r="DZ13" s="209"/>
      <c r="EA13" s="209"/>
      <c r="EB13" s="209"/>
      <c r="EC13" s="209"/>
      <c r="ED13" s="209"/>
      <c r="EE13" s="209"/>
      <c r="EF13" s="209"/>
      <c r="EG13" s="209"/>
      <c r="EH13" s="209"/>
      <c r="EI13" s="209"/>
      <c r="EJ13" s="209"/>
      <c r="EK13" s="209"/>
      <c r="EL13" s="209"/>
      <c r="EM13" s="209"/>
      <c r="EN13" s="209"/>
      <c r="EO13" s="209"/>
      <c r="EP13" s="209"/>
      <c r="EQ13" s="209"/>
      <c r="ER13" s="209"/>
      <c r="ES13" s="209"/>
      <c r="ET13" s="209"/>
      <c r="EU13" s="209"/>
      <c r="EV13" s="209"/>
      <c r="EW13" s="209"/>
      <c r="EX13" s="209"/>
      <c r="EY13" s="209"/>
      <c r="EZ13" s="209"/>
      <c r="FA13" s="209"/>
      <c r="FB13" s="209"/>
      <c r="FC13" s="209"/>
      <c r="FD13" s="209"/>
      <c r="FE13" s="209"/>
      <c r="FF13" s="209"/>
      <c r="FG13" s="209"/>
      <c r="FH13" s="209"/>
      <c r="FI13" s="209"/>
      <c r="FJ13" s="209"/>
      <c r="FK13" s="209"/>
      <c r="FL13" s="209"/>
      <c r="FM13" s="209"/>
      <c r="FN13" s="209"/>
      <c r="FO13" s="209"/>
      <c r="FP13" s="209"/>
      <c r="FQ13" s="209"/>
      <c r="FR13" s="209"/>
      <c r="FS13" s="209"/>
      <c r="FT13" s="209"/>
      <c r="FU13" s="209"/>
      <c r="FV13" s="209"/>
      <c r="FW13" s="209"/>
      <c r="FX13" s="209"/>
      <c r="FY13" s="209"/>
      <c r="FZ13" s="209"/>
      <c r="GA13" s="209"/>
      <c r="GB13" s="209"/>
      <c r="GC13" s="209"/>
      <c r="GD13" s="209"/>
      <c r="GE13" s="209"/>
      <c r="GF13" s="209"/>
      <c r="GG13" s="209"/>
      <c r="GH13" s="209"/>
      <c r="GI13" s="209"/>
      <c r="GJ13" s="209"/>
      <c r="GK13" s="209"/>
      <c r="GL13" s="209"/>
      <c r="GM13" s="209"/>
      <c r="GN13" s="209"/>
      <c r="GO13" s="209"/>
      <c r="GP13" s="209"/>
      <c r="GQ13" s="209"/>
      <c r="GR13" s="209"/>
      <c r="GS13" s="209"/>
      <c r="GT13" s="209"/>
      <c r="GU13" s="209"/>
      <c r="GV13" s="209"/>
      <c r="GW13" s="209"/>
      <c r="GX13" s="209"/>
      <c r="GY13" s="209"/>
      <c r="GZ13" s="209"/>
      <c r="HA13" s="209"/>
      <c r="HB13" s="209"/>
      <c r="HC13" s="209"/>
      <c r="HD13" s="209"/>
    </row>
    <row r="14" spans="1:212" ht="15.75" thickBot="1" x14ac:dyDescent="0.3">
      <c r="B14" s="2062"/>
      <c r="C14" s="210"/>
      <c r="D14" s="1248" t="s">
        <v>814</v>
      </c>
      <c r="E14" s="210"/>
      <c r="F14" s="1248" t="s">
        <v>815</v>
      </c>
      <c r="G14" s="210"/>
      <c r="H14" s="1248" t="s">
        <v>816</v>
      </c>
      <c r="I14" s="210"/>
      <c r="J14" s="211" t="s">
        <v>817</v>
      </c>
      <c r="K14" s="210"/>
      <c r="L14" s="2063"/>
    </row>
    <row r="15" spans="1:212" ht="18" customHeight="1" x14ac:dyDescent="0.25">
      <c r="B15" s="212" t="s">
        <v>830</v>
      </c>
      <c r="C15" s="213"/>
      <c r="D15" s="1260"/>
      <c r="E15" s="991"/>
      <c r="F15" s="1260"/>
      <c r="G15" s="991"/>
      <c r="H15" s="1260"/>
      <c r="I15" s="991"/>
      <c r="J15" s="1260"/>
      <c r="K15" s="991"/>
      <c r="L15" s="992"/>
    </row>
    <row r="16" spans="1:212" ht="18" customHeight="1" x14ac:dyDescent="0.25">
      <c r="B16" s="214" t="s">
        <v>818</v>
      </c>
      <c r="C16" s="215"/>
      <c r="D16" s="1023"/>
      <c r="E16" s="993"/>
      <c r="F16" s="1023"/>
      <c r="G16" s="993"/>
      <c r="H16" s="1023"/>
      <c r="I16" s="993"/>
      <c r="J16" s="1023"/>
      <c r="K16" s="993"/>
      <c r="L16" s="1014"/>
    </row>
    <row r="17" spans="2:12" ht="18" customHeight="1" x14ac:dyDescent="0.25">
      <c r="B17" s="214" t="s">
        <v>1340</v>
      </c>
      <c r="C17" s="215"/>
      <c r="D17" s="1015"/>
      <c r="E17" s="993"/>
      <c r="F17" s="1015"/>
      <c r="G17" s="993"/>
      <c r="H17" s="1015"/>
      <c r="I17" s="993"/>
      <c r="J17" s="1015"/>
      <c r="K17" s="993"/>
      <c r="L17" s="1016"/>
    </row>
    <row r="18" spans="2:12" ht="30" customHeight="1" x14ac:dyDescent="0.25">
      <c r="B18" s="1261" t="s">
        <v>2203</v>
      </c>
      <c r="C18" s="1262"/>
      <c r="D18" s="1023"/>
      <c r="E18" s="1263"/>
      <c r="F18" s="1023"/>
      <c r="G18" s="1263"/>
      <c r="H18" s="1023"/>
      <c r="I18" s="1263"/>
      <c r="J18" s="1023"/>
      <c r="K18" s="1263"/>
      <c r="L18" s="1264"/>
    </row>
    <row r="19" spans="2:12" ht="16.5" customHeight="1" x14ac:dyDescent="0.25">
      <c r="B19" s="1265" t="s">
        <v>2204</v>
      </c>
      <c r="C19" s="215"/>
      <c r="D19" s="1266"/>
      <c r="E19" s="993"/>
      <c r="F19" s="1266"/>
      <c r="G19" s="993"/>
      <c r="H19" s="1266"/>
      <c r="I19" s="993"/>
      <c r="J19" s="1266"/>
      <c r="K19" s="993"/>
      <c r="L19" s="1267"/>
    </row>
    <row r="20" spans="2:12" ht="20.100000000000001" customHeight="1" thickBot="1" x14ac:dyDescent="0.3">
      <c r="B20" s="2044" t="s">
        <v>819</v>
      </c>
      <c r="C20" s="2045"/>
      <c r="D20" s="2045"/>
      <c r="E20" s="2045"/>
      <c r="F20" s="2045"/>
      <c r="G20" s="2045"/>
      <c r="H20" s="2045"/>
      <c r="I20" s="2045"/>
      <c r="J20" s="2045"/>
      <c r="K20" s="2045"/>
      <c r="L20" s="2046"/>
    </row>
    <row r="21" spans="2:12" ht="18" customHeight="1" x14ac:dyDescent="0.25">
      <c r="B21" s="994" t="s">
        <v>820</v>
      </c>
      <c r="C21" s="995"/>
      <c r="D21" s="1260"/>
      <c r="E21" s="991"/>
      <c r="F21" s="1260"/>
      <c r="G21" s="991"/>
      <c r="H21" s="1260"/>
      <c r="I21" s="991"/>
      <c r="J21" s="1260"/>
      <c r="K21" s="991"/>
      <c r="L21" s="996"/>
    </row>
    <row r="22" spans="2:12" ht="24.95" customHeight="1" x14ac:dyDescent="0.25">
      <c r="B22" s="997" t="s">
        <v>1341</v>
      </c>
      <c r="C22" s="995"/>
      <c r="D22" s="1023"/>
      <c r="E22" s="993"/>
      <c r="F22" s="1023"/>
      <c r="G22" s="993"/>
      <c r="H22" s="1023"/>
      <c r="I22" s="993"/>
      <c r="J22" s="1023"/>
      <c r="K22" s="993"/>
      <c r="L22" s="1016"/>
    </row>
    <row r="23" spans="2:12" ht="18" customHeight="1" x14ac:dyDescent="0.25">
      <c r="B23" s="997" t="s">
        <v>1342</v>
      </c>
      <c r="C23" s="995"/>
      <c r="D23" s="1023"/>
      <c r="E23" s="993"/>
      <c r="F23" s="1023"/>
      <c r="G23" s="993"/>
      <c r="H23" s="1023"/>
      <c r="I23" s="993"/>
      <c r="J23" s="1023"/>
      <c r="K23" s="993"/>
      <c r="L23" s="1016"/>
    </row>
    <row r="24" spans="2:12" ht="18" customHeight="1" x14ac:dyDescent="0.25">
      <c r="B24" s="997" t="s">
        <v>1343</v>
      </c>
      <c r="C24" s="995"/>
      <c r="D24" s="1023"/>
      <c r="E24" s="993"/>
      <c r="F24" s="1023"/>
      <c r="G24" s="993"/>
      <c r="H24" s="1023"/>
      <c r="I24" s="993"/>
      <c r="J24" s="1023"/>
      <c r="K24" s="993"/>
      <c r="L24" s="1016"/>
    </row>
    <row r="25" spans="2:12" ht="18" customHeight="1" x14ac:dyDescent="0.25">
      <c r="B25" s="998" t="s">
        <v>821</v>
      </c>
      <c r="C25" s="995"/>
      <c r="D25" s="1023"/>
      <c r="E25" s="993"/>
      <c r="F25" s="1023"/>
      <c r="G25" s="993"/>
      <c r="H25" s="1023"/>
      <c r="I25" s="993"/>
      <c r="J25" s="1023"/>
      <c r="K25" s="993"/>
      <c r="L25" s="1017" t="s">
        <v>822</v>
      </c>
    </row>
    <row r="26" spans="2:12" ht="18" customHeight="1" x14ac:dyDescent="0.25">
      <c r="B26" s="999" t="s">
        <v>1344</v>
      </c>
      <c r="C26" s="995"/>
      <c r="D26" s="1023"/>
      <c r="E26" s="993"/>
      <c r="F26" s="1023"/>
      <c r="G26" s="993"/>
      <c r="H26" s="1023"/>
      <c r="I26" s="993"/>
      <c r="J26" s="1023"/>
      <c r="K26" s="993"/>
      <c r="L26" s="1000"/>
    </row>
    <row r="27" spans="2:12" ht="18" customHeight="1" x14ac:dyDescent="0.25">
      <c r="B27" s="1018" t="s">
        <v>1345</v>
      </c>
      <c r="C27" s="995"/>
      <c r="D27" s="1023"/>
      <c r="E27" s="993"/>
      <c r="F27" s="1023"/>
      <c r="G27" s="993"/>
      <c r="H27" s="1023"/>
      <c r="I27" s="993"/>
      <c r="J27" s="1023"/>
      <c r="K27" s="993"/>
      <c r="L27" s="1014"/>
    </row>
    <row r="28" spans="2:12" ht="18" customHeight="1" x14ac:dyDescent="0.25">
      <c r="B28" s="1001" t="s">
        <v>853</v>
      </c>
      <c r="C28" s="995"/>
      <c r="D28" s="1023"/>
      <c r="E28" s="993"/>
      <c r="F28" s="1023"/>
      <c r="G28" s="993"/>
      <c r="H28" s="1023"/>
      <c r="I28" s="993"/>
      <c r="J28" s="1023"/>
      <c r="K28" s="993"/>
      <c r="L28" s="2047" t="s">
        <v>823</v>
      </c>
    </row>
    <row r="29" spans="2:12" ht="18" customHeight="1" x14ac:dyDescent="0.25">
      <c r="B29" s="1001" t="s">
        <v>854</v>
      </c>
      <c r="C29" s="995"/>
      <c r="D29" s="1023"/>
      <c r="E29" s="993"/>
      <c r="F29" s="1023"/>
      <c r="G29" s="993"/>
      <c r="H29" s="1023"/>
      <c r="I29" s="993"/>
      <c r="J29" s="1023"/>
      <c r="K29" s="993"/>
      <c r="L29" s="2048"/>
    </row>
    <row r="30" spans="2:12" ht="18" customHeight="1" thickBot="1" x14ac:dyDescent="0.3">
      <c r="B30" s="1001" t="s">
        <v>855</v>
      </c>
      <c r="C30" s="995"/>
      <c r="D30" s="1015"/>
      <c r="E30" s="993"/>
      <c r="F30" s="1015"/>
      <c r="G30" s="993"/>
      <c r="H30" s="1015"/>
      <c r="I30" s="993"/>
      <c r="J30" s="1015"/>
      <c r="K30" s="993"/>
      <c r="L30" s="2049"/>
    </row>
    <row r="31" spans="2:12" ht="20.100000000000001" customHeight="1" thickBot="1" x14ac:dyDescent="0.3">
      <c r="B31" s="2050" t="s">
        <v>824</v>
      </c>
      <c r="C31" s="2051"/>
      <c r="D31" s="2051"/>
      <c r="E31" s="2051"/>
      <c r="F31" s="2051"/>
      <c r="G31" s="2051"/>
      <c r="H31" s="2051"/>
      <c r="I31" s="2051"/>
      <c r="J31" s="2052"/>
      <c r="K31" s="993"/>
      <c r="L31" s="1002" t="s">
        <v>811</v>
      </c>
    </row>
    <row r="32" spans="2:12" ht="17.100000000000001" customHeight="1" x14ac:dyDescent="0.25">
      <c r="B32" s="2053" t="s">
        <v>825</v>
      </c>
      <c r="C32" s="2054"/>
      <c r="D32" s="2054"/>
      <c r="E32" s="2054"/>
      <c r="F32" s="2054"/>
      <c r="G32" s="2054"/>
      <c r="H32" s="2054"/>
      <c r="I32" s="2054"/>
      <c r="J32" s="2054"/>
      <c r="K32" s="216"/>
      <c r="L32" s="217"/>
    </row>
    <row r="33" spans="1:12" ht="17.100000000000001" customHeight="1" thickBot="1" x14ac:dyDescent="0.3">
      <c r="B33" s="2055" t="s">
        <v>1346</v>
      </c>
      <c r="C33" s="2056"/>
      <c r="D33" s="2056"/>
      <c r="E33" s="2056"/>
      <c r="F33" s="2056"/>
      <c r="G33" s="2056"/>
      <c r="H33" s="2056"/>
      <c r="I33" s="2056"/>
      <c r="J33" s="2056"/>
      <c r="K33" s="1250"/>
      <c r="L33" s="1268"/>
    </row>
    <row r="34" spans="1:12" ht="17.100000000000001" customHeight="1" x14ac:dyDescent="0.25">
      <c r="B34" s="2053" t="s">
        <v>826</v>
      </c>
      <c r="C34" s="2054"/>
      <c r="D34" s="2054"/>
      <c r="E34" s="2054"/>
      <c r="F34" s="2054"/>
      <c r="G34" s="2054"/>
      <c r="H34" s="2054"/>
      <c r="I34" s="2054"/>
      <c r="J34" s="2054"/>
      <c r="K34" s="216"/>
      <c r="L34" s="1268"/>
    </row>
    <row r="35" spans="1:12" ht="17.100000000000001" customHeight="1" x14ac:dyDescent="0.25">
      <c r="B35" s="2033" t="s">
        <v>832</v>
      </c>
      <c r="C35" s="2034"/>
      <c r="D35" s="2034"/>
      <c r="E35" s="2034"/>
      <c r="F35" s="2034"/>
      <c r="G35" s="2034"/>
      <c r="H35" s="2034"/>
      <c r="I35" s="2034"/>
      <c r="J35" s="2034"/>
      <c r="K35" s="1249"/>
      <c r="L35" s="1019"/>
    </row>
    <row r="36" spans="1:12" ht="17.100000000000001" customHeight="1" x14ac:dyDescent="0.25">
      <c r="B36" s="2033" t="s">
        <v>833</v>
      </c>
      <c r="C36" s="2034"/>
      <c r="D36" s="2034"/>
      <c r="E36" s="2034"/>
      <c r="F36" s="2034"/>
      <c r="G36" s="2034"/>
      <c r="H36" s="2034"/>
      <c r="I36" s="2034"/>
      <c r="J36" s="2034"/>
      <c r="K36" s="1249"/>
      <c r="L36" s="1019"/>
    </row>
    <row r="37" spans="1:12" ht="17.100000000000001" customHeight="1" x14ac:dyDescent="0.25">
      <c r="B37" s="2033" t="s">
        <v>1347</v>
      </c>
      <c r="C37" s="2034"/>
      <c r="D37" s="2034"/>
      <c r="E37" s="2034"/>
      <c r="F37" s="2034"/>
      <c r="G37" s="2034"/>
      <c r="H37" s="2034"/>
      <c r="I37" s="2034"/>
      <c r="J37" s="2034"/>
      <c r="K37" s="2035"/>
      <c r="L37" s="1019"/>
    </row>
    <row r="38" spans="1:12" ht="17.100000000000001" customHeight="1" x14ac:dyDescent="0.25">
      <c r="B38" s="2033" t="s">
        <v>834</v>
      </c>
      <c r="C38" s="2034"/>
      <c r="D38" s="2034"/>
      <c r="E38" s="2034"/>
      <c r="F38" s="2034"/>
      <c r="G38" s="2034"/>
      <c r="H38" s="2034"/>
      <c r="I38" s="2034"/>
      <c r="J38" s="2034"/>
      <c r="K38" s="2035"/>
      <c r="L38" s="1019"/>
    </row>
    <row r="39" spans="1:12" ht="17.100000000000001" customHeight="1" x14ac:dyDescent="0.25">
      <c r="B39" s="2041" t="s">
        <v>844</v>
      </c>
      <c r="C39" s="2042"/>
      <c r="D39" s="2042"/>
      <c r="E39" s="2042"/>
      <c r="F39" s="2042"/>
      <c r="G39" s="2042"/>
      <c r="H39" s="2042"/>
      <c r="I39" s="2042"/>
      <c r="J39" s="2042"/>
      <c r="K39" s="2043"/>
      <c r="L39" s="1019"/>
    </row>
    <row r="40" spans="1:12" ht="17.100000000000001" customHeight="1" x14ac:dyDescent="0.25">
      <c r="B40" s="2041" t="s">
        <v>845</v>
      </c>
      <c r="C40" s="2042"/>
      <c r="D40" s="2042"/>
      <c r="E40" s="2042"/>
      <c r="F40" s="2042"/>
      <c r="G40" s="2042"/>
      <c r="H40" s="2042"/>
      <c r="I40" s="2042"/>
      <c r="J40" s="2042"/>
      <c r="K40" s="2043"/>
      <c r="L40" s="1268"/>
    </row>
    <row r="41" spans="1:12" ht="17.100000000000001" customHeight="1" x14ac:dyDescent="0.25">
      <c r="A41" s="230"/>
      <c r="B41" s="2030" t="s">
        <v>1348</v>
      </c>
      <c r="C41" s="2031"/>
      <c r="D41" s="2031"/>
      <c r="E41" s="2031"/>
      <c r="F41" s="2031"/>
      <c r="G41" s="2031"/>
      <c r="H41" s="2031"/>
      <c r="I41" s="2031"/>
      <c r="J41" s="2031"/>
      <c r="K41" s="2032"/>
      <c r="L41" s="1268"/>
    </row>
    <row r="42" spans="1:12" ht="21.95" customHeight="1" x14ac:dyDescent="0.25">
      <c r="A42" s="231"/>
      <c r="B42" s="2033" t="s">
        <v>1349</v>
      </c>
      <c r="C42" s="2034"/>
      <c r="D42" s="2034"/>
      <c r="E42" s="2034"/>
      <c r="F42" s="2034"/>
      <c r="G42" s="2034"/>
      <c r="H42" s="2034"/>
      <c r="I42" s="2034"/>
      <c r="J42" s="2034"/>
      <c r="K42" s="2034"/>
      <c r="L42" s="2035"/>
    </row>
    <row r="43" spans="1:12" ht="21.95" customHeight="1" x14ac:dyDescent="0.25">
      <c r="A43" s="231"/>
      <c r="B43" s="1251" t="s">
        <v>1350</v>
      </c>
      <c r="C43" s="1252"/>
      <c r="D43" s="1252"/>
      <c r="E43" s="1252"/>
      <c r="F43" s="1252"/>
      <c r="G43" s="1252"/>
      <c r="H43" s="1252"/>
      <c r="I43" s="1252"/>
      <c r="J43" s="1252"/>
      <c r="K43" s="1253"/>
      <c r="L43" s="1268"/>
    </row>
    <row r="44" spans="1:12" ht="21.95" customHeight="1" x14ac:dyDescent="0.25">
      <c r="A44" s="231"/>
      <c r="B44" s="1251" t="s">
        <v>1351</v>
      </c>
      <c r="C44" s="1252"/>
      <c r="D44" s="1252"/>
      <c r="E44" s="1252"/>
      <c r="F44" s="1252"/>
      <c r="G44" s="1252"/>
      <c r="H44" s="1252"/>
      <c r="I44" s="1252"/>
      <c r="J44" s="1252"/>
      <c r="K44" s="1253"/>
      <c r="L44" s="1268"/>
    </row>
    <row r="45" spans="1:12" ht="17.100000000000001" customHeight="1" x14ac:dyDescent="0.25">
      <c r="B45" s="2036" t="s">
        <v>827</v>
      </c>
      <c r="C45" s="2037"/>
      <c r="D45" s="2037"/>
      <c r="E45" s="2037"/>
      <c r="F45" s="2037"/>
      <c r="G45" s="2037"/>
      <c r="H45" s="2037"/>
      <c r="I45" s="2037"/>
      <c r="J45" s="2037"/>
      <c r="K45" s="2038"/>
      <c r="L45" s="1268"/>
    </row>
    <row r="46" spans="1:12" ht="17.100000000000001" customHeight="1" x14ac:dyDescent="0.25">
      <c r="B46" s="2033" t="s">
        <v>1335</v>
      </c>
      <c r="C46" s="2034"/>
      <c r="D46" s="2034"/>
      <c r="E46" s="2034"/>
      <c r="F46" s="2034"/>
      <c r="G46" s="2034"/>
      <c r="H46" s="2034"/>
      <c r="I46" s="2034"/>
      <c r="J46" s="2034"/>
      <c r="K46" s="2035"/>
      <c r="L46" s="1020"/>
    </row>
    <row r="47" spans="1:12" ht="17.100000000000001" customHeight="1" x14ac:dyDescent="0.25">
      <c r="B47" s="2033" t="s">
        <v>1352</v>
      </c>
      <c r="C47" s="2034"/>
      <c r="D47" s="2034"/>
      <c r="E47" s="2034"/>
      <c r="F47" s="2034"/>
      <c r="G47" s="2034"/>
      <c r="H47" s="2034"/>
      <c r="I47" s="2034"/>
      <c r="J47" s="2034"/>
      <c r="K47" s="2035"/>
      <c r="L47" s="2039" t="s">
        <v>1353</v>
      </c>
    </row>
    <row r="48" spans="1:12" ht="17.100000000000001" customHeight="1" x14ac:dyDescent="0.25">
      <c r="B48" s="2033" t="s">
        <v>1354</v>
      </c>
      <c r="C48" s="2034"/>
      <c r="D48" s="2034"/>
      <c r="E48" s="2034"/>
      <c r="F48" s="2034"/>
      <c r="G48" s="2034"/>
      <c r="H48" s="2034"/>
      <c r="I48" s="2034"/>
      <c r="J48" s="2034"/>
      <c r="K48" s="2035"/>
      <c r="L48" s="2040"/>
    </row>
    <row r="49" spans="1:12" ht="17.100000000000001" customHeight="1" x14ac:dyDescent="0.25">
      <c r="B49" s="2027" t="s">
        <v>846</v>
      </c>
      <c r="C49" s="2028"/>
      <c r="D49" s="2028"/>
      <c r="E49" s="2028"/>
      <c r="F49" s="2028"/>
      <c r="G49" s="2028"/>
      <c r="H49" s="2028"/>
      <c r="I49" s="2028"/>
      <c r="J49" s="2028"/>
      <c r="K49" s="2029"/>
      <c r="L49" s="1269"/>
    </row>
    <row r="50" spans="1:12" ht="20.100000000000001" customHeight="1" x14ac:dyDescent="0.25">
      <c r="B50" s="2036" t="s">
        <v>828</v>
      </c>
      <c r="C50" s="2037"/>
      <c r="D50" s="2037"/>
      <c r="E50" s="2037"/>
      <c r="F50" s="2037"/>
      <c r="G50" s="2037"/>
      <c r="H50" s="2037"/>
      <c r="I50" s="2037"/>
      <c r="J50" s="2037"/>
      <c r="K50" s="2038"/>
      <c r="L50" s="1268"/>
    </row>
    <row r="51" spans="1:12" ht="17.100000000000001" customHeight="1" x14ac:dyDescent="0.25">
      <c r="B51" s="2033" t="s">
        <v>1355</v>
      </c>
      <c r="C51" s="2034"/>
      <c r="D51" s="2034"/>
      <c r="E51" s="2034"/>
      <c r="F51" s="2034"/>
      <c r="G51" s="2034"/>
      <c r="H51" s="2034"/>
      <c r="I51" s="2034"/>
      <c r="J51" s="2034"/>
      <c r="K51" s="2035"/>
      <c r="L51" s="1021"/>
    </row>
    <row r="52" spans="1:12" ht="17.100000000000001" customHeight="1" x14ac:dyDescent="0.25">
      <c r="B52" s="2033" t="s">
        <v>829</v>
      </c>
      <c r="C52" s="2034"/>
      <c r="D52" s="2034"/>
      <c r="E52" s="2034"/>
      <c r="F52" s="2034"/>
      <c r="G52" s="2034"/>
      <c r="H52" s="2034"/>
      <c r="I52" s="2034"/>
      <c r="J52" s="2034"/>
      <c r="K52" s="2035"/>
      <c r="L52" s="1021"/>
    </row>
    <row r="53" spans="1:12" ht="17.100000000000001" customHeight="1" x14ac:dyDescent="0.25">
      <c r="B53" s="2036" t="s">
        <v>819</v>
      </c>
      <c r="C53" s="2037"/>
      <c r="D53" s="2037"/>
      <c r="E53" s="2037"/>
      <c r="F53" s="2037"/>
      <c r="G53" s="2037"/>
      <c r="H53" s="2037"/>
      <c r="I53" s="2037"/>
      <c r="J53" s="2037"/>
      <c r="K53" s="2038"/>
      <c r="L53" s="1021"/>
    </row>
    <row r="54" spans="1:12" ht="17.100000000000001" customHeight="1" x14ac:dyDescent="0.25">
      <c r="B54" s="2027" t="s">
        <v>1356</v>
      </c>
      <c r="C54" s="2028"/>
      <c r="D54" s="2028"/>
      <c r="E54" s="2028"/>
      <c r="F54" s="2028"/>
      <c r="G54" s="2028"/>
      <c r="H54" s="2028"/>
      <c r="I54" s="2028"/>
      <c r="J54" s="2028"/>
      <c r="K54" s="2029"/>
      <c r="L54" s="1021"/>
    </row>
    <row r="55" spans="1:12" ht="20.100000000000001" customHeight="1" thickBot="1" x14ac:dyDescent="0.3">
      <c r="B55" s="2011" t="s">
        <v>1357</v>
      </c>
      <c r="C55" s="2012"/>
      <c r="D55" s="2012"/>
      <c r="E55" s="2012"/>
      <c r="F55" s="2012"/>
      <c r="G55" s="2012"/>
      <c r="H55" s="2012"/>
      <c r="I55" s="2012"/>
      <c r="J55" s="2012"/>
      <c r="K55" s="2013"/>
      <c r="L55" s="218"/>
    </row>
    <row r="56" spans="1:12" s="219" customFormat="1" ht="34.5" customHeight="1" x14ac:dyDescent="0.25">
      <c r="B56" s="2014" t="s">
        <v>856</v>
      </c>
      <c r="C56" s="2014"/>
      <c r="D56" s="2014"/>
      <c r="E56" s="2014"/>
      <c r="F56" s="2014"/>
      <c r="G56" s="2014"/>
      <c r="H56" s="2014"/>
      <c r="I56" s="2014"/>
      <c r="J56" s="2014"/>
      <c r="K56" s="2014"/>
      <c r="L56" s="2014"/>
    </row>
    <row r="57" spans="1:12" ht="5.0999999999999996" customHeight="1" thickBot="1" x14ac:dyDescent="0.3">
      <c r="B57" s="220"/>
      <c r="C57" s="220"/>
      <c r="D57" s="220"/>
      <c r="E57" s="220"/>
      <c r="F57" s="220"/>
      <c r="G57" s="220"/>
      <c r="H57" s="220"/>
      <c r="I57" s="220"/>
      <c r="J57" s="220"/>
      <c r="K57" s="220"/>
      <c r="L57" s="220"/>
    </row>
    <row r="58" spans="1:12" ht="12" customHeight="1" thickBot="1" x14ac:dyDescent="0.25">
      <c r="A58" s="219"/>
      <c r="B58" s="2015" t="s">
        <v>838</v>
      </c>
      <c r="C58" s="2016"/>
      <c r="D58" s="2016"/>
      <c r="E58" s="2016"/>
      <c r="F58" s="2016"/>
      <c r="G58" s="2016"/>
      <c r="H58" s="2016"/>
      <c r="I58" s="2016"/>
      <c r="J58" s="2016"/>
      <c r="K58" s="2016"/>
      <c r="L58" s="2017"/>
    </row>
    <row r="59" spans="1:12" ht="15" customHeight="1" thickBot="1" x14ac:dyDescent="0.25">
      <c r="A59" s="219"/>
      <c r="B59" s="2018" t="s">
        <v>839</v>
      </c>
      <c r="C59" s="2019"/>
      <c r="D59" s="2019"/>
      <c r="E59" s="2019"/>
      <c r="F59" s="2019"/>
      <c r="G59" s="2019"/>
      <c r="H59" s="2019"/>
      <c r="I59" s="2019"/>
      <c r="J59" s="2019"/>
      <c r="K59" s="2019"/>
      <c r="L59" s="2020"/>
    </row>
    <row r="60" spans="1:12" ht="24.95" customHeight="1" x14ac:dyDescent="0.2">
      <c r="A60" s="219"/>
      <c r="B60" s="223" t="s">
        <v>840</v>
      </c>
      <c r="C60" s="224"/>
      <c r="D60" s="2021" t="s">
        <v>1358</v>
      </c>
      <c r="E60" s="2022"/>
      <c r="F60" s="2022"/>
      <c r="G60" s="2022"/>
      <c r="H60" s="2022"/>
      <c r="I60" s="2022"/>
      <c r="J60" s="2022"/>
      <c r="K60" s="2022"/>
      <c r="L60" s="2023"/>
    </row>
    <row r="61" spans="1:12" ht="60" customHeight="1" thickBot="1" x14ac:dyDescent="0.25">
      <c r="A61" s="219"/>
      <c r="B61" s="1270" t="s">
        <v>841</v>
      </c>
      <c r="C61" s="225"/>
      <c r="D61" s="2024"/>
      <c r="E61" s="2025"/>
      <c r="F61" s="2025"/>
      <c r="G61" s="2025"/>
      <c r="H61" s="2025"/>
      <c r="I61" s="2025"/>
      <c r="J61" s="2025"/>
      <c r="K61" s="2025"/>
      <c r="L61" s="2026"/>
    </row>
    <row r="62" spans="1:12" x14ac:dyDescent="0.25">
      <c r="D62" s="204" t="s">
        <v>842</v>
      </c>
    </row>
  </sheetData>
  <mergeCells count="43">
    <mergeCell ref="B8:K8"/>
    <mergeCell ref="B1:L1"/>
    <mergeCell ref="H3:L3"/>
    <mergeCell ref="H4:L4"/>
    <mergeCell ref="B6:K6"/>
    <mergeCell ref="B7:K7"/>
    <mergeCell ref="B9:K9"/>
    <mergeCell ref="B10:L10"/>
    <mergeCell ref="B11:L11"/>
    <mergeCell ref="B12:L12"/>
    <mergeCell ref="B13:B14"/>
    <mergeCell ref="D13:J13"/>
    <mergeCell ref="L13:L14"/>
    <mergeCell ref="B40:K40"/>
    <mergeCell ref="B20:L20"/>
    <mergeCell ref="L28:L30"/>
    <mergeCell ref="B31:J31"/>
    <mergeCell ref="B32:J32"/>
    <mergeCell ref="B33:J33"/>
    <mergeCell ref="B34:J34"/>
    <mergeCell ref="B35:J35"/>
    <mergeCell ref="B36:J36"/>
    <mergeCell ref="B37:K37"/>
    <mergeCell ref="B38:K38"/>
    <mergeCell ref="B39:K39"/>
    <mergeCell ref="B54:K54"/>
    <mergeCell ref="B41:K41"/>
    <mergeCell ref="B42:L42"/>
    <mergeCell ref="B45:K45"/>
    <mergeCell ref="B46:K46"/>
    <mergeCell ref="B47:K47"/>
    <mergeCell ref="L47:L48"/>
    <mergeCell ref="B48:K48"/>
    <mergeCell ref="B49:K49"/>
    <mergeCell ref="B50:K50"/>
    <mergeCell ref="B51:K51"/>
    <mergeCell ref="B52:K52"/>
    <mergeCell ref="B53:K53"/>
    <mergeCell ref="B55:K55"/>
    <mergeCell ref="B56:L56"/>
    <mergeCell ref="B58:L58"/>
    <mergeCell ref="B59:L59"/>
    <mergeCell ref="D60:L61"/>
  </mergeCells>
  <pageMargins left="0.39370078740157483" right="0.39370078740157483" top="0.35433070866141736" bottom="0.35433070866141736" header="0.31496062992125984" footer="0.31496062992125984"/>
  <pageSetup scale="60" orientation="portrait" r:id="rId1"/>
  <headerFooter>
    <oddHeader>&amp;RAID  225</oddHeader>
    <oddFooter>&amp;R&amp;D</oddFooter>
  </headerFooter>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0"/>
  <dimension ref="B1:J18"/>
  <sheetViews>
    <sheetView showGridLines="0" workbookViewId="0">
      <selection activeCell="E18" sqref="E18"/>
    </sheetView>
  </sheetViews>
  <sheetFormatPr baseColWidth="10" defaultRowHeight="15" x14ac:dyDescent="0.25"/>
  <cols>
    <col min="4" max="4" width="7.85546875" customWidth="1"/>
    <col min="5" max="5" width="27.140625" customWidth="1"/>
  </cols>
  <sheetData>
    <row r="1" spans="2:10" x14ac:dyDescent="0.25">
      <c r="C1" s="149"/>
    </row>
    <row r="2" spans="2:10" ht="15" customHeight="1" x14ac:dyDescent="0.25">
      <c r="B2" s="2078" t="s">
        <v>750</v>
      </c>
      <c r="C2" s="2079"/>
      <c r="D2" s="2079"/>
      <c r="E2" s="2079"/>
      <c r="F2" s="2079"/>
      <c r="G2" s="2079"/>
      <c r="H2" s="2079"/>
      <c r="I2" s="2079"/>
      <c r="J2" s="2080"/>
    </row>
    <row r="3" spans="2:10" x14ac:dyDescent="0.25">
      <c r="B3" s="2081"/>
      <c r="C3" s="2082"/>
      <c r="D3" s="2082"/>
      <c r="E3" s="2082"/>
      <c r="F3" s="2082"/>
      <c r="G3" s="2082"/>
      <c r="H3" s="2082"/>
      <c r="I3" s="2082"/>
      <c r="J3" s="2083"/>
    </row>
    <row r="4" spans="2:10" x14ac:dyDescent="0.25">
      <c r="B4" s="190"/>
      <c r="C4" s="149"/>
      <c r="D4" s="149"/>
      <c r="E4" s="149"/>
      <c r="F4" s="149"/>
      <c r="G4" s="149"/>
      <c r="H4" s="149"/>
      <c r="I4" s="149"/>
      <c r="J4" s="198"/>
    </row>
    <row r="5" spans="2:10" x14ac:dyDescent="0.25">
      <c r="B5" s="190"/>
      <c r="C5" s="149"/>
      <c r="D5" s="149"/>
      <c r="E5" s="149"/>
      <c r="F5" s="149"/>
      <c r="G5" s="149"/>
      <c r="H5" s="149"/>
      <c r="I5" s="149"/>
      <c r="J5" s="198"/>
    </row>
    <row r="6" spans="2:10" x14ac:dyDescent="0.25">
      <c r="B6" s="190"/>
      <c r="C6" s="149"/>
      <c r="D6" s="149"/>
      <c r="E6" s="149"/>
      <c r="F6" s="149"/>
      <c r="G6" s="149"/>
      <c r="H6" s="149"/>
      <c r="I6" s="149"/>
      <c r="J6" s="198"/>
    </row>
    <row r="7" spans="2:10" x14ac:dyDescent="0.25">
      <c r="B7" s="190"/>
      <c r="C7" s="149"/>
      <c r="D7" s="149"/>
      <c r="E7" s="149"/>
      <c r="F7" s="149"/>
      <c r="G7" s="149"/>
      <c r="H7" s="149"/>
      <c r="I7" s="149"/>
      <c r="J7" s="198"/>
    </row>
    <row r="8" spans="2:10" x14ac:dyDescent="0.25">
      <c r="B8" s="190"/>
      <c r="C8" s="149"/>
      <c r="D8" s="149"/>
      <c r="E8" s="149"/>
      <c r="F8" s="149"/>
      <c r="G8" s="149"/>
      <c r="H8" s="149"/>
      <c r="I8" s="149"/>
      <c r="J8" s="198"/>
    </row>
    <row r="9" spans="2:10" x14ac:dyDescent="0.25">
      <c r="B9" s="190"/>
      <c r="C9" s="149"/>
      <c r="D9" s="149"/>
      <c r="E9" s="149"/>
      <c r="F9" s="149"/>
      <c r="G9" s="149"/>
      <c r="H9" s="149"/>
      <c r="I9" s="149"/>
      <c r="J9" s="198"/>
    </row>
    <row r="10" spans="2:10" x14ac:dyDescent="0.25">
      <c r="B10" s="190"/>
      <c r="C10" s="149"/>
      <c r="D10" s="149"/>
      <c r="E10" s="149"/>
      <c r="F10" s="149"/>
      <c r="G10" s="149"/>
      <c r="H10" s="149"/>
      <c r="I10" s="149"/>
      <c r="J10" s="198"/>
    </row>
    <row r="11" spans="2:10" ht="15" customHeight="1" x14ac:dyDescent="0.25">
      <c r="B11" s="2076" t="s">
        <v>756</v>
      </c>
      <c r="C11" s="2074"/>
      <c r="D11" s="191"/>
      <c r="E11" s="2074" t="s">
        <v>788</v>
      </c>
      <c r="F11" s="191"/>
      <c r="G11" s="2074" t="s">
        <v>852</v>
      </c>
      <c r="H11" s="2074"/>
      <c r="I11" s="149"/>
      <c r="J11" s="199" t="s">
        <v>779</v>
      </c>
    </row>
    <row r="12" spans="2:10" x14ac:dyDescent="0.25">
      <c r="B12" s="2076"/>
      <c r="C12" s="2074"/>
      <c r="D12" s="191"/>
      <c r="E12" s="2074"/>
      <c r="F12" s="191"/>
      <c r="G12" s="2074"/>
      <c r="H12" s="2074"/>
      <c r="I12" s="149"/>
      <c r="J12" s="198"/>
    </row>
    <row r="13" spans="2:10" x14ac:dyDescent="0.25">
      <c r="B13" s="2077"/>
      <c r="C13" s="2075"/>
      <c r="D13" s="192"/>
      <c r="E13" s="2075"/>
      <c r="F13" s="192"/>
      <c r="G13" s="2084"/>
      <c r="H13" s="2084"/>
      <c r="I13" s="192"/>
      <c r="J13" s="193"/>
    </row>
    <row r="14" spans="2:10" x14ac:dyDescent="0.25">
      <c r="B14" s="149"/>
      <c r="C14" s="149"/>
      <c r="D14" s="149"/>
      <c r="E14" s="149"/>
      <c r="F14" s="149"/>
      <c r="G14" s="149"/>
      <c r="H14" s="149"/>
    </row>
    <row r="15" spans="2:10" x14ac:dyDescent="0.25">
      <c r="B15" s="149"/>
      <c r="C15" s="149"/>
      <c r="D15" s="149"/>
      <c r="E15" s="149"/>
      <c r="F15" s="149"/>
      <c r="G15" s="149"/>
      <c r="H15" s="149"/>
    </row>
    <row r="16" spans="2:10" x14ac:dyDescent="0.25">
      <c r="B16" s="149"/>
      <c r="C16" s="149"/>
      <c r="D16" s="149"/>
      <c r="E16" s="149"/>
      <c r="F16" s="149"/>
      <c r="G16" s="149"/>
      <c r="H16" s="149"/>
    </row>
    <row r="17" spans="2:8" x14ac:dyDescent="0.25">
      <c r="B17" s="149"/>
      <c r="C17" s="149"/>
      <c r="D17" s="149"/>
      <c r="E17" s="149"/>
      <c r="F17" s="149"/>
      <c r="G17" s="149"/>
      <c r="H17" s="149"/>
    </row>
    <row r="18" spans="2:8" x14ac:dyDescent="0.25">
      <c r="B18" s="149"/>
      <c r="C18" s="149"/>
      <c r="D18" s="149"/>
      <c r="E18" s="149"/>
      <c r="F18" s="149"/>
      <c r="G18" s="149"/>
      <c r="H18" s="149"/>
    </row>
  </sheetData>
  <mergeCells count="4">
    <mergeCell ref="E11:E13"/>
    <mergeCell ref="B11:C13"/>
    <mergeCell ref="B2:J3"/>
    <mergeCell ref="G11:H13"/>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dvAspect="DVASPECT_ICON" shapeId="7169" r:id="rId4">
          <objectPr defaultSize="0" r:id="rId5">
            <anchor moveWithCells="1">
              <from>
                <xdr:col>1</xdr:col>
                <xdr:colOff>266700</xdr:colOff>
                <xdr:row>4</xdr:row>
                <xdr:rowOff>171450</xdr:rowOff>
              </from>
              <to>
                <xdr:col>2</xdr:col>
                <xdr:colOff>419100</xdr:colOff>
                <xdr:row>8</xdr:row>
                <xdr:rowOff>95250</xdr:rowOff>
              </to>
            </anchor>
          </objectPr>
        </oleObject>
      </mc:Choice>
      <mc:Fallback>
        <oleObject progId="Document" dvAspect="DVASPECT_ICON" shapeId="7169" r:id="rId4"/>
      </mc:Fallback>
    </mc:AlternateContent>
    <mc:AlternateContent xmlns:mc="http://schemas.openxmlformats.org/markup-compatibility/2006">
      <mc:Choice Requires="x14">
        <oleObject progId="Document" dvAspect="DVASPECT_ICON" shapeId="7170" r:id="rId6">
          <objectPr defaultSize="0" r:id="rId5">
            <anchor moveWithCells="1">
              <from>
                <xdr:col>4</xdr:col>
                <xdr:colOff>647700</xdr:colOff>
                <xdr:row>4</xdr:row>
                <xdr:rowOff>171450</xdr:rowOff>
              </from>
              <to>
                <xdr:col>4</xdr:col>
                <xdr:colOff>1562100</xdr:colOff>
                <xdr:row>8</xdr:row>
                <xdr:rowOff>95250</xdr:rowOff>
              </to>
            </anchor>
          </objectPr>
        </oleObject>
      </mc:Choice>
      <mc:Fallback>
        <oleObject progId="Document" dvAspect="DVASPECT_ICON" shapeId="7170" r:id="rId6"/>
      </mc:Fallback>
    </mc:AlternateContent>
    <mc:AlternateContent xmlns:mc="http://schemas.openxmlformats.org/markup-compatibility/2006">
      <mc:Choice Requires="x14">
        <oleObject progId="Document" dvAspect="DVASPECT_ICON" shapeId="7173" r:id="rId7">
          <objectPr defaultSize="0" r:id="rId8">
            <anchor moveWithCells="1">
              <from>
                <xdr:col>8</xdr:col>
                <xdr:colOff>495300</xdr:colOff>
                <xdr:row>4</xdr:row>
                <xdr:rowOff>161925</xdr:rowOff>
              </from>
              <to>
                <xdr:col>9</xdr:col>
                <xdr:colOff>647700</xdr:colOff>
                <xdr:row>8</xdr:row>
                <xdr:rowOff>85725</xdr:rowOff>
              </to>
            </anchor>
          </objectPr>
        </oleObject>
      </mc:Choice>
      <mc:Fallback>
        <oleObject progId="Document" dvAspect="DVASPECT_ICON" shapeId="7173" r:id="rId7"/>
      </mc:Fallback>
    </mc:AlternateContent>
    <mc:AlternateContent xmlns:mc="http://schemas.openxmlformats.org/markup-compatibility/2006">
      <mc:Choice Requires="x14">
        <oleObject progId="Hoja de cálculo" dvAspect="DVASPECT_ICON" shapeId="7175" r:id="rId9">
          <objectPr defaultSize="0" r:id="rId10">
            <anchor moveWithCells="1">
              <from>
                <xdr:col>6</xdr:col>
                <xdr:colOff>209550</xdr:colOff>
                <xdr:row>4</xdr:row>
                <xdr:rowOff>114300</xdr:rowOff>
              </from>
              <to>
                <xdr:col>7</xdr:col>
                <xdr:colOff>361950</xdr:colOff>
                <xdr:row>8</xdr:row>
                <xdr:rowOff>38100</xdr:rowOff>
              </to>
            </anchor>
          </objectPr>
        </oleObject>
      </mc:Choice>
      <mc:Fallback>
        <oleObject progId="Hoja de cálculo" dvAspect="DVASPECT_ICON" shapeId="7175" r:id="rId9"/>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7"/>
  <dimension ref="A2:B5"/>
  <sheetViews>
    <sheetView workbookViewId="0">
      <selection activeCell="E14" sqref="E14"/>
    </sheetView>
  </sheetViews>
  <sheetFormatPr baseColWidth="10" defaultRowHeight="15" x14ac:dyDescent="0.25"/>
  <cols>
    <col min="1" max="1" width="31.28515625" bestFit="1" customWidth="1"/>
  </cols>
  <sheetData>
    <row r="2" spans="1:2" x14ac:dyDescent="0.25">
      <c r="A2" t="s">
        <v>2524</v>
      </c>
      <c r="B2">
        <v>1.2500000000000001E-2</v>
      </c>
    </row>
    <row r="3" spans="1:2" x14ac:dyDescent="0.25">
      <c r="A3" t="s">
        <v>2525</v>
      </c>
      <c r="B3">
        <v>3.9E-2</v>
      </c>
    </row>
    <row r="4" spans="1:2" x14ac:dyDescent="0.25">
      <c r="A4" t="s">
        <v>2526</v>
      </c>
      <c r="B4">
        <v>3.9E-2</v>
      </c>
    </row>
    <row r="5" spans="1:2" x14ac:dyDescent="0.25">
      <c r="A5" t="s">
        <v>2527</v>
      </c>
      <c r="B5">
        <v>5.2499999999999998E-2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dimension ref="A3:L42"/>
  <sheetViews>
    <sheetView showGridLines="0" workbookViewId="0">
      <selection activeCell="A34" sqref="A34:K34"/>
    </sheetView>
  </sheetViews>
  <sheetFormatPr baseColWidth="10" defaultRowHeight="15" x14ac:dyDescent="0.25"/>
  <cols>
    <col min="1" max="1" width="12" customWidth="1"/>
    <col min="2" max="2" width="12.5703125" customWidth="1"/>
    <col min="3" max="3" width="12.140625" customWidth="1"/>
    <col min="4" max="4" width="13" customWidth="1"/>
    <col min="5" max="5" width="13.7109375" customWidth="1"/>
    <col min="6" max="6" width="10.85546875" customWidth="1"/>
    <col min="7" max="7" width="10.140625" customWidth="1"/>
    <col min="8" max="8" width="10.7109375" customWidth="1"/>
    <col min="9" max="9" width="11.7109375" customWidth="1"/>
    <col min="10" max="10" width="10.28515625" customWidth="1"/>
    <col min="11" max="11" width="12.5703125" customWidth="1"/>
  </cols>
  <sheetData>
    <row r="3" spans="1:12" ht="12.75" customHeight="1" x14ac:dyDescent="0.25"/>
    <row r="4" spans="1:12" ht="18.75" x14ac:dyDescent="0.3">
      <c r="A4" s="2117" t="s">
        <v>700</v>
      </c>
      <c r="B4" s="2117"/>
      <c r="C4" s="2117"/>
      <c r="D4" s="2117"/>
      <c r="E4" s="2117"/>
      <c r="F4" s="2117"/>
      <c r="G4" s="2117"/>
      <c r="H4" s="2117"/>
      <c r="I4" s="2117"/>
      <c r="J4" s="2117"/>
      <c r="K4" s="2117"/>
    </row>
    <row r="5" spans="1:12" ht="11.25" customHeight="1" x14ac:dyDescent="0.25">
      <c r="A5" s="187"/>
    </row>
    <row r="6" spans="1:12" ht="24.75" customHeight="1" x14ac:dyDescent="0.25">
      <c r="A6" s="2118" t="s">
        <v>701</v>
      </c>
      <c r="B6" s="2118"/>
      <c r="C6" s="2118"/>
      <c r="D6" s="2118"/>
      <c r="E6" s="2118"/>
      <c r="F6" s="2118"/>
      <c r="G6" s="2118"/>
      <c r="H6" s="2118"/>
      <c r="I6" s="2118"/>
      <c r="J6" s="2118"/>
      <c r="K6" s="2118"/>
    </row>
    <row r="7" spans="1:12" ht="18.75" customHeight="1" x14ac:dyDescent="0.25">
      <c r="A7" s="2119" t="s">
        <v>719</v>
      </c>
      <c r="B7" s="2119"/>
      <c r="C7" s="2119"/>
      <c r="D7" s="2119"/>
      <c r="E7" s="2119"/>
      <c r="F7" s="2119"/>
      <c r="G7" s="2119"/>
      <c r="H7" s="2119"/>
      <c r="I7" s="2119"/>
      <c r="J7" s="2119"/>
      <c r="K7" s="2119"/>
    </row>
    <row r="8" spans="1:12" ht="15" customHeight="1" x14ac:dyDescent="0.25">
      <c r="A8" s="2119"/>
      <c r="B8" s="2119"/>
      <c r="C8" s="2119"/>
      <c r="D8" s="2119"/>
      <c r="E8" s="2119"/>
      <c r="F8" s="2119"/>
      <c r="G8" s="2119"/>
      <c r="H8" s="2119"/>
      <c r="I8" s="2119"/>
      <c r="J8" s="2119"/>
      <c r="K8" s="2119"/>
    </row>
    <row r="9" spans="1:12" x14ac:dyDescent="0.25">
      <c r="A9" s="2120" t="s">
        <v>714</v>
      </c>
      <c r="B9" s="2120"/>
      <c r="C9" s="2120"/>
      <c r="D9" s="2120"/>
      <c r="E9" s="189"/>
      <c r="F9" s="189"/>
    </row>
    <row r="10" spans="1:12" ht="12" customHeight="1" x14ac:dyDescent="0.25">
      <c r="A10" s="2094" t="s">
        <v>720</v>
      </c>
      <c r="B10" s="2095"/>
      <c r="C10" s="2095"/>
      <c r="D10" s="2095"/>
      <c r="E10" s="2096"/>
      <c r="F10" s="2094" t="s">
        <v>721</v>
      </c>
      <c r="G10" s="2095"/>
      <c r="H10" s="2095"/>
      <c r="I10" s="2095"/>
      <c r="J10" s="2095"/>
      <c r="K10" s="2096"/>
      <c r="L10" s="188"/>
    </row>
    <row r="11" spans="1:12" ht="14.25" customHeight="1" x14ac:dyDescent="0.25">
      <c r="A11" s="2100"/>
      <c r="B11" s="2101"/>
      <c r="C11" s="2101"/>
      <c r="D11" s="2101"/>
      <c r="E11" s="2102"/>
      <c r="F11" s="2100"/>
      <c r="G11" s="2101"/>
      <c r="H11" s="2101"/>
      <c r="I11" s="2101"/>
      <c r="J11" s="2101"/>
      <c r="K11" s="2102"/>
      <c r="L11" s="188"/>
    </row>
    <row r="12" spans="1:12" ht="17.25" customHeight="1" x14ac:dyDescent="0.25">
      <c r="A12" s="2094" t="s">
        <v>722</v>
      </c>
      <c r="B12" s="2095"/>
      <c r="C12" s="2095"/>
      <c r="D12" s="2095"/>
      <c r="E12" s="2096"/>
      <c r="F12" s="2094" t="s">
        <v>723</v>
      </c>
      <c r="G12" s="2095"/>
      <c r="H12" s="2095"/>
      <c r="I12" s="2095"/>
      <c r="J12" s="2095"/>
      <c r="K12" s="2096"/>
    </row>
    <row r="13" spans="1:12" ht="9" customHeight="1" x14ac:dyDescent="0.25">
      <c r="A13" s="2100"/>
      <c r="B13" s="2101"/>
      <c r="C13" s="2101"/>
      <c r="D13" s="2101"/>
      <c r="E13" s="2102"/>
      <c r="F13" s="2100"/>
      <c r="G13" s="2101"/>
      <c r="H13" s="2101"/>
      <c r="I13" s="2101"/>
      <c r="J13" s="2101"/>
      <c r="K13" s="2102"/>
    </row>
    <row r="14" spans="1:12" ht="18" customHeight="1" x14ac:dyDescent="0.25">
      <c r="A14" s="2094" t="s">
        <v>724</v>
      </c>
      <c r="B14" s="2095"/>
      <c r="C14" s="2095"/>
      <c r="D14" s="2095"/>
      <c r="E14" s="2096"/>
      <c r="F14" s="2094" t="s">
        <v>725</v>
      </c>
      <c r="G14" s="2095"/>
      <c r="H14" s="2095"/>
      <c r="I14" s="2095"/>
      <c r="J14" s="2095"/>
      <c r="K14" s="2096"/>
    </row>
    <row r="15" spans="1:12" ht="18.75" customHeight="1" x14ac:dyDescent="0.25">
      <c r="A15" s="2100"/>
      <c r="B15" s="2101"/>
      <c r="C15" s="2101"/>
      <c r="D15" s="2101"/>
      <c r="E15" s="2102"/>
      <c r="F15" s="2100"/>
      <c r="G15" s="2101"/>
      <c r="H15" s="2101"/>
      <c r="I15" s="2101"/>
      <c r="J15" s="2101"/>
      <c r="K15" s="2102"/>
    </row>
    <row r="16" spans="1:12" ht="33.75" customHeight="1" x14ac:dyDescent="0.25">
      <c r="A16" s="2094" t="s">
        <v>726</v>
      </c>
      <c r="B16" s="2095"/>
      <c r="C16" s="2095"/>
      <c r="D16" s="2095"/>
      <c r="E16" s="2095"/>
      <c r="F16" s="2111" t="s">
        <v>727</v>
      </c>
      <c r="G16" s="2112"/>
      <c r="H16" s="2112"/>
      <c r="I16" s="2112"/>
      <c r="J16" s="2112"/>
      <c r="K16" s="2113"/>
    </row>
    <row r="17" spans="1:11" ht="13.5" customHeight="1" x14ac:dyDescent="0.25">
      <c r="A17" s="2100"/>
      <c r="B17" s="2101"/>
      <c r="C17" s="2101"/>
      <c r="D17" s="2101"/>
      <c r="E17" s="2101"/>
      <c r="F17" s="2114" t="s">
        <v>728</v>
      </c>
      <c r="G17" s="2115"/>
      <c r="H17" s="2115"/>
      <c r="I17" s="2115"/>
      <c r="J17" s="2115"/>
      <c r="K17" s="2116"/>
    </row>
    <row r="18" spans="1:11" ht="21" customHeight="1" x14ac:dyDescent="0.25">
      <c r="A18" s="2094" t="s">
        <v>729</v>
      </c>
      <c r="B18" s="2095"/>
      <c r="C18" s="2095"/>
      <c r="D18" s="2095"/>
      <c r="E18" s="2096"/>
      <c r="F18" s="2097" t="s">
        <v>730</v>
      </c>
      <c r="G18" s="2098"/>
      <c r="H18" s="2098"/>
      <c r="I18" s="2098"/>
      <c r="J18" s="2098"/>
      <c r="K18" s="2099"/>
    </row>
    <row r="19" spans="1:11" ht="17.25" customHeight="1" x14ac:dyDescent="0.25">
      <c r="A19" s="2100"/>
      <c r="B19" s="2101"/>
      <c r="C19" s="2101"/>
      <c r="D19" s="2101"/>
      <c r="E19" s="2102"/>
      <c r="F19" s="2100"/>
      <c r="G19" s="2101"/>
      <c r="H19" s="2101"/>
      <c r="I19" s="2101"/>
      <c r="J19" s="2101"/>
      <c r="K19" s="2102"/>
    </row>
    <row r="20" spans="1:11" ht="11.25" customHeight="1" x14ac:dyDescent="0.25">
      <c r="A20" s="2094" t="s">
        <v>731</v>
      </c>
      <c r="B20" s="2095"/>
      <c r="C20" s="2095"/>
      <c r="D20" s="2095"/>
      <c r="E20" s="2096"/>
      <c r="F20" s="2094" t="s">
        <v>732</v>
      </c>
      <c r="G20" s="2095"/>
      <c r="H20" s="2095"/>
      <c r="I20" s="2095"/>
      <c r="J20" s="2095"/>
      <c r="K20" s="2096"/>
    </row>
    <row r="21" spans="1:11" ht="24.75" customHeight="1" x14ac:dyDescent="0.25">
      <c r="A21" s="2100"/>
      <c r="B21" s="2101"/>
      <c r="C21" s="2101"/>
      <c r="D21" s="2101"/>
      <c r="E21" s="2102"/>
      <c r="F21" s="2100"/>
      <c r="G21" s="2101"/>
      <c r="H21" s="2101"/>
      <c r="I21" s="2101"/>
      <c r="J21" s="2101"/>
      <c r="K21" s="2102"/>
    </row>
    <row r="22" spans="1:11" ht="11.25" customHeight="1" x14ac:dyDescent="0.25">
      <c r="A22" s="2094" t="s">
        <v>733</v>
      </c>
      <c r="B22" s="2095"/>
      <c r="C22" s="2095"/>
      <c r="D22" s="2095"/>
      <c r="E22" s="2096"/>
      <c r="F22" s="2094" t="s">
        <v>734</v>
      </c>
      <c r="G22" s="2095"/>
      <c r="H22" s="2095"/>
      <c r="I22" s="2095"/>
      <c r="J22" s="2095"/>
      <c r="K22" s="2096"/>
    </row>
    <row r="23" spans="1:11" ht="15" customHeight="1" x14ac:dyDescent="0.25">
      <c r="A23" s="2100"/>
      <c r="B23" s="2101"/>
      <c r="C23" s="2101"/>
      <c r="D23" s="2101"/>
      <c r="E23" s="2102"/>
      <c r="F23" s="2100"/>
      <c r="G23" s="2101"/>
      <c r="H23" s="2101"/>
      <c r="I23" s="2101"/>
      <c r="J23" s="2101"/>
      <c r="K23" s="2102"/>
    </row>
    <row r="24" spans="1:11" ht="37.5" customHeight="1" x14ac:dyDescent="0.25">
      <c r="A24" s="2091" t="s">
        <v>735</v>
      </c>
      <c r="B24" s="2092"/>
      <c r="C24" s="2092" t="s">
        <v>717</v>
      </c>
      <c r="D24" s="2092"/>
      <c r="E24" s="2093"/>
      <c r="F24" s="2091" t="s">
        <v>736</v>
      </c>
      <c r="G24" s="2092"/>
      <c r="H24" s="2092"/>
      <c r="I24" s="2092"/>
      <c r="J24" s="2092"/>
      <c r="K24" s="2093"/>
    </row>
    <row r="25" spans="1:11" ht="26.25" customHeight="1" x14ac:dyDescent="0.25">
      <c r="A25" s="2091" t="s">
        <v>737</v>
      </c>
      <c r="B25" s="2092"/>
      <c r="C25" s="2092"/>
      <c r="D25" s="2092"/>
      <c r="E25" s="2093"/>
      <c r="F25" s="2091" t="s">
        <v>738</v>
      </c>
      <c r="G25" s="2092"/>
      <c r="H25" s="2092"/>
      <c r="I25" s="2092"/>
      <c r="J25" s="2092"/>
      <c r="K25" s="2093"/>
    </row>
    <row r="26" spans="1:11" ht="49.5" customHeight="1" x14ac:dyDescent="0.25">
      <c r="A26" s="2091" t="s">
        <v>739</v>
      </c>
      <c r="B26" s="2092"/>
      <c r="C26" s="2092"/>
      <c r="D26" s="2092"/>
      <c r="E26" s="2093"/>
      <c r="F26" s="2103" t="s">
        <v>740</v>
      </c>
      <c r="G26" s="2104"/>
      <c r="H26" s="2104"/>
      <c r="I26" s="2104"/>
      <c r="J26" s="2104"/>
      <c r="K26" s="2105"/>
    </row>
    <row r="27" spans="1:11" ht="37.5" customHeight="1" x14ac:dyDescent="0.25">
      <c r="A27" s="2091" t="s">
        <v>741</v>
      </c>
      <c r="B27" s="2092"/>
      <c r="C27" s="2092"/>
      <c r="D27" s="2092"/>
      <c r="E27" s="2093"/>
      <c r="F27" s="2091" t="s">
        <v>742</v>
      </c>
      <c r="G27" s="2092"/>
      <c r="H27" s="2092"/>
      <c r="I27" s="2092"/>
      <c r="J27" s="2092"/>
      <c r="K27" s="2093"/>
    </row>
    <row r="28" spans="1:11" ht="26.25" customHeight="1" x14ac:dyDescent="0.25">
      <c r="A28" s="2091" t="s">
        <v>743</v>
      </c>
      <c r="B28" s="2092"/>
      <c r="C28" s="2092"/>
      <c r="D28" s="2092"/>
      <c r="E28" s="2093"/>
      <c r="F28" s="2094" t="s">
        <v>744</v>
      </c>
      <c r="G28" s="2095"/>
      <c r="H28" s="2095"/>
      <c r="I28" s="2095"/>
      <c r="J28" s="2095"/>
      <c r="K28" s="2096"/>
    </row>
    <row r="29" spans="1:11" ht="27" customHeight="1" x14ac:dyDescent="0.25">
      <c r="A29" s="2091" t="s">
        <v>715</v>
      </c>
      <c r="B29" s="2092"/>
      <c r="C29" s="2092" t="s">
        <v>702</v>
      </c>
      <c r="D29" s="2092"/>
      <c r="E29" s="2093"/>
      <c r="F29" s="2097"/>
      <c r="G29" s="2098"/>
      <c r="H29" s="2098"/>
      <c r="I29" s="2098"/>
      <c r="J29" s="2098"/>
      <c r="K29" s="2099"/>
    </row>
    <row r="30" spans="1:11" ht="25.5" customHeight="1" x14ac:dyDescent="0.25">
      <c r="A30" s="2091" t="s">
        <v>716</v>
      </c>
      <c r="B30" s="2092"/>
      <c r="C30" s="2092"/>
      <c r="D30" s="2092"/>
      <c r="E30" s="2093"/>
      <c r="F30" s="2100"/>
      <c r="G30" s="2101"/>
      <c r="H30" s="2101"/>
      <c r="I30" s="2101"/>
      <c r="J30" s="2101"/>
      <c r="K30" s="2102"/>
    </row>
    <row r="31" spans="1:11" ht="74.25" customHeight="1" x14ac:dyDescent="0.25">
      <c r="A31" s="2103" t="s">
        <v>745</v>
      </c>
      <c r="B31" s="2104"/>
      <c r="C31" s="2104"/>
      <c r="D31" s="2104"/>
      <c r="E31" s="2105"/>
      <c r="F31" s="2094" t="s">
        <v>746</v>
      </c>
      <c r="G31" s="2095"/>
      <c r="H31" s="2095"/>
      <c r="I31" s="2095"/>
      <c r="J31" s="2095"/>
      <c r="K31" s="2096"/>
    </row>
    <row r="32" spans="1:11" ht="49.5" customHeight="1" x14ac:dyDescent="0.25">
      <c r="A32" s="2106" t="s">
        <v>747</v>
      </c>
      <c r="B32" s="2107"/>
      <c r="C32" s="2107"/>
      <c r="D32" s="2107"/>
      <c r="E32" s="2108"/>
      <c r="F32" s="2097"/>
      <c r="G32" s="2098"/>
      <c r="H32" s="2098"/>
      <c r="I32" s="2098"/>
      <c r="J32" s="2098"/>
      <c r="K32" s="2099"/>
    </row>
    <row r="33" spans="1:11" ht="34.5" customHeight="1" x14ac:dyDescent="0.25">
      <c r="A33" s="2103" t="s">
        <v>748</v>
      </c>
      <c r="B33" s="2104"/>
      <c r="C33" s="2104"/>
      <c r="D33" s="2104"/>
      <c r="E33" s="2105"/>
      <c r="F33" s="2100"/>
      <c r="G33" s="2101"/>
      <c r="H33" s="2101"/>
      <c r="I33" s="2101"/>
      <c r="J33" s="2101"/>
      <c r="K33" s="2102"/>
    </row>
    <row r="34" spans="1:11" ht="38.25" customHeight="1" thickBot="1" x14ac:dyDescent="0.3">
      <c r="A34" s="2109" t="s">
        <v>703</v>
      </c>
      <c r="B34" s="2110"/>
      <c r="C34" s="2110"/>
      <c r="D34" s="2110"/>
      <c r="E34" s="2110"/>
      <c r="F34" s="2110"/>
      <c r="G34" s="2110"/>
      <c r="H34" s="2110"/>
      <c r="I34" s="2110"/>
      <c r="J34" s="2110"/>
      <c r="K34" s="2110"/>
    </row>
    <row r="35" spans="1:11" ht="15" customHeight="1" x14ac:dyDescent="0.25">
      <c r="A35" s="2085" t="s">
        <v>704</v>
      </c>
      <c r="B35" s="2086"/>
      <c r="C35" s="2087"/>
      <c r="D35" s="2085" t="s">
        <v>705</v>
      </c>
      <c r="E35" s="2086"/>
      <c r="F35" s="2086"/>
      <c r="G35" s="2086"/>
      <c r="H35" s="2086"/>
      <c r="I35" s="2087"/>
      <c r="J35" s="2085" t="s">
        <v>706</v>
      </c>
      <c r="K35" s="2087"/>
    </row>
    <row r="36" spans="1:11" ht="11.25" customHeight="1" thickBot="1" x14ac:dyDescent="0.3">
      <c r="A36" s="2088"/>
      <c r="B36" s="2089"/>
      <c r="C36" s="2090"/>
      <c r="D36" s="2088"/>
      <c r="E36" s="2089"/>
      <c r="F36" s="2089"/>
      <c r="G36" s="2089"/>
      <c r="H36" s="2089"/>
      <c r="I36" s="2090"/>
      <c r="J36" s="2088"/>
      <c r="K36" s="2090"/>
    </row>
    <row r="37" spans="1:11" ht="15" customHeight="1" x14ac:dyDescent="0.25">
      <c r="A37" s="2085" t="s">
        <v>707</v>
      </c>
      <c r="B37" s="2086"/>
      <c r="C37" s="2087"/>
      <c r="D37" s="2085" t="s">
        <v>42</v>
      </c>
      <c r="E37" s="2086"/>
      <c r="F37" s="2086"/>
      <c r="G37" s="2086"/>
      <c r="H37" s="2086"/>
      <c r="I37" s="2087"/>
      <c r="J37" s="2085" t="s">
        <v>718</v>
      </c>
      <c r="K37" s="2087"/>
    </row>
    <row r="38" spans="1:11" ht="13.5" customHeight="1" thickBot="1" x14ac:dyDescent="0.3">
      <c r="A38" s="2088"/>
      <c r="B38" s="2089"/>
      <c r="C38" s="2090"/>
      <c r="D38" s="2088"/>
      <c r="E38" s="2089"/>
      <c r="F38" s="2089"/>
      <c r="G38" s="2089"/>
      <c r="H38" s="2089"/>
      <c r="I38" s="2090"/>
      <c r="J38" s="2088"/>
      <c r="K38" s="2090"/>
    </row>
    <row r="39" spans="1:11" ht="15" customHeight="1" x14ac:dyDescent="0.25">
      <c r="A39" s="2085" t="s">
        <v>708</v>
      </c>
      <c r="B39" s="2086"/>
      <c r="C39" s="2087"/>
      <c r="D39" s="2085" t="s">
        <v>709</v>
      </c>
      <c r="E39" s="2086"/>
      <c r="F39" s="2086"/>
      <c r="G39" s="2086"/>
      <c r="H39" s="2086"/>
      <c r="I39" s="2087"/>
      <c r="J39" s="2085" t="s">
        <v>710</v>
      </c>
      <c r="K39" s="2087"/>
    </row>
    <row r="40" spans="1:11" ht="13.5" customHeight="1" thickBot="1" x14ac:dyDescent="0.3">
      <c r="A40" s="2088"/>
      <c r="B40" s="2089"/>
      <c r="C40" s="2090"/>
      <c r="D40" s="2088"/>
      <c r="E40" s="2089"/>
      <c r="F40" s="2089"/>
      <c r="G40" s="2089"/>
      <c r="H40" s="2089"/>
      <c r="I40" s="2090"/>
      <c r="J40" s="2088"/>
      <c r="K40" s="2090"/>
    </row>
    <row r="41" spans="1:11" ht="15" customHeight="1" x14ac:dyDescent="0.25">
      <c r="A41" s="2085" t="s">
        <v>711</v>
      </c>
      <c r="B41" s="2086"/>
      <c r="C41" s="2087"/>
      <c r="D41" s="2085" t="s">
        <v>712</v>
      </c>
      <c r="E41" s="2086"/>
      <c r="F41" s="2086"/>
      <c r="G41" s="2086"/>
      <c r="H41" s="2086"/>
      <c r="I41" s="2087"/>
      <c r="J41" s="2085" t="s">
        <v>713</v>
      </c>
      <c r="K41" s="2087"/>
    </row>
    <row r="42" spans="1:11" ht="15.75" thickBot="1" x14ac:dyDescent="0.3">
      <c r="A42" s="2088"/>
      <c r="B42" s="2089"/>
      <c r="C42" s="2090"/>
      <c r="D42" s="2088"/>
      <c r="E42" s="2089"/>
      <c r="F42" s="2089"/>
      <c r="G42" s="2089"/>
      <c r="H42" s="2089"/>
      <c r="I42" s="2090"/>
      <c r="J42" s="2088"/>
      <c r="K42" s="2090"/>
    </row>
  </sheetData>
  <sheetProtection algorithmName="SHA-512" hashValue="jz40eZY9N2sdxlcwdjrmPtWn0W8fInKoQHMx50rHrd1ZtVIfbuppc8BVw29lis6dxZwhTWwxlYhhQ9+qg+YTcw==" saltValue="26A0l2SiRfqOo4pvIB15aw==" spinCount="100000" sheet="1" objects="1" scenarios="1"/>
  <mergeCells count="50">
    <mergeCell ref="A4:K4"/>
    <mergeCell ref="A6:K6"/>
    <mergeCell ref="A7:K8"/>
    <mergeCell ref="A9:D9"/>
    <mergeCell ref="A10:E11"/>
    <mergeCell ref="F10:K11"/>
    <mergeCell ref="A12:E13"/>
    <mergeCell ref="F12:K13"/>
    <mergeCell ref="A14:E15"/>
    <mergeCell ref="F14:K15"/>
    <mergeCell ref="A16:E17"/>
    <mergeCell ref="F16:K16"/>
    <mergeCell ref="F17:K17"/>
    <mergeCell ref="A26:E26"/>
    <mergeCell ref="F26:K26"/>
    <mergeCell ref="A18:E19"/>
    <mergeCell ref="F18:K19"/>
    <mergeCell ref="A20:E21"/>
    <mergeCell ref="F20:K21"/>
    <mergeCell ref="A22:E23"/>
    <mergeCell ref="F22:K23"/>
    <mergeCell ref="A24:B24"/>
    <mergeCell ref="C24:E24"/>
    <mergeCell ref="F24:K24"/>
    <mergeCell ref="A25:E25"/>
    <mergeCell ref="F25:K25"/>
    <mergeCell ref="A35:C36"/>
    <mergeCell ref="D35:I36"/>
    <mergeCell ref="J35:K36"/>
    <mergeCell ref="A27:E27"/>
    <mergeCell ref="F27:K27"/>
    <mergeCell ref="A28:E28"/>
    <mergeCell ref="F28:K30"/>
    <mergeCell ref="A29:B29"/>
    <mergeCell ref="C29:E29"/>
    <mergeCell ref="A30:E30"/>
    <mergeCell ref="A31:E31"/>
    <mergeCell ref="F31:K33"/>
    <mergeCell ref="A32:E32"/>
    <mergeCell ref="A33:E33"/>
    <mergeCell ref="A34:K34"/>
    <mergeCell ref="A41:C42"/>
    <mergeCell ref="D41:I42"/>
    <mergeCell ref="J41:K42"/>
    <mergeCell ref="A37:C38"/>
    <mergeCell ref="D37:I38"/>
    <mergeCell ref="J37:K38"/>
    <mergeCell ref="A39:C40"/>
    <mergeCell ref="D39:I40"/>
    <mergeCell ref="J39:K40"/>
  </mergeCells>
  <printOptions horizontalCentered="1"/>
  <pageMargins left="0" right="0" top="0.23" bottom="0.74803149606299213" header="0.17" footer="0.46"/>
  <pageSetup scale="80" orientation="portrait" r:id="rId1"/>
  <headerFooter>
    <oddFooter>&amp;CPC2701               Ave. Cuba. Apartado 0816-01579, Panamá, Rep. de Panamá. Tel.: (507) 303-8541 Fax: (507) 303-8540. www.generaldeseguros.com              AID.041</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B1:G131"/>
  <sheetViews>
    <sheetView showGridLines="0" workbookViewId="0">
      <selection activeCell="B5" sqref="B5"/>
    </sheetView>
  </sheetViews>
  <sheetFormatPr baseColWidth="10" defaultRowHeight="15" x14ac:dyDescent="0.25"/>
  <cols>
    <col min="2" max="2" width="60" bestFit="1" customWidth="1"/>
    <col min="3" max="3" width="17.7109375" hidden="1" customWidth="1"/>
    <col min="6" max="6" width="43.5703125" customWidth="1"/>
    <col min="7" max="7" width="20" hidden="1" customWidth="1"/>
  </cols>
  <sheetData>
    <row r="1" spans="2:7" x14ac:dyDescent="0.25">
      <c r="B1" s="1229" t="s">
        <v>2181</v>
      </c>
    </row>
    <row r="2" spans="2:7" x14ac:dyDescent="0.25">
      <c r="C2" s="811"/>
      <c r="D2" s="811"/>
      <c r="E2" s="811"/>
      <c r="F2" s="811"/>
      <c r="G2" s="811"/>
    </row>
    <row r="3" spans="2:7" ht="33.75" customHeight="1" x14ac:dyDescent="0.25">
      <c r="B3" s="2121" t="s">
        <v>503</v>
      </c>
      <c r="C3" s="2121"/>
      <c r="D3" s="2121"/>
      <c r="E3" s="2121"/>
      <c r="F3" s="2121"/>
      <c r="G3" s="2121"/>
    </row>
    <row r="4" spans="2:7" x14ac:dyDescent="0.25">
      <c r="B4" s="150"/>
    </row>
    <row r="5" spans="2:7" x14ac:dyDescent="0.25">
      <c r="B5" s="1226" t="s">
        <v>2182</v>
      </c>
      <c r="C5" s="1226" t="s">
        <v>805</v>
      </c>
      <c r="D5" s="153"/>
      <c r="E5" s="153"/>
      <c r="F5" s="1226" t="s">
        <v>2183</v>
      </c>
      <c r="G5" s="1226" t="s">
        <v>805</v>
      </c>
    </row>
    <row r="6" spans="2:7" x14ac:dyDescent="0.25">
      <c r="B6" s="1227" t="s">
        <v>1833</v>
      </c>
      <c r="C6" s="1211" t="s">
        <v>1009</v>
      </c>
      <c r="D6" s="153"/>
      <c r="E6" s="153"/>
      <c r="F6" s="1227" t="s">
        <v>1835</v>
      </c>
      <c r="G6" s="1143" t="s">
        <v>809</v>
      </c>
    </row>
    <row r="7" spans="2:7" x14ac:dyDescent="0.25">
      <c r="B7" s="1227" t="s">
        <v>1834</v>
      </c>
      <c r="C7" s="1211" t="s">
        <v>1009</v>
      </c>
      <c r="D7" s="153"/>
      <c r="E7" s="153"/>
      <c r="F7" s="1228" t="s">
        <v>1808</v>
      </c>
      <c r="G7" s="1143" t="s">
        <v>2145</v>
      </c>
    </row>
    <row r="8" spans="2:7" x14ac:dyDescent="0.25">
      <c r="B8" s="1227" t="s">
        <v>1841</v>
      </c>
      <c r="C8" s="1211"/>
      <c r="D8" s="153"/>
      <c r="E8" s="153"/>
      <c r="F8" s="1227" t="s">
        <v>1836</v>
      </c>
      <c r="G8" s="1211" t="s">
        <v>2172</v>
      </c>
    </row>
    <row r="9" spans="2:7" x14ac:dyDescent="0.25">
      <c r="B9" s="1227" t="s">
        <v>1842</v>
      </c>
      <c r="C9" s="1211" t="s">
        <v>1009</v>
      </c>
      <c r="D9" s="153"/>
      <c r="E9" s="153"/>
      <c r="F9" s="1227" t="s">
        <v>1837</v>
      </c>
      <c r="G9" s="1143" t="s">
        <v>2145</v>
      </c>
    </row>
    <row r="10" spans="2:7" x14ac:dyDescent="0.25">
      <c r="B10" s="1227" t="s">
        <v>1843</v>
      </c>
      <c r="C10" s="1211" t="s">
        <v>1009</v>
      </c>
      <c r="D10" s="153"/>
      <c r="E10" s="153"/>
      <c r="F10" s="1227" t="s">
        <v>1838</v>
      </c>
      <c r="G10" s="1143" t="s">
        <v>2145</v>
      </c>
    </row>
    <row r="11" spans="2:7" x14ac:dyDescent="0.25">
      <c r="B11" s="1227" t="s">
        <v>1691</v>
      </c>
      <c r="C11" s="1211" t="s">
        <v>1009</v>
      </c>
      <c r="D11" s="153"/>
      <c r="E11" s="153"/>
      <c r="F11" s="1227" t="s">
        <v>1839</v>
      </c>
      <c r="G11" s="1211" t="s">
        <v>2173</v>
      </c>
    </row>
    <row r="12" spans="2:7" x14ac:dyDescent="0.25">
      <c r="B12" s="1227" t="s">
        <v>1844</v>
      </c>
      <c r="C12" s="1211" t="s">
        <v>1009</v>
      </c>
      <c r="D12" s="153"/>
      <c r="E12" s="153"/>
      <c r="F12" s="1227" t="s">
        <v>1840</v>
      </c>
      <c r="G12" s="1143"/>
    </row>
    <row r="13" spans="2:7" x14ac:dyDescent="0.25">
      <c r="B13" s="1227" t="s">
        <v>1845</v>
      </c>
      <c r="C13" s="1211" t="s">
        <v>1009</v>
      </c>
      <c r="D13" s="153"/>
      <c r="E13" s="153"/>
      <c r="F13" s="1227" t="s">
        <v>1393</v>
      </c>
      <c r="G13" s="1143" t="s">
        <v>2146</v>
      </c>
    </row>
    <row r="14" spans="2:7" x14ac:dyDescent="0.25">
      <c r="B14" s="1227" t="s">
        <v>1847</v>
      </c>
      <c r="C14" s="1211"/>
      <c r="D14" s="153"/>
      <c r="E14" s="153"/>
      <c r="F14" s="1227" t="s">
        <v>1846</v>
      </c>
      <c r="G14" s="1211" t="s">
        <v>2167</v>
      </c>
    </row>
    <row r="15" spans="2:7" x14ac:dyDescent="0.25">
      <c r="B15" s="1227" t="s">
        <v>1480</v>
      </c>
      <c r="C15" s="1211" t="s">
        <v>1009</v>
      </c>
      <c r="D15" s="153"/>
      <c r="E15" s="153"/>
      <c r="F15" s="1227" t="s">
        <v>1848</v>
      </c>
      <c r="G15" s="1143" t="s">
        <v>2144</v>
      </c>
    </row>
    <row r="16" spans="2:7" x14ac:dyDescent="0.25">
      <c r="B16" s="1227" t="s">
        <v>1849</v>
      </c>
      <c r="C16" s="1211" t="s">
        <v>1009</v>
      </c>
      <c r="D16" s="153"/>
      <c r="E16" s="153"/>
      <c r="F16" s="1227" t="s">
        <v>1381</v>
      </c>
      <c r="G16" s="1143" t="s">
        <v>2146</v>
      </c>
    </row>
    <row r="17" spans="2:7" x14ac:dyDescent="0.25">
      <c r="B17" s="1227" t="s">
        <v>1850</v>
      </c>
      <c r="C17" s="1211" t="s">
        <v>1009</v>
      </c>
      <c r="D17" s="153"/>
      <c r="E17" s="153"/>
      <c r="F17" s="1227" t="s">
        <v>1319</v>
      </c>
      <c r="G17" s="1143" t="s">
        <v>2145</v>
      </c>
    </row>
    <row r="18" spans="2:7" x14ac:dyDescent="0.25">
      <c r="B18" s="1227" t="s">
        <v>1851</v>
      </c>
      <c r="C18" s="1211" t="s">
        <v>1009</v>
      </c>
      <c r="D18" s="153"/>
      <c r="E18" s="153"/>
      <c r="F18" s="1162" t="s">
        <v>1131</v>
      </c>
      <c r="G18" s="1143" t="s">
        <v>2146</v>
      </c>
    </row>
    <row r="19" spans="2:7" x14ac:dyDescent="0.25">
      <c r="B19" s="1227" t="s">
        <v>1852</v>
      </c>
      <c r="C19" s="1211" t="s">
        <v>1009</v>
      </c>
      <c r="D19" s="153"/>
      <c r="E19" s="153"/>
      <c r="F19" s="1162" t="s">
        <v>1853</v>
      </c>
      <c r="G19" s="1143" t="s">
        <v>2145</v>
      </c>
    </row>
    <row r="20" spans="2:7" x14ac:dyDescent="0.25">
      <c r="B20" s="1227" t="s">
        <v>1854</v>
      </c>
      <c r="C20" s="1230"/>
      <c r="D20" s="153"/>
      <c r="E20" s="153"/>
      <c r="F20" s="1162" t="s">
        <v>1855</v>
      </c>
      <c r="G20" s="1143" t="s">
        <v>2146</v>
      </c>
    </row>
    <row r="21" spans="2:7" x14ac:dyDescent="0.25">
      <c r="B21" s="1227" t="s">
        <v>1212</v>
      </c>
      <c r="C21" s="1211" t="s">
        <v>1009</v>
      </c>
      <c r="D21" s="153"/>
      <c r="E21" s="153"/>
      <c r="F21" s="1162" t="s">
        <v>1856</v>
      </c>
      <c r="G21" s="1143" t="s">
        <v>2145</v>
      </c>
    </row>
    <row r="22" spans="2:7" x14ac:dyDescent="0.25">
      <c r="B22" s="1227" t="s">
        <v>1858</v>
      </c>
      <c r="C22" s="1211" t="s">
        <v>1009</v>
      </c>
      <c r="D22" s="153"/>
      <c r="E22" s="153"/>
      <c r="F22" s="1162" t="s">
        <v>1135</v>
      </c>
      <c r="G22" s="1143" t="s">
        <v>2145</v>
      </c>
    </row>
    <row r="23" spans="2:7" x14ac:dyDescent="0.25">
      <c r="B23" s="1227" t="s">
        <v>1860</v>
      </c>
      <c r="C23" s="1230"/>
      <c r="D23" s="153"/>
      <c r="E23" s="153"/>
      <c r="F23" s="1162" t="s">
        <v>1857</v>
      </c>
      <c r="G23" s="1143" t="s">
        <v>2145</v>
      </c>
    </row>
    <row r="24" spans="2:7" x14ac:dyDescent="0.25">
      <c r="B24" s="1227" t="s">
        <v>2149</v>
      </c>
      <c r="C24" s="1211" t="s">
        <v>1009</v>
      </c>
      <c r="D24" s="153"/>
      <c r="E24" s="153"/>
      <c r="F24" s="1162" t="s">
        <v>1859</v>
      </c>
      <c r="G24" s="1143" t="s">
        <v>2146</v>
      </c>
    </row>
    <row r="25" spans="2:7" x14ac:dyDescent="0.25">
      <c r="B25" s="1227" t="s">
        <v>1862</v>
      </c>
      <c r="C25" s="1211" t="s">
        <v>2169</v>
      </c>
      <c r="D25" s="153"/>
      <c r="E25" s="153"/>
      <c r="F25" s="1227" t="s">
        <v>1861</v>
      </c>
      <c r="G25" s="1211" t="s">
        <v>2168</v>
      </c>
    </row>
    <row r="26" spans="2:7" x14ac:dyDescent="0.25">
      <c r="B26" s="1227" t="s">
        <v>1864</v>
      </c>
      <c r="C26" s="1211" t="s">
        <v>1009</v>
      </c>
      <c r="D26" s="153"/>
      <c r="E26" s="153"/>
      <c r="F26" s="1162" t="s">
        <v>1863</v>
      </c>
      <c r="G26" s="1143" t="s">
        <v>2144</v>
      </c>
    </row>
    <row r="27" spans="2:7" x14ac:dyDescent="0.25">
      <c r="B27" s="1227" t="s">
        <v>1865</v>
      </c>
      <c r="C27" s="1211" t="s">
        <v>1009</v>
      </c>
      <c r="D27" s="153"/>
      <c r="E27" s="153"/>
      <c r="F27" s="1162" t="s">
        <v>1866</v>
      </c>
      <c r="G27" s="1143" t="s">
        <v>2145</v>
      </c>
    </row>
    <row r="28" spans="2:7" x14ac:dyDescent="0.25">
      <c r="B28" s="1227" t="s">
        <v>1867</v>
      </c>
      <c r="C28" s="1211" t="s">
        <v>1009</v>
      </c>
      <c r="D28" s="153"/>
      <c r="E28" s="153"/>
      <c r="F28" s="1163" t="s">
        <v>1868</v>
      </c>
      <c r="G28" s="1143" t="s">
        <v>2146</v>
      </c>
    </row>
    <row r="29" spans="2:7" x14ac:dyDescent="0.25">
      <c r="B29" s="1227" t="s">
        <v>1869</v>
      </c>
      <c r="C29" s="1211" t="s">
        <v>1009</v>
      </c>
      <c r="D29" s="153"/>
      <c r="E29" s="153"/>
      <c r="F29" s="1162" t="s">
        <v>1870</v>
      </c>
      <c r="G29" s="1143" t="s">
        <v>2146</v>
      </c>
    </row>
    <row r="30" spans="2:7" x14ac:dyDescent="0.25">
      <c r="B30" s="1227" t="s">
        <v>1871</v>
      </c>
      <c r="C30" s="1211" t="s">
        <v>1009</v>
      </c>
      <c r="D30" s="153"/>
      <c r="E30" s="153"/>
      <c r="F30" s="1162" t="s">
        <v>1872</v>
      </c>
      <c r="G30" s="1143" t="s">
        <v>809</v>
      </c>
    </row>
    <row r="31" spans="2:7" x14ac:dyDescent="0.25">
      <c r="B31" s="1227" t="s">
        <v>505</v>
      </c>
      <c r="C31" s="1211" t="s">
        <v>1009</v>
      </c>
      <c r="D31" s="153"/>
      <c r="E31" s="153"/>
      <c r="F31" s="1227" t="s">
        <v>1873</v>
      </c>
      <c r="G31" s="1211" t="s">
        <v>2171</v>
      </c>
    </row>
    <row r="32" spans="2:7" x14ac:dyDescent="0.25">
      <c r="B32" s="1227" t="s">
        <v>1874</v>
      </c>
      <c r="C32" s="1211" t="s">
        <v>1009</v>
      </c>
      <c r="D32" s="153"/>
      <c r="E32" s="153"/>
      <c r="F32" s="1162" t="s">
        <v>1875</v>
      </c>
      <c r="G32" s="1143" t="s">
        <v>2146</v>
      </c>
    </row>
    <row r="33" spans="2:7" x14ac:dyDescent="0.25">
      <c r="B33" s="1227" t="s">
        <v>1880</v>
      </c>
      <c r="C33" s="1211" t="s">
        <v>1009</v>
      </c>
      <c r="D33" s="153"/>
      <c r="E33" s="153"/>
      <c r="F33" s="1227" t="s">
        <v>1876</v>
      </c>
      <c r="G33" s="1211" t="s">
        <v>2170</v>
      </c>
    </row>
    <row r="34" spans="2:7" ht="13.5" customHeight="1" x14ac:dyDescent="0.25">
      <c r="B34" s="1227" t="s">
        <v>1882</v>
      </c>
      <c r="C34" s="1211" t="s">
        <v>1009</v>
      </c>
      <c r="D34" s="153"/>
      <c r="E34" s="153"/>
      <c r="F34" s="1162" t="s">
        <v>1136</v>
      </c>
      <c r="G34" s="1143" t="s">
        <v>2145</v>
      </c>
    </row>
    <row r="35" spans="2:7" x14ac:dyDescent="0.25">
      <c r="B35" s="1227" t="s">
        <v>1883</v>
      </c>
      <c r="C35" s="1230"/>
      <c r="D35" s="153"/>
      <c r="E35" s="153"/>
      <c r="F35" s="1162" t="s">
        <v>1877</v>
      </c>
      <c r="G35" s="1143" t="s">
        <v>2145</v>
      </c>
    </row>
    <row r="36" spans="2:7" x14ac:dyDescent="0.25">
      <c r="B36" s="1227" t="s">
        <v>1885</v>
      </c>
      <c r="C36" s="1211" t="s">
        <v>1009</v>
      </c>
      <c r="D36" s="153"/>
      <c r="E36" s="153"/>
      <c r="F36" s="1162" t="s">
        <v>1878</v>
      </c>
      <c r="G36" s="1143" t="s">
        <v>2144</v>
      </c>
    </row>
    <row r="37" spans="2:7" x14ac:dyDescent="0.25">
      <c r="B37" s="1227" t="s">
        <v>1133</v>
      </c>
      <c r="C37" s="1211" t="s">
        <v>1009</v>
      </c>
      <c r="D37" s="153"/>
      <c r="E37" s="153"/>
      <c r="F37" s="1162" t="s">
        <v>1879</v>
      </c>
      <c r="G37" s="1143" t="s">
        <v>2144</v>
      </c>
    </row>
    <row r="38" spans="2:7" x14ac:dyDescent="0.25">
      <c r="B38" s="1227" t="s">
        <v>1886</v>
      </c>
      <c r="C38" s="1211" t="s">
        <v>1009</v>
      </c>
      <c r="D38" s="153"/>
      <c r="E38" s="153"/>
      <c r="F38" s="1162" t="s">
        <v>1881</v>
      </c>
      <c r="G38" s="1143" t="s">
        <v>2145</v>
      </c>
    </row>
    <row r="39" spans="2:7" x14ac:dyDescent="0.25">
      <c r="B39" s="1228" t="s">
        <v>1887</v>
      </c>
      <c r="C39" s="1211" t="s">
        <v>1009</v>
      </c>
      <c r="D39" s="153"/>
      <c r="E39" s="153"/>
      <c r="F39" s="1162" t="s">
        <v>1132</v>
      </c>
      <c r="G39" s="1143" t="s">
        <v>2146</v>
      </c>
    </row>
    <row r="40" spans="2:7" x14ac:dyDescent="0.25">
      <c r="B40" s="1227" t="s">
        <v>1888</v>
      </c>
      <c r="C40" s="1211" t="s">
        <v>1009</v>
      </c>
      <c r="D40" s="153"/>
      <c r="E40" s="153"/>
      <c r="F40" s="1227" t="s">
        <v>1884</v>
      </c>
      <c r="G40" s="1211" t="s">
        <v>2174</v>
      </c>
    </row>
    <row r="41" spans="2:7" x14ac:dyDescent="0.25">
      <c r="B41" s="1227" t="s">
        <v>544</v>
      </c>
      <c r="C41" s="1211" t="s">
        <v>1009</v>
      </c>
      <c r="D41" s="153"/>
      <c r="E41" s="153"/>
      <c r="F41" s="1162" t="s">
        <v>1891</v>
      </c>
      <c r="G41" s="1143" t="s">
        <v>2145</v>
      </c>
    </row>
    <row r="42" spans="2:7" x14ac:dyDescent="0.25">
      <c r="B42" s="1228" t="s">
        <v>1364</v>
      </c>
      <c r="C42" s="1211" t="s">
        <v>1009</v>
      </c>
      <c r="D42" s="153"/>
      <c r="E42" s="153"/>
      <c r="F42" s="1162" t="s">
        <v>1892</v>
      </c>
      <c r="G42" s="1143" t="s">
        <v>2147</v>
      </c>
    </row>
    <row r="43" spans="2:7" x14ac:dyDescent="0.25">
      <c r="B43" s="1227" t="s">
        <v>1196</v>
      </c>
      <c r="C43" s="1211" t="s">
        <v>1009</v>
      </c>
      <c r="D43" s="153"/>
      <c r="E43" s="153"/>
      <c r="F43" s="1162" t="s">
        <v>1894</v>
      </c>
      <c r="G43" s="1143" t="s">
        <v>2145</v>
      </c>
    </row>
    <row r="44" spans="2:7" x14ac:dyDescent="0.25">
      <c r="B44" s="1227" t="s">
        <v>1889</v>
      </c>
      <c r="C44" s="1211" t="s">
        <v>1009</v>
      </c>
      <c r="D44" s="153"/>
      <c r="E44" s="153"/>
      <c r="F44" s="1227" t="s">
        <v>1897</v>
      </c>
      <c r="G44" s="1211" t="s">
        <v>2175</v>
      </c>
    </row>
    <row r="45" spans="2:7" x14ac:dyDescent="0.25">
      <c r="B45" s="1227" t="s">
        <v>1890</v>
      </c>
      <c r="C45" s="1211" t="s">
        <v>1009</v>
      </c>
      <c r="D45" s="153"/>
      <c r="E45" s="153"/>
      <c r="F45" s="1162" t="s">
        <v>1127</v>
      </c>
      <c r="G45" s="1143" t="s">
        <v>2144</v>
      </c>
    </row>
    <row r="46" spans="2:7" x14ac:dyDescent="0.25">
      <c r="B46" s="1227" t="s">
        <v>1130</v>
      </c>
      <c r="C46" s="1211" t="s">
        <v>1009</v>
      </c>
      <c r="D46" s="153"/>
      <c r="E46" s="153"/>
      <c r="F46" s="1162" t="s">
        <v>1905</v>
      </c>
      <c r="G46" s="1143" t="s">
        <v>2144</v>
      </c>
    </row>
    <row r="47" spans="2:7" x14ac:dyDescent="0.25">
      <c r="B47" s="1227" t="s">
        <v>1893</v>
      </c>
      <c r="C47" s="1211" t="s">
        <v>1009</v>
      </c>
      <c r="D47" s="153"/>
      <c r="E47" s="153"/>
      <c r="F47" s="1227" t="s">
        <v>1906</v>
      </c>
      <c r="G47" s="1211" t="s">
        <v>2176</v>
      </c>
    </row>
    <row r="48" spans="2:7" x14ac:dyDescent="0.25">
      <c r="B48" s="1228" t="s">
        <v>1895</v>
      </c>
      <c r="C48" s="1211" t="s">
        <v>1009</v>
      </c>
      <c r="D48" s="153"/>
      <c r="E48" s="153"/>
      <c r="F48" s="1162" t="s">
        <v>1908</v>
      </c>
      <c r="G48" s="1143" t="s">
        <v>2144</v>
      </c>
    </row>
    <row r="49" spans="2:7" x14ac:dyDescent="0.25">
      <c r="B49" s="1228" t="s">
        <v>1896</v>
      </c>
      <c r="C49" s="1211" t="s">
        <v>1009</v>
      </c>
      <c r="D49" s="153"/>
      <c r="E49" s="153"/>
      <c r="F49" s="1227" t="s">
        <v>1910</v>
      </c>
      <c r="G49" s="1211" t="s">
        <v>2168</v>
      </c>
    </row>
    <row r="50" spans="2:7" x14ac:dyDescent="0.25">
      <c r="B50" s="1227" t="s">
        <v>1898</v>
      </c>
      <c r="C50" s="1211" t="s">
        <v>1009</v>
      </c>
      <c r="D50" s="153"/>
      <c r="E50" s="153"/>
      <c r="F50" s="1162" t="s">
        <v>1379</v>
      </c>
      <c r="G50" s="1143" t="s">
        <v>2146</v>
      </c>
    </row>
    <row r="51" spans="2:7" x14ac:dyDescent="0.25">
      <c r="B51" s="1227" t="s">
        <v>1899</v>
      </c>
      <c r="C51" s="1211" t="s">
        <v>1009</v>
      </c>
      <c r="D51" s="153"/>
      <c r="E51" s="153"/>
      <c r="F51" s="1227" t="s">
        <v>1913</v>
      </c>
      <c r="G51" s="1211" t="s">
        <v>2172</v>
      </c>
    </row>
    <row r="52" spans="2:7" x14ac:dyDescent="0.25">
      <c r="B52" s="1227" t="s">
        <v>1900</v>
      </c>
      <c r="C52" s="1211" t="s">
        <v>1009</v>
      </c>
      <c r="D52" s="153"/>
      <c r="E52" s="153"/>
      <c r="F52" s="1163" t="s">
        <v>1915</v>
      </c>
      <c r="G52" s="1143" t="s">
        <v>809</v>
      </c>
    </row>
    <row r="53" spans="2:7" x14ac:dyDescent="0.25">
      <c r="B53" s="1227" t="s">
        <v>1901</v>
      </c>
      <c r="C53" s="1211" t="s">
        <v>1009</v>
      </c>
      <c r="D53" s="153"/>
      <c r="E53" s="153"/>
      <c r="F53" s="1162" t="s">
        <v>1916</v>
      </c>
      <c r="G53" s="1143" t="s">
        <v>2146</v>
      </c>
    </row>
    <row r="54" spans="2:7" x14ac:dyDescent="0.25">
      <c r="B54" s="1227" t="s">
        <v>1902</v>
      </c>
      <c r="C54" s="1211" t="s">
        <v>1009</v>
      </c>
      <c r="D54" s="153"/>
      <c r="E54" s="153"/>
      <c r="F54" s="1162" t="s">
        <v>1128</v>
      </c>
      <c r="G54" s="1143" t="s">
        <v>809</v>
      </c>
    </row>
    <row r="55" spans="2:7" x14ac:dyDescent="0.25">
      <c r="B55" s="1227" t="s">
        <v>1903</v>
      </c>
      <c r="C55" s="1211" t="s">
        <v>1009</v>
      </c>
      <c r="D55" s="153"/>
      <c r="E55" s="153"/>
      <c r="F55" s="1162" t="s">
        <v>1917</v>
      </c>
      <c r="G55" s="1143" t="s">
        <v>809</v>
      </c>
    </row>
    <row r="56" spans="2:7" x14ac:dyDescent="0.25">
      <c r="B56" s="1227" t="s">
        <v>1904</v>
      </c>
      <c r="C56" s="1211" t="s">
        <v>1009</v>
      </c>
      <c r="D56" s="153"/>
      <c r="E56" s="153"/>
      <c r="F56" s="1227" t="s">
        <v>1919</v>
      </c>
      <c r="G56" s="1211" t="s">
        <v>2172</v>
      </c>
    </row>
    <row r="57" spans="2:7" x14ac:dyDescent="0.25">
      <c r="B57" s="1227" t="s">
        <v>508</v>
      </c>
      <c r="C57" s="1211" t="s">
        <v>1009</v>
      </c>
      <c r="D57" s="153"/>
      <c r="E57" s="153"/>
      <c r="F57" s="1227" t="s">
        <v>1923</v>
      </c>
      <c r="G57" s="1211" t="s">
        <v>2171</v>
      </c>
    </row>
    <row r="58" spans="2:7" x14ac:dyDescent="0.25">
      <c r="B58" s="1227" t="s">
        <v>1907</v>
      </c>
      <c r="C58" s="1211" t="s">
        <v>1009</v>
      </c>
      <c r="D58" s="153"/>
      <c r="E58" s="153"/>
      <c r="F58" s="1227" t="s">
        <v>1924</v>
      </c>
      <c r="G58" s="1143" t="s">
        <v>2145</v>
      </c>
    </row>
    <row r="59" spans="2:7" x14ac:dyDescent="0.25">
      <c r="B59" s="1227" t="s">
        <v>1909</v>
      </c>
      <c r="C59" s="1211" t="s">
        <v>1009</v>
      </c>
      <c r="D59" s="153"/>
      <c r="E59" s="153"/>
      <c r="F59" s="1162" t="s">
        <v>1926</v>
      </c>
      <c r="G59" s="1143" t="s">
        <v>2144</v>
      </c>
    </row>
    <row r="60" spans="2:7" x14ac:dyDescent="0.25">
      <c r="B60" s="1227" t="s">
        <v>1911</v>
      </c>
      <c r="C60" s="1211" t="s">
        <v>1009</v>
      </c>
      <c r="D60" s="153"/>
      <c r="E60" s="153"/>
      <c r="F60" s="1162" t="s">
        <v>1927</v>
      </c>
      <c r="G60" s="1143" t="s">
        <v>2144</v>
      </c>
    </row>
    <row r="61" spans="2:7" x14ac:dyDescent="0.25">
      <c r="B61" s="1227" t="s">
        <v>1912</v>
      </c>
      <c r="C61" s="1211" t="s">
        <v>1009</v>
      </c>
      <c r="D61" s="153"/>
      <c r="E61" s="153"/>
      <c r="F61" s="1162" t="s">
        <v>1928</v>
      </c>
      <c r="G61" s="1143" t="s">
        <v>2148</v>
      </c>
    </row>
    <row r="62" spans="2:7" x14ac:dyDescent="0.25">
      <c r="B62" s="1227" t="s">
        <v>1914</v>
      </c>
      <c r="C62" s="1211" t="s">
        <v>1009</v>
      </c>
      <c r="D62" s="153"/>
      <c r="E62" s="153"/>
      <c r="F62" s="1162" t="s">
        <v>1930</v>
      </c>
      <c r="G62" s="1143" t="s">
        <v>2144</v>
      </c>
    </row>
    <row r="63" spans="2:7" x14ac:dyDescent="0.25">
      <c r="B63" s="1227" t="s">
        <v>1918</v>
      </c>
      <c r="C63" s="1211" t="s">
        <v>1009</v>
      </c>
      <c r="D63" s="153"/>
      <c r="E63" s="153"/>
      <c r="F63" s="1162" t="s">
        <v>1931</v>
      </c>
      <c r="G63" s="1143" t="s">
        <v>2146</v>
      </c>
    </row>
    <row r="64" spans="2:7" x14ac:dyDescent="0.25">
      <c r="B64" s="1227" t="s">
        <v>669</v>
      </c>
      <c r="C64" s="1211" t="s">
        <v>1009</v>
      </c>
      <c r="D64" s="153"/>
      <c r="E64" s="153"/>
      <c r="F64" s="1227" t="s">
        <v>1932</v>
      </c>
      <c r="G64" s="1211" t="s">
        <v>2177</v>
      </c>
    </row>
    <row r="65" spans="2:7" x14ac:dyDescent="0.25">
      <c r="B65" s="1227" t="s">
        <v>1920</v>
      </c>
      <c r="C65" s="1211" t="s">
        <v>1009</v>
      </c>
      <c r="D65" s="153"/>
      <c r="E65" s="153"/>
      <c r="F65" s="1162" t="s">
        <v>1399</v>
      </c>
      <c r="G65" s="1143" t="s">
        <v>2146</v>
      </c>
    </row>
    <row r="66" spans="2:7" x14ac:dyDescent="0.25">
      <c r="B66" s="1227" t="s">
        <v>1921</v>
      </c>
      <c r="C66" s="1211" t="s">
        <v>1009</v>
      </c>
      <c r="D66" s="153"/>
      <c r="E66" s="153"/>
      <c r="F66" s="1162" t="s">
        <v>1933</v>
      </c>
      <c r="G66" s="1143" t="s">
        <v>2144</v>
      </c>
    </row>
    <row r="67" spans="2:7" x14ac:dyDescent="0.25">
      <c r="B67" s="1227" t="s">
        <v>1922</v>
      </c>
      <c r="C67" s="1211" t="s">
        <v>1009</v>
      </c>
      <c r="D67" s="153"/>
      <c r="E67" s="153"/>
      <c r="F67" s="1162" t="s">
        <v>1934</v>
      </c>
      <c r="G67" s="1143" t="s">
        <v>2144</v>
      </c>
    </row>
    <row r="68" spans="2:7" x14ac:dyDescent="0.25">
      <c r="B68" s="1228" t="s">
        <v>1925</v>
      </c>
      <c r="C68" s="1211" t="s">
        <v>1009</v>
      </c>
      <c r="D68" s="153"/>
      <c r="E68" s="153"/>
      <c r="F68" s="1227" t="s">
        <v>1937</v>
      </c>
      <c r="G68" s="1211" t="s">
        <v>2178</v>
      </c>
    </row>
    <row r="69" spans="2:7" x14ac:dyDescent="0.25">
      <c r="B69" s="1227" t="s">
        <v>1929</v>
      </c>
      <c r="C69" s="1211" t="s">
        <v>1009</v>
      </c>
      <c r="D69" s="153"/>
      <c r="E69" s="153"/>
      <c r="F69" s="1162" t="s">
        <v>1938</v>
      </c>
      <c r="G69" s="1143" t="s">
        <v>2146</v>
      </c>
    </row>
    <row r="70" spans="2:7" x14ac:dyDescent="0.25">
      <c r="B70" s="1227" t="s">
        <v>1935</v>
      </c>
      <c r="C70" s="1211"/>
      <c r="D70" s="153"/>
      <c r="E70" s="153"/>
      <c r="F70" s="1162" t="s">
        <v>1134</v>
      </c>
      <c r="G70" s="1143" t="s">
        <v>2146</v>
      </c>
    </row>
    <row r="71" spans="2:7" x14ac:dyDescent="0.25">
      <c r="B71" s="1227" t="s">
        <v>1936</v>
      </c>
      <c r="C71" s="1211" t="s">
        <v>1009</v>
      </c>
      <c r="D71" s="153"/>
      <c r="E71" s="153"/>
      <c r="F71" s="1162" t="s">
        <v>1380</v>
      </c>
      <c r="G71" s="1143" t="s">
        <v>2146</v>
      </c>
    </row>
    <row r="72" spans="2:7" x14ac:dyDescent="0.25">
      <c r="B72" s="1227" t="s">
        <v>1939</v>
      </c>
      <c r="C72" s="1211" t="s">
        <v>1009</v>
      </c>
      <c r="D72" s="153"/>
      <c r="E72" s="153"/>
      <c r="F72" s="1162" t="s">
        <v>1129</v>
      </c>
      <c r="G72" s="1143" t="s">
        <v>809</v>
      </c>
    </row>
    <row r="73" spans="2:7" x14ac:dyDescent="0.25">
      <c r="B73" s="1227" t="s">
        <v>1940</v>
      </c>
      <c r="C73" s="1211" t="s">
        <v>1009</v>
      </c>
      <c r="F73" s="1163" t="s">
        <v>1949</v>
      </c>
      <c r="G73" s="1143" t="s">
        <v>2146</v>
      </c>
    </row>
    <row r="74" spans="2:7" x14ac:dyDescent="0.25">
      <c r="B74" s="1227" t="s">
        <v>1941</v>
      </c>
      <c r="C74" s="1211" t="s">
        <v>1009</v>
      </c>
      <c r="F74" s="1162" t="s">
        <v>1953</v>
      </c>
      <c r="G74" s="1143" t="s">
        <v>2146</v>
      </c>
    </row>
    <row r="75" spans="2:7" x14ac:dyDescent="0.25">
      <c r="B75" s="1227" t="s">
        <v>1942</v>
      </c>
      <c r="C75" s="1211" t="s">
        <v>1009</v>
      </c>
      <c r="F75" s="1162" t="s">
        <v>1955</v>
      </c>
      <c r="G75" s="1143" t="s">
        <v>2146</v>
      </c>
    </row>
    <row r="76" spans="2:7" x14ac:dyDescent="0.25">
      <c r="B76" s="1227" t="s">
        <v>1943</v>
      </c>
      <c r="C76" s="1211"/>
      <c r="F76" s="1227" t="s">
        <v>1961</v>
      </c>
      <c r="G76" s="1211" t="s">
        <v>2171</v>
      </c>
    </row>
    <row r="77" spans="2:7" x14ac:dyDescent="0.25">
      <c r="B77" s="1227" t="s">
        <v>509</v>
      </c>
      <c r="C77" s="1211" t="s">
        <v>1009</v>
      </c>
      <c r="F77" s="1162" t="s">
        <v>1963</v>
      </c>
      <c r="G77" s="1143" t="s">
        <v>2148</v>
      </c>
    </row>
    <row r="78" spans="2:7" x14ac:dyDescent="0.25">
      <c r="B78" s="1228" t="s">
        <v>1944</v>
      </c>
      <c r="C78" s="1211" t="s">
        <v>1009</v>
      </c>
      <c r="F78" s="1162" t="s">
        <v>1965</v>
      </c>
      <c r="G78" s="1143" t="s">
        <v>2144</v>
      </c>
    </row>
    <row r="79" spans="2:7" x14ac:dyDescent="0.25">
      <c r="B79" s="1227" t="s">
        <v>1945</v>
      </c>
      <c r="C79" s="1211" t="s">
        <v>1009</v>
      </c>
      <c r="F79" s="1162" t="s">
        <v>1968</v>
      </c>
      <c r="G79" s="1143" t="s">
        <v>2148</v>
      </c>
    </row>
    <row r="80" spans="2:7" x14ac:dyDescent="0.25">
      <c r="B80" s="1227" t="s">
        <v>1946</v>
      </c>
      <c r="C80" s="1211" t="s">
        <v>1009</v>
      </c>
      <c r="F80" s="1162" t="s">
        <v>1969</v>
      </c>
      <c r="G80" s="1143" t="s">
        <v>2144</v>
      </c>
    </row>
    <row r="81" spans="2:7" x14ac:dyDescent="0.25">
      <c r="B81" s="1227" t="s">
        <v>1947</v>
      </c>
      <c r="C81" s="1211" t="s">
        <v>1009</v>
      </c>
      <c r="F81" s="1162" t="s">
        <v>1971</v>
      </c>
      <c r="G81" s="1143" t="s">
        <v>2144</v>
      </c>
    </row>
    <row r="82" spans="2:7" x14ac:dyDescent="0.25">
      <c r="B82" s="1227" t="s">
        <v>1948</v>
      </c>
      <c r="C82" s="1211" t="s">
        <v>1009</v>
      </c>
      <c r="F82" s="1163" t="s">
        <v>1972</v>
      </c>
      <c r="G82" s="1143" t="s">
        <v>2145</v>
      </c>
    </row>
    <row r="83" spans="2:7" x14ac:dyDescent="0.25">
      <c r="B83" s="1227" t="s">
        <v>1950</v>
      </c>
      <c r="C83" s="1211" t="s">
        <v>1009</v>
      </c>
      <c r="F83" s="1228" t="s">
        <v>1973</v>
      </c>
      <c r="G83" s="1211" t="s">
        <v>2168</v>
      </c>
    </row>
    <row r="84" spans="2:7" x14ac:dyDescent="0.25">
      <c r="B84" s="1227" t="s">
        <v>1951</v>
      </c>
      <c r="C84" s="1211" t="s">
        <v>1009</v>
      </c>
      <c r="F84" s="1162" t="s">
        <v>1974</v>
      </c>
      <c r="G84" s="1143" t="s">
        <v>809</v>
      </c>
    </row>
    <row r="85" spans="2:7" x14ac:dyDescent="0.25">
      <c r="B85" s="1227" t="s">
        <v>1952</v>
      </c>
      <c r="C85" s="1211"/>
      <c r="F85" s="1162" t="s">
        <v>1978</v>
      </c>
      <c r="G85" s="1143" t="s">
        <v>2144</v>
      </c>
    </row>
    <row r="86" spans="2:7" x14ac:dyDescent="0.25">
      <c r="B86" s="1227" t="s">
        <v>1954</v>
      </c>
      <c r="C86" s="1211" t="s">
        <v>1009</v>
      </c>
      <c r="F86" s="1162" t="s">
        <v>1980</v>
      </c>
      <c r="G86" s="1143" t="s">
        <v>809</v>
      </c>
    </row>
    <row r="87" spans="2:7" x14ac:dyDescent="0.25">
      <c r="B87" s="1227" t="s">
        <v>1956</v>
      </c>
      <c r="C87" s="1211" t="s">
        <v>1009</v>
      </c>
      <c r="F87" s="955"/>
      <c r="G87" s="954"/>
    </row>
    <row r="88" spans="2:7" x14ac:dyDescent="0.25">
      <c r="B88" s="1227" t="s">
        <v>1957</v>
      </c>
      <c r="C88" s="1211" t="s">
        <v>1009</v>
      </c>
      <c r="F88" s="955"/>
      <c r="G88" s="954"/>
    </row>
    <row r="89" spans="2:7" x14ac:dyDescent="0.25">
      <c r="B89" s="1227" t="s">
        <v>1958</v>
      </c>
      <c r="C89" s="1211" t="s">
        <v>1009</v>
      </c>
      <c r="F89" s="955"/>
      <c r="G89" s="954"/>
    </row>
    <row r="90" spans="2:7" x14ac:dyDescent="0.25">
      <c r="B90" s="1227" t="s">
        <v>1959</v>
      </c>
      <c r="C90" s="1211" t="s">
        <v>1009</v>
      </c>
      <c r="F90" s="955"/>
      <c r="G90" s="954"/>
    </row>
    <row r="91" spans="2:7" x14ac:dyDescent="0.25">
      <c r="B91" s="1227" t="s">
        <v>1960</v>
      </c>
      <c r="C91" s="1211" t="s">
        <v>2179</v>
      </c>
      <c r="F91" s="955"/>
      <c r="G91" s="954"/>
    </row>
    <row r="92" spans="2:7" x14ac:dyDescent="0.25">
      <c r="B92" s="1227" t="s">
        <v>1962</v>
      </c>
      <c r="C92" s="1211" t="s">
        <v>1009</v>
      </c>
      <c r="F92" s="955"/>
      <c r="G92" s="954"/>
    </row>
    <row r="93" spans="2:7" x14ac:dyDescent="0.25">
      <c r="B93" s="1227" t="s">
        <v>1964</v>
      </c>
      <c r="C93" s="1211" t="s">
        <v>2180</v>
      </c>
    </row>
    <row r="94" spans="2:7" x14ac:dyDescent="0.25">
      <c r="B94" s="1228" t="s">
        <v>1966</v>
      </c>
      <c r="C94" s="1211" t="s">
        <v>1009</v>
      </c>
    </row>
    <row r="95" spans="2:7" x14ac:dyDescent="0.25">
      <c r="B95" s="1227" t="s">
        <v>1967</v>
      </c>
      <c r="C95" s="1211" t="s">
        <v>1009</v>
      </c>
    </row>
    <row r="96" spans="2:7" x14ac:dyDescent="0.25">
      <c r="B96" s="1227" t="s">
        <v>1970</v>
      </c>
      <c r="C96" s="1211" t="s">
        <v>1009</v>
      </c>
    </row>
    <row r="97" spans="2:3" x14ac:dyDescent="0.25">
      <c r="B97" s="1227" t="s">
        <v>510</v>
      </c>
      <c r="C97" s="1211" t="s">
        <v>1009</v>
      </c>
    </row>
    <row r="98" spans="2:3" x14ac:dyDescent="0.25">
      <c r="B98" s="1227" t="s">
        <v>1385</v>
      </c>
      <c r="C98" s="1211" t="s">
        <v>1009</v>
      </c>
    </row>
    <row r="99" spans="2:3" x14ac:dyDescent="0.25">
      <c r="B99" s="1227" t="s">
        <v>1975</v>
      </c>
      <c r="C99" s="1211" t="s">
        <v>1009</v>
      </c>
    </row>
    <row r="100" spans="2:3" x14ac:dyDescent="0.25">
      <c r="B100" s="1227" t="s">
        <v>1976</v>
      </c>
      <c r="C100" s="1211" t="s">
        <v>1009</v>
      </c>
    </row>
    <row r="101" spans="2:3" x14ac:dyDescent="0.25">
      <c r="B101" s="1227" t="s">
        <v>1977</v>
      </c>
      <c r="C101" s="1211" t="s">
        <v>1009</v>
      </c>
    </row>
    <row r="102" spans="2:3" x14ac:dyDescent="0.25">
      <c r="B102" s="1227" t="s">
        <v>1979</v>
      </c>
      <c r="C102" s="1211" t="s">
        <v>1009</v>
      </c>
    </row>
    <row r="103" spans="2:3" x14ac:dyDescent="0.25">
      <c r="B103" s="1227" t="s">
        <v>1981</v>
      </c>
      <c r="C103" s="1211" t="s">
        <v>1009</v>
      </c>
    </row>
    <row r="104" spans="2:3" x14ac:dyDescent="0.25">
      <c r="B104" s="1227" t="s">
        <v>1982</v>
      </c>
      <c r="C104" s="1211" t="s">
        <v>1009</v>
      </c>
    </row>
    <row r="105" spans="2:3" x14ac:dyDescent="0.25">
      <c r="B105" s="1227" t="s">
        <v>1983</v>
      </c>
      <c r="C105" s="1211" t="s">
        <v>1009</v>
      </c>
    </row>
    <row r="106" spans="2:3" x14ac:dyDescent="0.25">
      <c r="B106" s="1227" t="s">
        <v>1984</v>
      </c>
      <c r="C106" s="1211" t="s">
        <v>1009</v>
      </c>
    </row>
    <row r="107" spans="2:3" x14ac:dyDescent="0.25">
      <c r="B107" s="1227" t="s">
        <v>511</v>
      </c>
      <c r="C107" s="1211" t="s">
        <v>1009</v>
      </c>
    </row>
    <row r="108" spans="2:3" x14ac:dyDescent="0.25">
      <c r="B108" s="1227" t="s">
        <v>1985</v>
      </c>
      <c r="C108" s="1211" t="s">
        <v>1009</v>
      </c>
    </row>
    <row r="131" spans="2:2" x14ac:dyDescent="0.25">
      <c r="B131" s="1164"/>
    </row>
  </sheetData>
  <sheetProtection algorithmName="SHA-512" hashValue="89Q7xubIn92B6fIMdGFUA2GSMNbG+yGz2hjAAq8ClZxWR0GdfF0ChYxJkMTFnlR6AH0zNouo6K1U8/hmOxVNpg==" saltValue="Pe9MTWp4f4w74IWwJ0Z38w==" spinCount="100000" sheet="1" objects="1" scenarios="1"/>
  <autoFilter ref="B5:C125"/>
  <sortState ref="F6:G86">
    <sortCondition ref="F6:F86"/>
  </sortState>
  <mergeCells count="1">
    <mergeCell ref="B3:G3"/>
  </mergeCell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4"/>
  <dimension ref="A1:D168"/>
  <sheetViews>
    <sheetView topLeftCell="A18" workbookViewId="0">
      <selection activeCell="M21" sqref="M21"/>
    </sheetView>
  </sheetViews>
  <sheetFormatPr baseColWidth="10" defaultColWidth="11.42578125" defaultRowHeight="15" x14ac:dyDescent="0.25"/>
  <cols>
    <col min="1" max="1" width="14" style="48" customWidth="1"/>
    <col min="2" max="2" width="31.5703125" style="48" bestFit="1" customWidth="1"/>
    <col min="3" max="3" width="34" style="48" bestFit="1" customWidth="1"/>
    <col min="4" max="4" width="14.42578125" style="48" bestFit="1" customWidth="1"/>
    <col min="5" max="16384" width="11.42578125" style="48"/>
  </cols>
  <sheetData>
    <row r="1" spans="1:4" x14ac:dyDescent="0.25">
      <c r="A1" s="48" t="s">
        <v>2129</v>
      </c>
      <c r="B1" s="48" t="s">
        <v>2130</v>
      </c>
    </row>
    <row r="2" spans="1:4" ht="15.75" x14ac:dyDescent="0.25">
      <c r="A2" s="2124" t="s">
        <v>1990</v>
      </c>
      <c r="B2" s="2125"/>
      <c r="C2" s="2125"/>
      <c r="D2" s="2125"/>
    </row>
    <row r="3" spans="1:4" ht="15.75" customHeight="1" thickBot="1" x14ac:dyDescent="0.3">
      <c r="A3" s="2122" t="s">
        <v>1137</v>
      </c>
      <c r="B3" s="2123"/>
      <c r="C3" s="2123"/>
      <c r="D3" s="2123"/>
    </row>
    <row r="4" spans="1:4" ht="15.75" thickBot="1" x14ac:dyDescent="0.3">
      <c r="A4" s="1166" t="s">
        <v>1138</v>
      </c>
      <c r="B4" s="1167" t="s">
        <v>1139</v>
      </c>
      <c r="C4" s="1168" t="s">
        <v>805</v>
      </c>
      <c r="D4" s="1204" t="s">
        <v>2128</v>
      </c>
    </row>
    <row r="5" spans="1:4" ht="15.75" customHeight="1" x14ac:dyDescent="0.25">
      <c r="A5" s="1169" t="s">
        <v>1140</v>
      </c>
      <c r="B5" s="1170" t="s">
        <v>857</v>
      </c>
      <c r="C5" s="1202" t="s">
        <v>1487</v>
      </c>
      <c r="D5" s="1172" t="s">
        <v>2127</v>
      </c>
    </row>
    <row r="6" spans="1:4" x14ac:dyDescent="0.25">
      <c r="A6" s="1171" t="s">
        <v>1140</v>
      </c>
      <c r="B6" s="1172" t="s">
        <v>1510</v>
      </c>
      <c r="C6" s="1203" t="s">
        <v>1511</v>
      </c>
      <c r="D6" s="1172" t="s">
        <v>2127</v>
      </c>
    </row>
    <row r="7" spans="1:4" x14ac:dyDescent="0.25">
      <c r="A7" s="1171" t="s">
        <v>1140</v>
      </c>
      <c r="B7" s="1174" t="s">
        <v>1512</v>
      </c>
      <c r="C7" s="1203" t="s">
        <v>1164</v>
      </c>
      <c r="D7" s="1172" t="s">
        <v>2127</v>
      </c>
    </row>
    <row r="8" spans="1:4" x14ac:dyDescent="0.25">
      <c r="A8" s="1171" t="s">
        <v>1140</v>
      </c>
      <c r="B8" s="1174" t="s">
        <v>1537</v>
      </c>
      <c r="C8" s="1203" t="s">
        <v>1538</v>
      </c>
      <c r="D8" s="1172" t="s">
        <v>2127</v>
      </c>
    </row>
    <row r="9" spans="1:4" x14ac:dyDescent="0.25">
      <c r="A9" s="1171" t="s">
        <v>1140</v>
      </c>
      <c r="B9" s="1174" t="s">
        <v>1539</v>
      </c>
      <c r="C9" s="1203" t="s">
        <v>1540</v>
      </c>
      <c r="D9" s="1172" t="s">
        <v>2127</v>
      </c>
    </row>
    <row r="10" spans="1:4" x14ac:dyDescent="0.25">
      <c r="A10" s="1171" t="s">
        <v>1140</v>
      </c>
      <c r="B10" s="1174" t="s">
        <v>1488</v>
      </c>
      <c r="C10" s="1203" t="s">
        <v>1489</v>
      </c>
      <c r="D10" s="1172" t="s">
        <v>2127</v>
      </c>
    </row>
    <row r="11" spans="1:4" x14ac:dyDescent="0.25">
      <c r="A11" s="1171" t="s">
        <v>1140</v>
      </c>
      <c r="B11" s="1174" t="s">
        <v>1490</v>
      </c>
      <c r="C11" s="1203" t="s">
        <v>1489</v>
      </c>
      <c r="D11" s="1172" t="s">
        <v>2127</v>
      </c>
    </row>
    <row r="12" spans="1:4" x14ac:dyDescent="0.25">
      <c r="A12" s="1173" t="s">
        <v>1140</v>
      </c>
      <c r="B12" s="1143" t="s">
        <v>1991</v>
      </c>
      <c r="C12" s="1203" t="s">
        <v>1992</v>
      </c>
      <c r="D12" s="1172" t="s">
        <v>2127</v>
      </c>
    </row>
    <row r="13" spans="1:4" x14ac:dyDescent="0.25">
      <c r="A13" s="1171" t="s">
        <v>1140</v>
      </c>
      <c r="B13" s="1174" t="s">
        <v>1496</v>
      </c>
      <c r="C13" s="1203" t="s">
        <v>1497</v>
      </c>
      <c r="D13" s="1172" t="s">
        <v>2127</v>
      </c>
    </row>
    <row r="14" spans="1:4" x14ac:dyDescent="0.25">
      <c r="A14" s="1171" t="s">
        <v>1140</v>
      </c>
      <c r="B14" s="1174" t="s">
        <v>1498</v>
      </c>
      <c r="C14" s="1203" t="s">
        <v>1497</v>
      </c>
      <c r="D14" s="1172" t="s">
        <v>2127</v>
      </c>
    </row>
    <row r="15" spans="1:4" x14ac:dyDescent="0.25">
      <c r="A15" s="1171" t="s">
        <v>1140</v>
      </c>
      <c r="B15" s="1174" t="s">
        <v>1499</v>
      </c>
      <c r="C15" s="1203" t="s">
        <v>1497</v>
      </c>
      <c r="D15" s="1172" t="s">
        <v>2127</v>
      </c>
    </row>
    <row r="16" spans="1:4" x14ac:dyDescent="0.25">
      <c r="A16" s="1171" t="s">
        <v>1140</v>
      </c>
      <c r="B16" s="1174" t="s">
        <v>1500</v>
      </c>
      <c r="C16" s="1203" t="s">
        <v>1497</v>
      </c>
      <c r="D16" s="1172" t="s">
        <v>2127</v>
      </c>
    </row>
    <row r="17" spans="1:4" x14ac:dyDescent="0.25">
      <c r="A17" s="1171" t="s">
        <v>1140</v>
      </c>
      <c r="B17" s="1174" t="s">
        <v>1501</v>
      </c>
      <c r="C17" s="1203" t="s">
        <v>1497</v>
      </c>
      <c r="D17" s="1172" t="s">
        <v>2127</v>
      </c>
    </row>
    <row r="18" spans="1:4" x14ac:dyDescent="0.25">
      <c r="A18" s="1171" t="s">
        <v>1140</v>
      </c>
      <c r="B18" s="1174" t="s">
        <v>1502</v>
      </c>
      <c r="C18" s="1203" t="s">
        <v>1497</v>
      </c>
      <c r="D18" s="1172" t="s">
        <v>2127</v>
      </c>
    </row>
    <row r="19" spans="1:4" x14ac:dyDescent="0.25">
      <c r="A19" s="1171" t="s">
        <v>1140</v>
      </c>
      <c r="B19" s="1174" t="s">
        <v>1503</v>
      </c>
      <c r="C19" s="1203" t="s">
        <v>1497</v>
      </c>
      <c r="D19" s="1172" t="s">
        <v>2127</v>
      </c>
    </row>
    <row r="20" spans="1:4" x14ac:dyDescent="0.25">
      <c r="A20" s="1171" t="s">
        <v>1140</v>
      </c>
      <c r="B20" s="1174" t="s">
        <v>1504</v>
      </c>
      <c r="C20" s="1203" t="s">
        <v>1497</v>
      </c>
      <c r="D20" s="1172" t="s">
        <v>2127</v>
      </c>
    </row>
    <row r="21" spans="1:4" x14ac:dyDescent="0.25">
      <c r="A21" s="1171" t="s">
        <v>1140</v>
      </c>
      <c r="B21" s="1174" t="s">
        <v>1505</v>
      </c>
      <c r="C21" s="1203" t="s">
        <v>1497</v>
      </c>
      <c r="D21" s="1172" t="s">
        <v>2127</v>
      </c>
    </row>
    <row r="22" spans="1:4" x14ac:dyDescent="0.25">
      <c r="A22" s="1171" t="s">
        <v>1140</v>
      </c>
      <c r="B22" s="1174" t="s">
        <v>1506</v>
      </c>
      <c r="C22" s="1203" t="s">
        <v>1497</v>
      </c>
      <c r="D22" s="1172" t="s">
        <v>2127</v>
      </c>
    </row>
    <row r="23" spans="1:4" x14ac:dyDescent="0.25">
      <c r="A23" s="1205" t="s">
        <v>1140</v>
      </c>
      <c r="B23" s="1206" t="s">
        <v>1541</v>
      </c>
      <c r="C23" s="1207" t="s">
        <v>1164</v>
      </c>
      <c r="D23" s="1206" t="s">
        <v>2126</v>
      </c>
    </row>
    <row r="24" spans="1:4" x14ac:dyDescent="0.25">
      <c r="A24" s="1171" t="s">
        <v>1140</v>
      </c>
      <c r="B24" s="1174" t="s">
        <v>1507</v>
      </c>
      <c r="C24" s="1203" t="s">
        <v>1145</v>
      </c>
      <c r="D24" s="1172" t="s">
        <v>2127</v>
      </c>
    </row>
    <row r="25" spans="1:4" x14ac:dyDescent="0.25">
      <c r="A25" s="1171" t="s">
        <v>1140</v>
      </c>
      <c r="B25" s="1174" t="s">
        <v>1508</v>
      </c>
      <c r="C25" s="1203" t="s">
        <v>1145</v>
      </c>
      <c r="D25" s="1172" t="s">
        <v>2127</v>
      </c>
    </row>
    <row r="26" spans="1:4" x14ac:dyDescent="0.25">
      <c r="A26" s="1171" t="s">
        <v>1140</v>
      </c>
      <c r="B26" s="1174" t="s">
        <v>1491</v>
      </c>
      <c r="C26" s="1203" t="s">
        <v>1147</v>
      </c>
      <c r="D26" s="1172" t="s">
        <v>2127</v>
      </c>
    </row>
    <row r="27" spans="1:4" x14ac:dyDescent="0.25">
      <c r="A27" s="1171" t="s">
        <v>1140</v>
      </c>
      <c r="B27" s="1174" t="s">
        <v>1492</v>
      </c>
      <c r="C27" s="1203" t="s">
        <v>1147</v>
      </c>
      <c r="D27" s="1172" t="s">
        <v>2127</v>
      </c>
    </row>
    <row r="28" spans="1:4" x14ac:dyDescent="0.25">
      <c r="A28" s="1205" t="s">
        <v>1140</v>
      </c>
      <c r="B28" s="1206" t="s">
        <v>1493</v>
      </c>
      <c r="C28" s="1207" t="s">
        <v>1147</v>
      </c>
      <c r="D28" s="1206" t="s">
        <v>2126</v>
      </c>
    </row>
    <row r="29" spans="1:4" x14ac:dyDescent="0.25">
      <c r="A29" s="1208" t="s">
        <v>1140</v>
      </c>
      <c r="B29" s="1209" t="s">
        <v>1165</v>
      </c>
      <c r="C29" s="1210" t="s">
        <v>1164</v>
      </c>
      <c r="D29" s="1211" t="s">
        <v>2127</v>
      </c>
    </row>
    <row r="30" spans="1:4" x14ac:dyDescent="0.25">
      <c r="A30" s="1208" t="s">
        <v>1140</v>
      </c>
      <c r="B30" s="1209" t="s">
        <v>1148</v>
      </c>
      <c r="C30" s="1210" t="s">
        <v>1149</v>
      </c>
      <c r="D30" s="1211" t="s">
        <v>2127</v>
      </c>
    </row>
    <row r="31" spans="1:4" x14ac:dyDescent="0.25">
      <c r="A31" s="1208" t="s">
        <v>1140</v>
      </c>
      <c r="B31" s="1209" t="s">
        <v>781</v>
      </c>
      <c r="C31" s="1210" t="s">
        <v>1144</v>
      </c>
      <c r="D31" s="1211" t="s">
        <v>2127</v>
      </c>
    </row>
    <row r="32" spans="1:4" x14ac:dyDescent="0.25">
      <c r="A32" s="1205" t="s">
        <v>1140</v>
      </c>
      <c r="B32" s="1206" t="s">
        <v>1521</v>
      </c>
      <c r="C32" s="1207" t="s">
        <v>1522</v>
      </c>
      <c r="D32" s="1206" t="s">
        <v>2126</v>
      </c>
    </row>
    <row r="33" spans="1:4" x14ac:dyDescent="0.25">
      <c r="A33" s="1208" t="s">
        <v>1140</v>
      </c>
      <c r="B33" s="1209" t="s">
        <v>1542</v>
      </c>
      <c r="C33" s="1210" t="s">
        <v>1178</v>
      </c>
      <c r="D33" s="1211" t="s">
        <v>2127</v>
      </c>
    </row>
    <row r="34" spans="1:4" x14ac:dyDescent="0.25">
      <c r="A34" s="1208" t="s">
        <v>1140</v>
      </c>
      <c r="B34" s="1209" t="s">
        <v>1523</v>
      </c>
      <c r="C34" s="1210" t="s">
        <v>1524</v>
      </c>
      <c r="D34" s="1211" t="s">
        <v>2127</v>
      </c>
    </row>
    <row r="35" spans="1:4" x14ac:dyDescent="0.25">
      <c r="A35" s="1208" t="s">
        <v>1140</v>
      </c>
      <c r="B35" s="1209" t="s">
        <v>1525</v>
      </c>
      <c r="C35" s="1210" t="s">
        <v>1524</v>
      </c>
      <c r="D35" s="1211" t="s">
        <v>2127</v>
      </c>
    </row>
    <row r="36" spans="1:4" x14ac:dyDescent="0.25">
      <c r="A36" s="1208" t="s">
        <v>1140</v>
      </c>
      <c r="B36" s="1209" t="s">
        <v>1526</v>
      </c>
      <c r="C36" s="1210" t="s">
        <v>1524</v>
      </c>
      <c r="D36" s="1211" t="s">
        <v>2127</v>
      </c>
    </row>
    <row r="37" spans="1:4" x14ac:dyDescent="0.25">
      <c r="A37" s="1208" t="s">
        <v>1140</v>
      </c>
      <c r="B37" s="1209" t="s">
        <v>1527</v>
      </c>
      <c r="C37" s="1210" t="s">
        <v>1524</v>
      </c>
      <c r="D37" s="1211" t="s">
        <v>2127</v>
      </c>
    </row>
    <row r="38" spans="1:4" x14ac:dyDescent="0.25">
      <c r="A38" s="1208" t="s">
        <v>1140</v>
      </c>
      <c r="B38" s="1209" t="s">
        <v>1528</v>
      </c>
      <c r="C38" s="1210" t="s">
        <v>1524</v>
      </c>
      <c r="D38" s="1211" t="s">
        <v>2127</v>
      </c>
    </row>
    <row r="39" spans="1:4" x14ac:dyDescent="0.25">
      <c r="A39" s="1208" t="s">
        <v>1140</v>
      </c>
      <c r="B39" s="1209" t="s">
        <v>1529</v>
      </c>
      <c r="C39" s="1210" t="s">
        <v>1524</v>
      </c>
      <c r="D39" s="1211" t="s">
        <v>2127</v>
      </c>
    </row>
    <row r="40" spans="1:4" x14ac:dyDescent="0.25">
      <c r="A40" s="1208" t="s">
        <v>1140</v>
      </c>
      <c r="B40" s="1209" t="s">
        <v>1157</v>
      </c>
      <c r="C40" s="1210" t="s">
        <v>1540</v>
      </c>
      <c r="D40" s="1211" t="s">
        <v>2127</v>
      </c>
    </row>
    <row r="41" spans="1:4" x14ac:dyDescent="0.25">
      <c r="A41" s="1205" t="s">
        <v>1140</v>
      </c>
      <c r="B41" s="1206" t="s">
        <v>1146</v>
      </c>
      <c r="C41" s="1207" t="s">
        <v>1147</v>
      </c>
      <c r="D41" s="1206" t="s">
        <v>2126</v>
      </c>
    </row>
    <row r="42" spans="1:4" x14ac:dyDescent="0.25">
      <c r="A42" s="1208" t="s">
        <v>1140</v>
      </c>
      <c r="B42" s="1209" t="s">
        <v>864</v>
      </c>
      <c r="C42" s="1210" t="s">
        <v>1144</v>
      </c>
      <c r="D42" s="1211" t="s">
        <v>2127</v>
      </c>
    </row>
    <row r="43" spans="1:4" x14ac:dyDescent="0.25">
      <c r="A43" s="1208" t="s">
        <v>1140</v>
      </c>
      <c r="B43" s="1209" t="s">
        <v>1158</v>
      </c>
      <c r="C43" s="1210" t="s">
        <v>1533</v>
      </c>
      <c r="D43" s="1211" t="s">
        <v>2127</v>
      </c>
    </row>
    <row r="44" spans="1:4" x14ac:dyDescent="0.25">
      <c r="A44" s="1208" t="s">
        <v>1140</v>
      </c>
      <c r="B44" s="1209" t="s">
        <v>1159</v>
      </c>
      <c r="C44" s="1210" t="s">
        <v>1533</v>
      </c>
      <c r="D44" s="1211" t="s">
        <v>2127</v>
      </c>
    </row>
    <row r="45" spans="1:4" x14ac:dyDescent="0.25">
      <c r="A45" s="1208" t="s">
        <v>1140</v>
      </c>
      <c r="B45" s="1209" t="s">
        <v>865</v>
      </c>
      <c r="C45" s="1210" t="s">
        <v>1160</v>
      </c>
      <c r="D45" s="1211" t="s">
        <v>2127</v>
      </c>
    </row>
    <row r="46" spans="1:4" x14ac:dyDescent="0.25">
      <c r="A46" s="1208" t="s">
        <v>1140</v>
      </c>
      <c r="B46" s="1209" t="s">
        <v>782</v>
      </c>
      <c r="C46" s="1210" t="s">
        <v>1144</v>
      </c>
      <c r="D46" s="1211" t="s">
        <v>2127</v>
      </c>
    </row>
    <row r="47" spans="1:4" x14ac:dyDescent="0.25">
      <c r="A47" s="1208" t="s">
        <v>1140</v>
      </c>
      <c r="B47" s="1209" t="s">
        <v>1153</v>
      </c>
      <c r="C47" s="1210" t="s">
        <v>1151</v>
      </c>
      <c r="D47" s="1211" t="s">
        <v>2127</v>
      </c>
    </row>
    <row r="48" spans="1:4" x14ac:dyDescent="0.25">
      <c r="A48" s="1208" t="s">
        <v>1140</v>
      </c>
      <c r="B48" s="1209" t="s">
        <v>1550</v>
      </c>
      <c r="C48" s="1210" t="s">
        <v>1147</v>
      </c>
      <c r="D48" s="1211" t="s">
        <v>2127</v>
      </c>
    </row>
    <row r="49" spans="1:4" x14ac:dyDescent="0.25">
      <c r="A49" s="1208" t="s">
        <v>1140</v>
      </c>
      <c r="B49" s="1209" t="s">
        <v>1152</v>
      </c>
      <c r="C49" s="1210" t="s">
        <v>1494</v>
      </c>
      <c r="D49" s="1211" t="s">
        <v>2127</v>
      </c>
    </row>
    <row r="50" spans="1:4" x14ac:dyDescent="0.25">
      <c r="A50" s="1205" t="s">
        <v>1140</v>
      </c>
      <c r="B50" s="1206" t="s">
        <v>1530</v>
      </c>
      <c r="C50" s="1207" t="s">
        <v>1522</v>
      </c>
      <c r="D50" s="1206" t="s">
        <v>2126</v>
      </c>
    </row>
    <row r="51" spans="1:4" x14ac:dyDescent="0.25">
      <c r="A51" s="1208" t="s">
        <v>1140</v>
      </c>
      <c r="B51" s="1209" t="s">
        <v>860</v>
      </c>
      <c r="C51" s="1210" t="s">
        <v>1149</v>
      </c>
      <c r="D51" s="1211" t="s">
        <v>2127</v>
      </c>
    </row>
    <row r="52" spans="1:4" x14ac:dyDescent="0.25">
      <c r="A52" s="1208" t="s">
        <v>1140</v>
      </c>
      <c r="B52" s="1209" t="s">
        <v>1509</v>
      </c>
      <c r="C52" s="1210" t="s">
        <v>1163</v>
      </c>
      <c r="D52" s="1211" t="s">
        <v>2127</v>
      </c>
    </row>
    <row r="53" spans="1:4" x14ac:dyDescent="0.25">
      <c r="A53" s="1208" t="s">
        <v>1140</v>
      </c>
      <c r="B53" s="1209" t="s">
        <v>1543</v>
      </c>
      <c r="C53" s="1210" t="s">
        <v>1149</v>
      </c>
      <c r="D53" s="1211" t="s">
        <v>2127</v>
      </c>
    </row>
    <row r="54" spans="1:4" x14ac:dyDescent="0.25">
      <c r="A54" s="1208" t="s">
        <v>1140</v>
      </c>
      <c r="B54" s="1209" t="s">
        <v>867</v>
      </c>
      <c r="C54" s="1210" t="s">
        <v>1516</v>
      </c>
      <c r="D54" s="1211" t="s">
        <v>2127</v>
      </c>
    </row>
    <row r="55" spans="1:4" x14ac:dyDescent="0.25">
      <c r="A55" s="1208" t="s">
        <v>1140</v>
      </c>
      <c r="B55" s="1211" t="s">
        <v>1993</v>
      </c>
      <c r="C55" s="1210" t="s">
        <v>1994</v>
      </c>
      <c r="D55" s="1211" t="s">
        <v>2127</v>
      </c>
    </row>
    <row r="56" spans="1:4" x14ac:dyDescent="0.25">
      <c r="A56" s="1208" t="s">
        <v>1140</v>
      </c>
      <c r="B56" s="1209" t="s">
        <v>1558</v>
      </c>
      <c r="C56" s="1210" t="s">
        <v>1559</v>
      </c>
      <c r="D56" s="1211" t="s">
        <v>2127</v>
      </c>
    </row>
    <row r="57" spans="1:4" x14ac:dyDescent="0.25">
      <c r="A57" s="1208" t="s">
        <v>1140</v>
      </c>
      <c r="B57" s="1209" t="s">
        <v>1544</v>
      </c>
      <c r="C57" s="1210" t="s">
        <v>1163</v>
      </c>
      <c r="D57" s="1211" t="s">
        <v>2127</v>
      </c>
    </row>
    <row r="58" spans="1:4" x14ac:dyDescent="0.25">
      <c r="A58" s="1208" t="s">
        <v>1140</v>
      </c>
      <c r="B58" s="1209" t="s">
        <v>1531</v>
      </c>
      <c r="C58" s="1210" t="s">
        <v>1163</v>
      </c>
      <c r="D58" s="1211" t="s">
        <v>2127</v>
      </c>
    </row>
    <row r="59" spans="1:4" x14ac:dyDescent="0.25">
      <c r="A59" s="1208" t="s">
        <v>1140</v>
      </c>
      <c r="B59" s="1209" t="s">
        <v>1517</v>
      </c>
      <c r="C59" s="1210" t="s">
        <v>1518</v>
      </c>
      <c r="D59" s="1211" t="s">
        <v>2127</v>
      </c>
    </row>
    <row r="60" spans="1:4" x14ac:dyDescent="0.25">
      <c r="A60" s="1208" t="s">
        <v>1140</v>
      </c>
      <c r="B60" s="1209" t="s">
        <v>1560</v>
      </c>
      <c r="C60" s="1210" t="s">
        <v>1177</v>
      </c>
      <c r="D60" s="1211" t="s">
        <v>2127</v>
      </c>
    </row>
    <row r="61" spans="1:4" x14ac:dyDescent="0.25">
      <c r="A61" s="1208" t="s">
        <v>1140</v>
      </c>
      <c r="B61" s="1209" t="s">
        <v>1545</v>
      </c>
      <c r="C61" s="1210" t="s">
        <v>1149</v>
      </c>
      <c r="D61" s="1211" t="s">
        <v>2127</v>
      </c>
    </row>
    <row r="62" spans="1:4" x14ac:dyDescent="0.25">
      <c r="A62" s="1208" t="s">
        <v>1140</v>
      </c>
      <c r="B62" s="1209" t="s">
        <v>868</v>
      </c>
      <c r="C62" s="1210" t="s">
        <v>1149</v>
      </c>
      <c r="D62" s="1211" t="s">
        <v>2127</v>
      </c>
    </row>
    <row r="63" spans="1:4" x14ac:dyDescent="0.25">
      <c r="A63" s="1208" t="s">
        <v>1140</v>
      </c>
      <c r="B63" s="1209" t="s">
        <v>1546</v>
      </c>
      <c r="C63" s="1210" t="s">
        <v>1149</v>
      </c>
      <c r="D63" s="1211" t="s">
        <v>2127</v>
      </c>
    </row>
    <row r="64" spans="1:4" x14ac:dyDescent="0.25">
      <c r="A64" s="1208" t="s">
        <v>1140</v>
      </c>
      <c r="B64" s="1209" t="s">
        <v>861</v>
      </c>
      <c r="C64" s="1210" t="s">
        <v>1547</v>
      </c>
      <c r="D64" s="1211" t="s">
        <v>2127</v>
      </c>
    </row>
    <row r="65" spans="1:4" x14ac:dyDescent="0.25">
      <c r="A65" s="1208" t="s">
        <v>1140</v>
      </c>
      <c r="B65" s="1209" t="s">
        <v>783</v>
      </c>
      <c r="C65" s="1210" t="s">
        <v>1166</v>
      </c>
      <c r="D65" s="1211" t="s">
        <v>2127</v>
      </c>
    </row>
    <row r="66" spans="1:4" x14ac:dyDescent="0.25">
      <c r="A66" s="1208" t="s">
        <v>1140</v>
      </c>
      <c r="B66" s="1209" t="s">
        <v>1519</v>
      </c>
      <c r="C66" s="1210" t="s">
        <v>1520</v>
      </c>
      <c r="D66" s="1211" t="s">
        <v>2127</v>
      </c>
    </row>
    <row r="67" spans="1:4" x14ac:dyDescent="0.25">
      <c r="A67" s="1208" t="s">
        <v>1140</v>
      </c>
      <c r="B67" s="1211" t="s">
        <v>1995</v>
      </c>
      <c r="C67" s="1210" t="s">
        <v>1559</v>
      </c>
      <c r="D67" s="1211" t="s">
        <v>2127</v>
      </c>
    </row>
    <row r="68" spans="1:4" x14ac:dyDescent="0.25">
      <c r="A68" s="1208" t="s">
        <v>1140</v>
      </c>
      <c r="B68" s="1209" t="s">
        <v>1156</v>
      </c>
      <c r="C68" s="1210" t="s">
        <v>1561</v>
      </c>
      <c r="D68" s="1211" t="s">
        <v>2127</v>
      </c>
    </row>
    <row r="69" spans="1:4" x14ac:dyDescent="0.25">
      <c r="A69" s="1208" t="s">
        <v>1140</v>
      </c>
      <c r="B69" s="1211" t="s">
        <v>1996</v>
      </c>
      <c r="C69" s="1210" t="s">
        <v>1163</v>
      </c>
      <c r="D69" s="1211" t="s">
        <v>2127</v>
      </c>
    </row>
    <row r="70" spans="1:4" x14ac:dyDescent="0.25">
      <c r="A70" s="1208" t="s">
        <v>1140</v>
      </c>
      <c r="B70" s="1209" t="s">
        <v>1161</v>
      </c>
      <c r="C70" s="1210" t="s">
        <v>1162</v>
      </c>
      <c r="D70" s="1211" t="s">
        <v>2127</v>
      </c>
    </row>
    <row r="71" spans="1:4" x14ac:dyDescent="0.25">
      <c r="A71" s="1208" t="s">
        <v>1140</v>
      </c>
      <c r="B71" s="1209" t="s">
        <v>1551</v>
      </c>
      <c r="C71" s="1210" t="s">
        <v>1552</v>
      </c>
      <c r="D71" s="1211" t="s">
        <v>2127</v>
      </c>
    </row>
    <row r="72" spans="1:4" x14ac:dyDescent="0.25">
      <c r="A72" s="1208" t="s">
        <v>1140</v>
      </c>
      <c r="B72" s="1209" t="s">
        <v>1562</v>
      </c>
      <c r="C72" s="1210" t="s">
        <v>1163</v>
      </c>
      <c r="D72" s="1211" t="s">
        <v>2127</v>
      </c>
    </row>
    <row r="73" spans="1:4" x14ac:dyDescent="0.25">
      <c r="A73" s="1208" t="s">
        <v>1140</v>
      </c>
      <c r="B73" s="1209" t="s">
        <v>869</v>
      </c>
      <c r="C73" s="1210" t="s">
        <v>1143</v>
      </c>
      <c r="D73" s="1211" t="s">
        <v>2127</v>
      </c>
    </row>
    <row r="74" spans="1:4" x14ac:dyDescent="0.25">
      <c r="A74" s="1208" t="s">
        <v>1140</v>
      </c>
      <c r="B74" s="1209" t="s">
        <v>1532</v>
      </c>
      <c r="C74" s="1210" t="s">
        <v>1533</v>
      </c>
      <c r="D74" s="1211" t="s">
        <v>2127</v>
      </c>
    </row>
    <row r="75" spans="1:4" x14ac:dyDescent="0.25">
      <c r="A75" s="1208" t="s">
        <v>1140</v>
      </c>
      <c r="B75" s="1209" t="s">
        <v>862</v>
      </c>
      <c r="C75" s="1210" t="s">
        <v>1548</v>
      </c>
      <c r="D75" s="1211" t="s">
        <v>2127</v>
      </c>
    </row>
    <row r="76" spans="1:4" x14ac:dyDescent="0.25">
      <c r="A76" s="1208" t="s">
        <v>1140</v>
      </c>
      <c r="B76" s="1209" t="s">
        <v>1534</v>
      </c>
      <c r="C76" s="1210" t="s">
        <v>1522</v>
      </c>
      <c r="D76" s="1211" t="s">
        <v>2127</v>
      </c>
    </row>
    <row r="77" spans="1:4" x14ac:dyDescent="0.25">
      <c r="A77" s="1208" t="s">
        <v>1140</v>
      </c>
      <c r="B77" s="1209" t="s">
        <v>784</v>
      </c>
      <c r="C77" s="1210" t="s">
        <v>1535</v>
      </c>
      <c r="D77" s="1211" t="s">
        <v>2127</v>
      </c>
    </row>
    <row r="78" spans="1:4" x14ac:dyDescent="0.25">
      <c r="A78" s="1208" t="s">
        <v>1140</v>
      </c>
      <c r="B78" s="1209" t="s">
        <v>1553</v>
      </c>
      <c r="C78" s="1210" t="s">
        <v>1154</v>
      </c>
      <c r="D78" s="1211" t="s">
        <v>2127</v>
      </c>
    </row>
    <row r="79" spans="1:4" x14ac:dyDescent="0.25">
      <c r="A79" s="1208" t="s">
        <v>1140</v>
      </c>
      <c r="B79" s="1209" t="s">
        <v>1554</v>
      </c>
      <c r="C79" s="1210" t="s">
        <v>1154</v>
      </c>
      <c r="D79" s="1211" t="s">
        <v>2127</v>
      </c>
    </row>
    <row r="80" spans="1:4" x14ac:dyDescent="0.25">
      <c r="A80" s="1208" t="s">
        <v>1140</v>
      </c>
      <c r="B80" s="1209" t="s">
        <v>1555</v>
      </c>
      <c r="C80" s="1210" t="s">
        <v>1154</v>
      </c>
      <c r="D80" s="1211" t="s">
        <v>2127</v>
      </c>
    </row>
    <row r="81" spans="1:4" x14ac:dyDescent="0.25">
      <c r="A81" s="1208" t="s">
        <v>1140</v>
      </c>
      <c r="B81" s="1211" t="s">
        <v>1997</v>
      </c>
      <c r="C81" s="1210" t="s">
        <v>1154</v>
      </c>
      <c r="D81" s="1211" t="s">
        <v>2127</v>
      </c>
    </row>
    <row r="82" spans="1:4" x14ac:dyDescent="0.25">
      <c r="A82" s="1208" t="s">
        <v>1140</v>
      </c>
      <c r="B82" s="1209" t="s">
        <v>1563</v>
      </c>
      <c r="C82" s="1210" t="s">
        <v>1177</v>
      </c>
      <c r="D82" s="1211" t="s">
        <v>2127</v>
      </c>
    </row>
    <row r="83" spans="1:4" x14ac:dyDescent="0.25">
      <c r="A83" s="1208" t="s">
        <v>1140</v>
      </c>
      <c r="B83" s="1209" t="s">
        <v>1556</v>
      </c>
      <c r="C83" s="1210" t="s">
        <v>808</v>
      </c>
      <c r="D83" s="1211" t="s">
        <v>2127</v>
      </c>
    </row>
    <row r="84" spans="1:4" x14ac:dyDescent="0.25">
      <c r="A84" s="1208" t="s">
        <v>1140</v>
      </c>
      <c r="B84" s="1209" t="s">
        <v>1495</v>
      </c>
      <c r="C84" s="1210" t="s">
        <v>1163</v>
      </c>
      <c r="D84" s="1211" t="s">
        <v>2127</v>
      </c>
    </row>
    <row r="85" spans="1:4" x14ac:dyDescent="0.25">
      <c r="A85" s="1208" t="s">
        <v>1140</v>
      </c>
      <c r="B85" s="1209" t="s">
        <v>1141</v>
      </c>
      <c r="C85" s="1210" t="s">
        <v>1142</v>
      </c>
      <c r="D85" s="1211" t="s">
        <v>2127</v>
      </c>
    </row>
    <row r="86" spans="1:4" x14ac:dyDescent="0.25">
      <c r="A86" s="1208" t="s">
        <v>1140</v>
      </c>
      <c r="B86" s="1209" t="s">
        <v>1150</v>
      </c>
      <c r="C86" s="1210" t="s">
        <v>1149</v>
      </c>
      <c r="D86" s="1211" t="s">
        <v>2127</v>
      </c>
    </row>
    <row r="87" spans="1:4" x14ac:dyDescent="0.25">
      <c r="A87" s="1208" t="s">
        <v>1140</v>
      </c>
      <c r="B87" s="1209" t="s">
        <v>1549</v>
      </c>
      <c r="C87" s="1207" t="s">
        <v>1149</v>
      </c>
      <c r="D87" s="1211" t="s">
        <v>2127</v>
      </c>
    </row>
    <row r="88" spans="1:4" x14ac:dyDescent="0.25">
      <c r="A88" s="1208" t="s">
        <v>1140</v>
      </c>
      <c r="B88" s="1209" t="s">
        <v>785</v>
      </c>
      <c r="C88" s="1210" t="s">
        <v>1163</v>
      </c>
      <c r="D88" s="1211" t="s">
        <v>2127</v>
      </c>
    </row>
    <row r="89" spans="1:4" x14ac:dyDescent="0.25">
      <c r="A89" s="1208" t="s">
        <v>1140</v>
      </c>
      <c r="B89" s="1211" t="s">
        <v>1536</v>
      </c>
      <c r="C89" s="1210" t="s">
        <v>1522</v>
      </c>
      <c r="D89" s="1211" t="s">
        <v>2127</v>
      </c>
    </row>
    <row r="90" spans="1:4" x14ac:dyDescent="0.25">
      <c r="A90" s="1208" t="s">
        <v>1140</v>
      </c>
      <c r="B90" s="1209" t="s">
        <v>1513</v>
      </c>
      <c r="C90" s="1210" t="s">
        <v>1163</v>
      </c>
      <c r="D90" s="1211" t="s">
        <v>2127</v>
      </c>
    </row>
    <row r="91" spans="1:4" x14ac:dyDescent="0.25">
      <c r="A91" s="1208" t="s">
        <v>1140</v>
      </c>
      <c r="B91" s="1209" t="s">
        <v>1514</v>
      </c>
      <c r="C91" s="1210" t="s">
        <v>1163</v>
      </c>
      <c r="D91" s="1211" t="s">
        <v>2127</v>
      </c>
    </row>
    <row r="92" spans="1:4" x14ac:dyDescent="0.25">
      <c r="A92" s="1208" t="s">
        <v>1140</v>
      </c>
      <c r="B92" s="1209" t="s">
        <v>1515</v>
      </c>
      <c r="C92" s="1210" t="s">
        <v>1163</v>
      </c>
      <c r="D92" s="1211" t="s">
        <v>2127</v>
      </c>
    </row>
    <row r="93" spans="1:4" x14ac:dyDescent="0.25">
      <c r="A93" s="1208" t="s">
        <v>1140</v>
      </c>
      <c r="B93" s="1209" t="s">
        <v>870</v>
      </c>
      <c r="C93" s="1210" t="s">
        <v>1557</v>
      </c>
      <c r="D93" s="1211" t="s">
        <v>2127</v>
      </c>
    </row>
    <row r="94" spans="1:4" x14ac:dyDescent="0.25">
      <c r="A94" s="1208" t="s">
        <v>1140</v>
      </c>
      <c r="B94" s="1209" t="s">
        <v>786</v>
      </c>
      <c r="C94" s="1210" t="s">
        <v>1155</v>
      </c>
      <c r="D94" s="1211" t="s">
        <v>2127</v>
      </c>
    </row>
    <row r="95" spans="1:4" x14ac:dyDescent="0.25">
      <c r="A95" s="1208" t="s">
        <v>1140</v>
      </c>
      <c r="B95" s="1209" t="s">
        <v>787</v>
      </c>
      <c r="C95" s="1210" t="s">
        <v>1163</v>
      </c>
      <c r="D95" s="1211" t="s">
        <v>2127</v>
      </c>
    </row>
    <row r="96" spans="1:4" x14ac:dyDescent="0.25">
      <c r="A96" s="1208" t="s">
        <v>1140</v>
      </c>
      <c r="B96" s="1209" t="s">
        <v>871</v>
      </c>
      <c r="C96" s="1210" t="s">
        <v>1151</v>
      </c>
      <c r="D96" s="1211" t="s">
        <v>2127</v>
      </c>
    </row>
    <row r="97" spans="1:4" x14ac:dyDescent="0.25">
      <c r="A97" s="1208" t="s">
        <v>1140</v>
      </c>
      <c r="B97" s="1209" t="s">
        <v>872</v>
      </c>
      <c r="C97" s="1210" t="s">
        <v>1144</v>
      </c>
      <c r="D97" s="1211" t="s">
        <v>2127</v>
      </c>
    </row>
    <row r="98" spans="1:4" x14ac:dyDescent="0.25">
      <c r="A98" s="1208" t="s">
        <v>1167</v>
      </c>
      <c r="B98" s="1209" t="s">
        <v>1567</v>
      </c>
      <c r="C98" s="1210" t="s">
        <v>1497</v>
      </c>
      <c r="D98" s="1211" t="s">
        <v>2127</v>
      </c>
    </row>
    <row r="99" spans="1:4" x14ac:dyDescent="0.25">
      <c r="A99" s="1208" t="s">
        <v>1167</v>
      </c>
      <c r="B99" s="1209" t="s">
        <v>1589</v>
      </c>
      <c r="C99" s="1210" t="s">
        <v>1590</v>
      </c>
      <c r="D99" s="1211" t="s">
        <v>2127</v>
      </c>
    </row>
    <row r="100" spans="1:4" x14ac:dyDescent="0.25">
      <c r="A100" s="1208" t="s">
        <v>1167</v>
      </c>
      <c r="B100" s="1209" t="s">
        <v>1168</v>
      </c>
      <c r="C100" s="1210" t="s">
        <v>806</v>
      </c>
      <c r="D100" s="1211" t="s">
        <v>2127</v>
      </c>
    </row>
    <row r="101" spans="1:4" x14ac:dyDescent="0.25">
      <c r="A101" s="1208" t="s">
        <v>1167</v>
      </c>
      <c r="B101" s="1209" t="s">
        <v>1578</v>
      </c>
      <c r="C101" s="1210" t="s">
        <v>806</v>
      </c>
      <c r="D101" s="1211" t="s">
        <v>2127</v>
      </c>
    </row>
    <row r="102" spans="1:4" x14ac:dyDescent="0.25">
      <c r="A102" s="1208" t="s">
        <v>1167</v>
      </c>
      <c r="B102" s="1211" t="s">
        <v>1998</v>
      </c>
      <c r="C102" s="1210" t="s">
        <v>806</v>
      </c>
      <c r="D102" s="1211" t="s">
        <v>2127</v>
      </c>
    </row>
    <row r="103" spans="1:4" x14ac:dyDescent="0.25">
      <c r="A103" s="1208" t="s">
        <v>1167</v>
      </c>
      <c r="B103" s="1209" t="s">
        <v>1587</v>
      </c>
      <c r="C103" s="1210" t="s">
        <v>1142</v>
      </c>
      <c r="D103" s="1211" t="s">
        <v>2126</v>
      </c>
    </row>
    <row r="104" spans="1:4" x14ac:dyDescent="0.25">
      <c r="A104" s="1208" t="s">
        <v>1167</v>
      </c>
      <c r="B104" s="1209" t="s">
        <v>1588</v>
      </c>
      <c r="C104" s="1210" t="s">
        <v>1142</v>
      </c>
      <c r="D104" s="1211" t="s">
        <v>2127</v>
      </c>
    </row>
    <row r="105" spans="1:4" x14ac:dyDescent="0.25">
      <c r="A105" s="1208" t="s">
        <v>1167</v>
      </c>
      <c r="B105" s="1209" t="s">
        <v>1569</v>
      </c>
      <c r="C105" s="1210" t="s">
        <v>1142</v>
      </c>
      <c r="D105" s="1211" t="s">
        <v>2127</v>
      </c>
    </row>
    <row r="106" spans="1:4" x14ac:dyDescent="0.25">
      <c r="A106" s="1208" t="s">
        <v>1167</v>
      </c>
      <c r="B106" s="1209" t="s">
        <v>780</v>
      </c>
      <c r="C106" s="1210" t="s">
        <v>1533</v>
      </c>
      <c r="D106" s="1211" t="s">
        <v>2127</v>
      </c>
    </row>
    <row r="107" spans="1:4" x14ac:dyDescent="0.25">
      <c r="A107" s="1205" t="s">
        <v>1167</v>
      </c>
      <c r="B107" s="1206" t="s">
        <v>863</v>
      </c>
      <c r="C107" s="1207" t="s">
        <v>807</v>
      </c>
      <c r="D107" s="1206" t="s">
        <v>2126</v>
      </c>
    </row>
    <row r="108" spans="1:4" x14ac:dyDescent="0.25">
      <c r="A108" s="1208" t="s">
        <v>1167</v>
      </c>
      <c r="B108" s="1209" t="s">
        <v>858</v>
      </c>
      <c r="C108" s="1210" t="s">
        <v>1570</v>
      </c>
      <c r="D108" s="1211" t="s">
        <v>2127</v>
      </c>
    </row>
    <row r="109" spans="1:4" x14ac:dyDescent="0.25">
      <c r="A109" s="1208" t="s">
        <v>1167</v>
      </c>
      <c r="B109" s="1209" t="s">
        <v>1602</v>
      </c>
      <c r="C109" s="1210" t="s">
        <v>1171</v>
      </c>
      <c r="D109" s="1211" t="s">
        <v>2127</v>
      </c>
    </row>
    <row r="110" spans="1:4" x14ac:dyDescent="0.25">
      <c r="A110" s="1208" t="s">
        <v>1167</v>
      </c>
      <c r="B110" s="1209" t="s">
        <v>1571</v>
      </c>
      <c r="C110" s="1210" t="s">
        <v>1175</v>
      </c>
      <c r="D110" s="1211" t="s">
        <v>2127</v>
      </c>
    </row>
    <row r="111" spans="1:4" x14ac:dyDescent="0.25">
      <c r="A111" s="1205" t="s">
        <v>1167</v>
      </c>
      <c r="B111" s="1206" t="s">
        <v>859</v>
      </c>
      <c r="C111" s="1207" t="s">
        <v>1176</v>
      </c>
      <c r="D111" s="1206" t="s">
        <v>2126</v>
      </c>
    </row>
    <row r="112" spans="1:4" x14ac:dyDescent="0.25">
      <c r="A112" s="1205" t="s">
        <v>1167</v>
      </c>
      <c r="B112" s="1206" t="s">
        <v>1579</v>
      </c>
      <c r="C112" s="1207" t="s">
        <v>1142</v>
      </c>
      <c r="D112" s="1206" t="s">
        <v>2126</v>
      </c>
    </row>
    <row r="113" spans="1:4" x14ac:dyDescent="0.25">
      <c r="A113" s="1205" t="s">
        <v>1167</v>
      </c>
      <c r="B113" s="1206" t="s">
        <v>1580</v>
      </c>
      <c r="C113" s="1207" t="s">
        <v>1142</v>
      </c>
      <c r="D113" s="1206" t="s">
        <v>2126</v>
      </c>
    </row>
    <row r="114" spans="1:4" x14ac:dyDescent="0.25">
      <c r="A114" s="1208" t="s">
        <v>1167</v>
      </c>
      <c r="B114" s="1209" t="s">
        <v>1572</v>
      </c>
      <c r="C114" s="1210" t="s">
        <v>1145</v>
      </c>
      <c r="D114" s="1211" t="s">
        <v>2127</v>
      </c>
    </row>
    <row r="115" spans="1:4" x14ac:dyDescent="0.25">
      <c r="A115" s="1208" t="s">
        <v>1167</v>
      </c>
      <c r="B115" s="1209" t="s">
        <v>1594</v>
      </c>
      <c r="C115" s="1210" t="s">
        <v>1142</v>
      </c>
      <c r="D115" s="1211" t="s">
        <v>2127</v>
      </c>
    </row>
    <row r="116" spans="1:4" x14ac:dyDescent="0.25">
      <c r="A116" s="1208" t="s">
        <v>1167</v>
      </c>
      <c r="B116" s="1209" t="s">
        <v>1173</v>
      </c>
      <c r="C116" s="1210" t="s">
        <v>1171</v>
      </c>
      <c r="D116" s="1211" t="s">
        <v>2127</v>
      </c>
    </row>
    <row r="117" spans="1:4" x14ac:dyDescent="0.25">
      <c r="A117" s="1208" t="s">
        <v>1167</v>
      </c>
      <c r="B117" s="1211" t="s">
        <v>1564</v>
      </c>
      <c r="C117" s="1210" t="s">
        <v>809</v>
      </c>
      <c r="D117" s="1211" t="s">
        <v>2127</v>
      </c>
    </row>
    <row r="118" spans="1:4" x14ac:dyDescent="0.25">
      <c r="A118" s="1208" t="s">
        <v>1167</v>
      </c>
      <c r="B118" s="1209" t="s">
        <v>866</v>
      </c>
      <c r="C118" s="1210" t="s">
        <v>1171</v>
      </c>
      <c r="D118" s="1211" t="s">
        <v>2127</v>
      </c>
    </row>
    <row r="119" spans="1:4" x14ac:dyDescent="0.25">
      <c r="A119" s="1208" t="s">
        <v>1167</v>
      </c>
      <c r="B119" s="1209" t="s">
        <v>1181</v>
      </c>
      <c r="C119" s="1210" t="s">
        <v>1533</v>
      </c>
      <c r="D119" s="1211" t="s">
        <v>2127</v>
      </c>
    </row>
    <row r="120" spans="1:4" x14ac:dyDescent="0.25">
      <c r="A120" s="1208" t="s">
        <v>1167</v>
      </c>
      <c r="B120" s="1209" t="s">
        <v>1182</v>
      </c>
      <c r="C120" s="1210" t="s">
        <v>1533</v>
      </c>
      <c r="D120" s="1211" t="s">
        <v>2127</v>
      </c>
    </row>
    <row r="121" spans="1:4" x14ac:dyDescent="0.25">
      <c r="A121" s="1208" t="s">
        <v>1167</v>
      </c>
      <c r="B121" s="1209" t="s">
        <v>1169</v>
      </c>
      <c r="C121" s="1210" t="s">
        <v>1142</v>
      </c>
      <c r="D121" s="1211" t="s">
        <v>2127</v>
      </c>
    </row>
    <row r="122" spans="1:4" x14ac:dyDescent="0.25">
      <c r="A122" s="1205" t="s">
        <v>1167</v>
      </c>
      <c r="B122" s="1206" t="s">
        <v>1603</v>
      </c>
      <c r="C122" s="1207" t="s">
        <v>1171</v>
      </c>
      <c r="D122" s="1206" t="s">
        <v>2126</v>
      </c>
    </row>
    <row r="123" spans="1:4" x14ac:dyDescent="0.25">
      <c r="A123" s="1208" t="s">
        <v>1167</v>
      </c>
      <c r="B123" s="1211" t="s">
        <v>1999</v>
      </c>
      <c r="C123" s="1210" t="s">
        <v>1171</v>
      </c>
      <c r="D123" s="1211" t="s">
        <v>2127</v>
      </c>
    </row>
    <row r="124" spans="1:4" x14ac:dyDescent="0.25">
      <c r="A124" s="1205" t="s">
        <v>1167</v>
      </c>
      <c r="B124" s="1206" t="s">
        <v>1595</v>
      </c>
      <c r="C124" s="1207" t="s">
        <v>1142</v>
      </c>
      <c r="D124" s="1206" t="s">
        <v>2126</v>
      </c>
    </row>
    <row r="125" spans="1:4" x14ac:dyDescent="0.25">
      <c r="A125" s="1208" t="s">
        <v>1167</v>
      </c>
      <c r="B125" s="1209" t="s">
        <v>1596</v>
      </c>
      <c r="C125" s="1210" t="s">
        <v>1142</v>
      </c>
      <c r="D125" s="1211" t="s">
        <v>2127</v>
      </c>
    </row>
    <row r="126" spans="1:4" x14ac:dyDescent="0.25">
      <c r="A126" s="1208" t="s">
        <v>1167</v>
      </c>
      <c r="B126" s="1209" t="s">
        <v>1183</v>
      </c>
      <c r="C126" s="1210" t="s">
        <v>1548</v>
      </c>
      <c r="D126" s="1211" t="s">
        <v>2127</v>
      </c>
    </row>
    <row r="127" spans="1:4" x14ac:dyDescent="0.25">
      <c r="A127" s="1208" t="s">
        <v>1167</v>
      </c>
      <c r="B127" s="1209" t="s">
        <v>1591</v>
      </c>
      <c r="C127" s="1210" t="s">
        <v>1533</v>
      </c>
      <c r="D127" s="1211" t="s">
        <v>2127</v>
      </c>
    </row>
    <row r="128" spans="1:4" x14ac:dyDescent="0.25">
      <c r="A128" s="1208" t="s">
        <v>1167</v>
      </c>
      <c r="B128" s="1211" t="s">
        <v>2000</v>
      </c>
      <c r="C128" s="1210" t="s">
        <v>1533</v>
      </c>
      <c r="D128" s="1211" t="s">
        <v>2127</v>
      </c>
    </row>
    <row r="129" spans="1:4" x14ac:dyDescent="0.25">
      <c r="A129" s="1208" t="s">
        <v>1167</v>
      </c>
      <c r="B129" s="1209" t="s">
        <v>1573</v>
      </c>
      <c r="C129" s="1210" t="s">
        <v>1142</v>
      </c>
      <c r="D129" s="1211" t="s">
        <v>2127</v>
      </c>
    </row>
    <row r="130" spans="1:4" x14ac:dyDescent="0.25">
      <c r="A130" s="1208" t="s">
        <v>1167</v>
      </c>
      <c r="B130" s="1209" t="s">
        <v>1574</v>
      </c>
      <c r="C130" s="1210" t="s">
        <v>1142</v>
      </c>
      <c r="D130" s="1211" t="s">
        <v>2127</v>
      </c>
    </row>
    <row r="131" spans="1:4" x14ac:dyDescent="0.25">
      <c r="A131" s="1205" t="s">
        <v>1167</v>
      </c>
      <c r="B131" s="1206" t="s">
        <v>1575</v>
      </c>
      <c r="C131" s="1207" t="s">
        <v>1142</v>
      </c>
      <c r="D131" s="1206" t="s">
        <v>2126</v>
      </c>
    </row>
    <row r="132" spans="1:4" x14ac:dyDescent="0.25">
      <c r="A132" s="1208" t="s">
        <v>1167</v>
      </c>
      <c r="B132" s="1209" t="s">
        <v>1576</v>
      </c>
      <c r="C132" s="1210" t="s">
        <v>1142</v>
      </c>
      <c r="D132" s="1211" t="s">
        <v>2127</v>
      </c>
    </row>
    <row r="133" spans="1:4" x14ac:dyDescent="0.25">
      <c r="A133" s="1208" t="s">
        <v>1167</v>
      </c>
      <c r="B133" s="1209" t="s">
        <v>1577</v>
      </c>
      <c r="C133" s="1210" t="s">
        <v>1142</v>
      </c>
      <c r="D133" s="1211" t="s">
        <v>2127</v>
      </c>
    </row>
    <row r="134" spans="1:4" x14ac:dyDescent="0.25">
      <c r="A134" s="1208" t="s">
        <v>1167</v>
      </c>
      <c r="B134" s="1211" t="s">
        <v>2001</v>
      </c>
      <c r="C134" s="1210" t="s">
        <v>2002</v>
      </c>
      <c r="D134" s="1211" t="s">
        <v>2127</v>
      </c>
    </row>
    <row r="135" spans="1:4" x14ac:dyDescent="0.25">
      <c r="A135" s="1208" t="s">
        <v>1167</v>
      </c>
      <c r="B135" s="1209" t="s">
        <v>1581</v>
      </c>
      <c r="C135" s="1210" t="s">
        <v>1171</v>
      </c>
      <c r="D135" s="1211" t="s">
        <v>2127</v>
      </c>
    </row>
    <row r="136" spans="1:4" x14ac:dyDescent="0.25">
      <c r="A136" s="1208" t="s">
        <v>1167</v>
      </c>
      <c r="B136" s="1209" t="s">
        <v>1179</v>
      </c>
      <c r="C136" s="1210" t="s">
        <v>1522</v>
      </c>
      <c r="D136" s="1211" t="s">
        <v>2127</v>
      </c>
    </row>
    <row r="137" spans="1:4" x14ac:dyDescent="0.25">
      <c r="A137" s="1208" t="s">
        <v>1167</v>
      </c>
      <c r="B137" s="1209" t="s">
        <v>1568</v>
      </c>
      <c r="C137" s="1210" t="s">
        <v>807</v>
      </c>
      <c r="D137" s="1211" t="s">
        <v>2127</v>
      </c>
    </row>
    <row r="138" spans="1:4" x14ac:dyDescent="0.25">
      <c r="A138" s="1208" t="s">
        <v>1167</v>
      </c>
      <c r="B138" s="1209" t="s">
        <v>1174</v>
      </c>
      <c r="C138" s="1210" t="s">
        <v>1171</v>
      </c>
      <c r="D138" s="1211" t="s">
        <v>2127</v>
      </c>
    </row>
    <row r="139" spans="1:4" x14ac:dyDescent="0.25">
      <c r="A139" s="1208" t="s">
        <v>1167</v>
      </c>
      <c r="B139" s="1209" t="s">
        <v>1597</v>
      </c>
      <c r="C139" s="1210" t="s">
        <v>1171</v>
      </c>
      <c r="D139" s="1211" t="s">
        <v>2127</v>
      </c>
    </row>
    <row r="140" spans="1:4" x14ac:dyDescent="0.25">
      <c r="A140" s="1208" t="s">
        <v>1167</v>
      </c>
      <c r="B140" s="1209" t="s">
        <v>1592</v>
      </c>
      <c r="C140" s="1210" t="s">
        <v>1142</v>
      </c>
      <c r="D140" s="1211" t="s">
        <v>2127</v>
      </c>
    </row>
    <row r="141" spans="1:4" x14ac:dyDescent="0.25">
      <c r="A141" s="1205" t="s">
        <v>1167</v>
      </c>
      <c r="B141" s="1206" t="s">
        <v>1604</v>
      </c>
      <c r="C141" s="1207" t="s">
        <v>1177</v>
      </c>
      <c r="D141" s="1206" t="s">
        <v>2126</v>
      </c>
    </row>
    <row r="142" spans="1:4" x14ac:dyDescent="0.25">
      <c r="A142" s="1208" t="s">
        <v>1167</v>
      </c>
      <c r="B142" s="1211" t="s">
        <v>1582</v>
      </c>
      <c r="C142" s="1210" t="s">
        <v>1171</v>
      </c>
      <c r="D142" s="1211" t="s">
        <v>2127</v>
      </c>
    </row>
    <row r="143" spans="1:4" x14ac:dyDescent="0.25">
      <c r="A143" s="1208" t="s">
        <v>1167</v>
      </c>
      <c r="B143" s="1209" t="s">
        <v>1170</v>
      </c>
      <c r="C143" s="1210" t="s">
        <v>1142</v>
      </c>
      <c r="D143" s="1211" t="s">
        <v>2127</v>
      </c>
    </row>
    <row r="144" spans="1:4" x14ac:dyDescent="0.25">
      <c r="A144" s="1208" t="s">
        <v>1167</v>
      </c>
      <c r="B144" s="1209" t="s">
        <v>1598</v>
      </c>
      <c r="C144" s="1210" t="s">
        <v>1142</v>
      </c>
      <c r="D144" s="1211" t="s">
        <v>2127</v>
      </c>
    </row>
    <row r="145" spans="1:4" x14ac:dyDescent="0.25">
      <c r="A145" s="1208" t="s">
        <v>1167</v>
      </c>
      <c r="B145" s="1209" t="s">
        <v>1583</v>
      </c>
      <c r="C145" s="1210" t="s">
        <v>1171</v>
      </c>
      <c r="D145" s="1211" t="s">
        <v>2127</v>
      </c>
    </row>
    <row r="146" spans="1:4" x14ac:dyDescent="0.25">
      <c r="A146" s="1208" t="s">
        <v>1167</v>
      </c>
      <c r="B146" s="1209" t="s">
        <v>1584</v>
      </c>
      <c r="C146" s="1210" t="s">
        <v>1171</v>
      </c>
      <c r="D146" s="1211" t="s">
        <v>2127</v>
      </c>
    </row>
    <row r="147" spans="1:4" x14ac:dyDescent="0.25">
      <c r="A147" s="1208" t="s">
        <v>1167</v>
      </c>
      <c r="B147" s="1209" t="s">
        <v>1585</v>
      </c>
      <c r="C147" s="1210" t="s">
        <v>1171</v>
      </c>
      <c r="D147" s="1211" t="s">
        <v>2127</v>
      </c>
    </row>
    <row r="148" spans="1:4" x14ac:dyDescent="0.25">
      <c r="A148" s="1205" t="s">
        <v>1167</v>
      </c>
      <c r="B148" s="1206" t="s">
        <v>1172</v>
      </c>
      <c r="C148" s="1207" t="s">
        <v>1171</v>
      </c>
      <c r="D148" s="1206" t="s">
        <v>2126</v>
      </c>
    </row>
    <row r="149" spans="1:4" x14ac:dyDescent="0.25">
      <c r="A149" s="1208" t="s">
        <v>1167</v>
      </c>
      <c r="B149" s="1211" t="s">
        <v>1565</v>
      </c>
      <c r="C149" s="1210" t="s">
        <v>1566</v>
      </c>
      <c r="D149" s="1211" t="s">
        <v>2127</v>
      </c>
    </row>
    <row r="150" spans="1:4" x14ac:dyDescent="0.25">
      <c r="A150" s="1208" t="s">
        <v>1167</v>
      </c>
      <c r="B150" s="1209" t="s">
        <v>1605</v>
      </c>
      <c r="C150" s="1210" t="s">
        <v>1163</v>
      </c>
      <c r="D150" s="1211" t="s">
        <v>2127</v>
      </c>
    </row>
    <row r="151" spans="1:4" x14ac:dyDescent="0.25">
      <c r="A151" s="1208" t="s">
        <v>1167</v>
      </c>
      <c r="B151" s="1211" t="s">
        <v>2003</v>
      </c>
      <c r="C151" s="1210" t="s">
        <v>1163</v>
      </c>
      <c r="D151" s="1211" t="s">
        <v>2127</v>
      </c>
    </row>
    <row r="152" spans="1:4" x14ac:dyDescent="0.25">
      <c r="A152" s="1208" t="s">
        <v>1167</v>
      </c>
      <c r="B152" s="1209" t="s">
        <v>1599</v>
      </c>
      <c r="C152" s="1210" t="s">
        <v>1142</v>
      </c>
      <c r="D152" s="1211" t="s">
        <v>2127</v>
      </c>
    </row>
    <row r="153" spans="1:4" x14ac:dyDescent="0.25">
      <c r="A153" s="1208" t="s">
        <v>1167</v>
      </c>
      <c r="B153" s="1211" t="s">
        <v>2004</v>
      </c>
      <c r="C153" s="1210" t="s">
        <v>1142</v>
      </c>
      <c r="D153" s="1211" t="s">
        <v>2127</v>
      </c>
    </row>
    <row r="154" spans="1:4" x14ac:dyDescent="0.25">
      <c r="A154" s="1208" t="s">
        <v>1167</v>
      </c>
      <c r="B154" s="1211" t="s">
        <v>2005</v>
      </c>
      <c r="C154" s="1210" t="s">
        <v>1533</v>
      </c>
      <c r="D154" s="1211" t="s">
        <v>2127</v>
      </c>
    </row>
    <row r="155" spans="1:4" x14ac:dyDescent="0.25">
      <c r="A155" s="1208" t="s">
        <v>1167</v>
      </c>
      <c r="B155" s="1209" t="s">
        <v>1606</v>
      </c>
      <c r="C155" s="1210" t="s">
        <v>1171</v>
      </c>
      <c r="D155" s="1211" t="s">
        <v>2127</v>
      </c>
    </row>
    <row r="156" spans="1:4" x14ac:dyDescent="0.25">
      <c r="A156" s="1205" t="s">
        <v>1167</v>
      </c>
      <c r="B156" s="1206" t="s">
        <v>1180</v>
      </c>
      <c r="C156" s="1207" t="s">
        <v>1540</v>
      </c>
      <c r="D156" s="1206" t="s">
        <v>2126</v>
      </c>
    </row>
    <row r="157" spans="1:4" x14ac:dyDescent="0.25">
      <c r="A157" s="1208" t="s">
        <v>1167</v>
      </c>
      <c r="B157" s="1209" t="s">
        <v>1593</v>
      </c>
      <c r="C157" s="1210" t="s">
        <v>1178</v>
      </c>
      <c r="D157" s="1211" t="s">
        <v>2127</v>
      </c>
    </row>
    <row r="158" spans="1:4" x14ac:dyDescent="0.25">
      <c r="A158" s="1208" t="s">
        <v>1167</v>
      </c>
      <c r="B158" s="1211" t="s">
        <v>2006</v>
      </c>
      <c r="C158" s="1210" t="s">
        <v>1178</v>
      </c>
      <c r="D158" s="1211" t="s">
        <v>2127</v>
      </c>
    </row>
    <row r="159" spans="1:4" x14ac:dyDescent="0.25">
      <c r="A159" s="1208" t="s">
        <v>1167</v>
      </c>
      <c r="B159" s="1209" t="s">
        <v>1600</v>
      </c>
      <c r="C159" s="1210" t="s">
        <v>1142</v>
      </c>
      <c r="D159" s="1211" t="s">
        <v>2127</v>
      </c>
    </row>
    <row r="160" spans="1:4" x14ac:dyDescent="0.25">
      <c r="A160" s="1208" t="s">
        <v>1167</v>
      </c>
      <c r="B160" s="1209" t="s">
        <v>1586</v>
      </c>
      <c r="C160" s="1210" t="s">
        <v>1142</v>
      </c>
      <c r="D160" s="1211" t="s">
        <v>2127</v>
      </c>
    </row>
    <row r="161" spans="1:4" x14ac:dyDescent="0.25">
      <c r="A161" s="1208" t="s">
        <v>1167</v>
      </c>
      <c r="B161" s="1209" t="s">
        <v>1601</v>
      </c>
      <c r="C161" s="1210" t="s">
        <v>1142</v>
      </c>
      <c r="D161" s="1211" t="s">
        <v>2127</v>
      </c>
    </row>
    <row r="162" spans="1:4" ht="15.75" thickBot="1" x14ac:dyDescent="0.3">
      <c r="A162" s="1212" t="s">
        <v>1167</v>
      </c>
      <c r="B162" s="1213" t="s">
        <v>1607</v>
      </c>
      <c r="C162" s="1214" t="s">
        <v>1177</v>
      </c>
      <c r="D162" s="1211" t="s">
        <v>2127</v>
      </c>
    </row>
    <row r="168" spans="1:4" x14ac:dyDescent="0.25">
      <c r="A168" s="1175" t="s">
        <v>2007</v>
      </c>
      <c r="B168" s="1175" t="s">
        <v>2008</v>
      </c>
    </row>
  </sheetData>
  <sheetProtection sort="0" autoFilter="0" pivotTables="0"/>
  <autoFilter ref="A4:D4"/>
  <mergeCells count="2">
    <mergeCell ref="A3:D3"/>
    <mergeCell ref="A2:D2"/>
  </mergeCell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dimension ref="A1:I66"/>
  <sheetViews>
    <sheetView showGridLines="0" workbookViewId="0">
      <selection activeCell="B5" sqref="B5"/>
    </sheetView>
  </sheetViews>
  <sheetFormatPr baseColWidth="10" defaultRowHeight="15" x14ac:dyDescent="0.25"/>
  <sheetData>
    <row r="1" spans="1:9" x14ac:dyDescent="0.25">
      <c r="A1" s="2126" t="s">
        <v>1043</v>
      </c>
      <c r="B1" s="2126"/>
      <c r="C1" s="2126"/>
      <c r="D1" s="2126"/>
      <c r="E1" s="2126"/>
      <c r="F1" s="2126"/>
      <c r="G1" s="2126"/>
      <c r="H1" s="2126"/>
      <c r="I1" s="2126"/>
    </row>
    <row r="2" spans="1:9" ht="12.75" customHeight="1" x14ac:dyDescent="0.25">
      <c r="A2" s="2126"/>
      <c r="B2" s="2126"/>
      <c r="C2" s="2126"/>
      <c r="D2" s="2126"/>
      <c r="E2" s="2126"/>
      <c r="F2" s="2126"/>
      <c r="G2" s="2126"/>
      <c r="H2" s="2126"/>
      <c r="I2" s="2126"/>
    </row>
    <row r="3" spans="1:9" x14ac:dyDescent="0.25">
      <c r="A3" s="886" t="s">
        <v>1023</v>
      </c>
      <c r="B3" s="887"/>
      <c r="C3" s="887"/>
      <c r="D3" s="887"/>
      <c r="E3" s="887"/>
      <c r="F3" s="887"/>
      <c r="G3" s="887"/>
      <c r="H3" s="887"/>
      <c r="I3" s="887"/>
    </row>
    <row r="4" spans="1:9" x14ac:dyDescent="0.25">
      <c r="A4" s="886"/>
      <c r="B4" s="887"/>
      <c r="C4" s="887"/>
      <c r="D4" s="887"/>
      <c r="E4" s="887"/>
      <c r="F4" s="887"/>
      <c r="G4" s="887"/>
      <c r="H4" s="887"/>
      <c r="I4" s="887"/>
    </row>
    <row r="5" spans="1:9" x14ac:dyDescent="0.25">
      <c r="A5" s="885" t="s">
        <v>1024</v>
      </c>
      <c r="B5" s="887"/>
      <c r="C5" s="887"/>
      <c r="D5" s="887"/>
      <c r="E5" s="887"/>
      <c r="F5" s="887"/>
      <c r="G5" s="887"/>
      <c r="H5" s="887"/>
      <c r="I5" s="887"/>
    </row>
    <row r="6" spans="1:9" x14ac:dyDescent="0.25">
      <c r="A6" s="885"/>
      <c r="B6" s="887"/>
      <c r="C6" s="887"/>
      <c r="D6" s="887"/>
      <c r="E6" s="887"/>
      <c r="F6" s="887"/>
      <c r="G6" s="887"/>
      <c r="H6" s="887"/>
      <c r="I6" s="887"/>
    </row>
    <row r="7" spans="1:9" x14ac:dyDescent="0.25">
      <c r="A7" s="885" t="e">
        <f>#REF!</f>
        <v>#REF!</v>
      </c>
      <c r="B7" s="887"/>
      <c r="C7" s="887"/>
      <c r="D7" s="887"/>
      <c r="E7" s="887"/>
      <c r="F7" s="887"/>
      <c r="G7" s="887"/>
      <c r="H7" s="887"/>
      <c r="I7" s="887"/>
    </row>
    <row r="8" spans="1:9" ht="149.25" customHeight="1" x14ac:dyDescent="0.25">
      <c r="A8" s="2127" t="e">
        <f>#REF!</f>
        <v>#REF!</v>
      </c>
      <c r="B8" s="2127"/>
      <c r="C8" s="2127"/>
      <c r="D8" s="2127"/>
      <c r="E8" s="2127"/>
      <c r="F8" s="2127"/>
      <c r="G8" s="2127"/>
      <c r="H8" s="2127"/>
      <c r="I8" s="2127"/>
    </row>
    <row r="9" spans="1:9" x14ac:dyDescent="0.25">
      <c r="A9" s="885" t="e">
        <f>#REF!</f>
        <v>#REF!</v>
      </c>
      <c r="B9" s="887"/>
      <c r="C9" s="887"/>
      <c r="D9" s="887"/>
      <c r="E9" s="887"/>
      <c r="F9" s="887"/>
      <c r="G9" s="887"/>
      <c r="H9" s="887"/>
      <c r="I9" s="887"/>
    </row>
    <row r="10" spans="1:9" ht="155.25" customHeight="1" x14ac:dyDescent="0.25">
      <c r="A10" s="2127" t="e">
        <f>#REF!</f>
        <v>#REF!</v>
      </c>
      <c r="B10" s="2127"/>
      <c r="C10" s="2127"/>
      <c r="D10" s="2127"/>
      <c r="E10" s="2127"/>
      <c r="F10" s="2127"/>
      <c r="G10" s="2127"/>
      <c r="H10" s="2127"/>
      <c r="I10" s="2127"/>
    </row>
    <row r="11" spans="1:9" hidden="1" x14ac:dyDescent="0.25">
      <c r="A11" s="885" t="e">
        <f>#REF!</f>
        <v>#REF!</v>
      </c>
      <c r="B11" s="887"/>
      <c r="C11" s="887"/>
      <c r="D11" s="887"/>
      <c r="E11" s="887"/>
      <c r="F11" s="887"/>
      <c r="G11" s="887"/>
      <c r="H11" s="887"/>
      <c r="I11" s="887"/>
    </row>
    <row r="12" spans="1:9" ht="128.25" hidden="1" customHeight="1" x14ac:dyDescent="0.25">
      <c r="A12" s="2127" t="e">
        <f>#REF!</f>
        <v>#REF!</v>
      </c>
      <c r="B12" s="2127"/>
      <c r="C12" s="2127"/>
      <c r="D12" s="2127"/>
      <c r="E12" s="2127"/>
      <c r="F12" s="2127"/>
      <c r="G12" s="2127"/>
      <c r="H12" s="2127"/>
      <c r="I12" s="2127"/>
    </row>
    <row r="13" spans="1:9" hidden="1" x14ac:dyDescent="0.25">
      <c r="A13" s="885" t="e">
        <f>#REF!</f>
        <v>#REF!</v>
      </c>
      <c r="B13" s="887"/>
      <c r="C13" s="887"/>
      <c r="D13" s="887"/>
      <c r="E13" s="887"/>
      <c r="F13" s="887"/>
      <c r="G13" s="887"/>
      <c r="H13" s="887"/>
      <c r="I13" s="887"/>
    </row>
    <row r="14" spans="1:9" ht="81.75" hidden="1" customHeight="1" x14ac:dyDescent="0.25">
      <c r="A14" s="2127" t="e">
        <f>#REF!</f>
        <v>#REF!</v>
      </c>
      <c r="B14" s="2127"/>
      <c r="C14" s="2127"/>
      <c r="D14" s="2127"/>
      <c r="E14" s="2127"/>
      <c r="F14" s="2127"/>
      <c r="G14" s="2127"/>
      <c r="H14" s="2127"/>
      <c r="I14" s="2127"/>
    </row>
    <row r="15" spans="1:9" s="876" customFormat="1" x14ac:dyDescent="0.25">
      <c r="A15" s="891" t="s">
        <v>1032</v>
      </c>
      <c r="B15" s="890"/>
      <c r="C15" s="890"/>
      <c r="D15" s="890"/>
      <c r="E15" s="890"/>
      <c r="F15" s="890"/>
      <c r="G15" s="890"/>
      <c r="H15" s="890"/>
      <c r="I15" s="890"/>
    </row>
    <row r="16" spans="1:9" x14ac:dyDescent="0.25">
      <c r="A16" s="891" t="s">
        <v>1030</v>
      </c>
      <c r="B16" s="887"/>
      <c r="C16" s="887"/>
      <c r="D16" s="887"/>
      <c r="E16" s="887"/>
      <c r="F16" s="887"/>
      <c r="G16" s="887"/>
      <c r="H16" s="887"/>
      <c r="I16" s="887"/>
    </row>
    <row r="17" spans="1:9" ht="12" customHeight="1" x14ac:dyDescent="0.25">
      <c r="A17" s="886"/>
      <c r="B17" s="887"/>
      <c r="C17" s="887"/>
      <c r="D17" s="887"/>
      <c r="E17" s="887"/>
      <c r="F17" s="887"/>
      <c r="G17" s="887"/>
      <c r="H17" s="887"/>
      <c r="I17" s="887"/>
    </row>
    <row r="18" spans="1:9" x14ac:dyDescent="0.25">
      <c r="A18" s="885" t="s">
        <v>1022</v>
      </c>
      <c r="B18" s="887"/>
      <c r="C18" s="887"/>
      <c r="D18" s="887"/>
      <c r="E18" s="887"/>
      <c r="F18" s="887"/>
      <c r="G18" s="887"/>
      <c r="H18" s="887"/>
      <c r="I18" s="887"/>
    </row>
    <row r="19" spans="1:9" x14ac:dyDescent="0.25">
      <c r="A19" s="886" t="s">
        <v>1033</v>
      </c>
      <c r="B19" s="887"/>
      <c r="C19" s="887"/>
      <c r="D19" s="887"/>
      <c r="E19" s="887"/>
      <c r="F19" s="887"/>
      <c r="G19" s="887"/>
      <c r="H19" s="887"/>
      <c r="I19" s="887"/>
    </row>
    <row r="20" spans="1:9" x14ac:dyDescent="0.25">
      <c r="A20" s="888" t="s">
        <v>1031</v>
      </c>
      <c r="B20" s="889"/>
      <c r="C20" s="889"/>
      <c r="D20" s="889"/>
      <c r="E20" s="889"/>
      <c r="F20" s="889"/>
      <c r="G20" s="887"/>
      <c r="H20" s="887"/>
      <c r="I20" s="887"/>
    </row>
    <row r="21" spans="1:9" ht="10.5" customHeight="1" x14ac:dyDescent="0.25">
      <c r="A21" s="886"/>
      <c r="B21" s="887"/>
      <c r="C21" s="887"/>
      <c r="D21" s="887"/>
      <c r="E21" s="887"/>
      <c r="F21" s="887"/>
      <c r="G21" s="887"/>
      <c r="H21" s="887"/>
      <c r="I21" s="887"/>
    </row>
    <row r="22" spans="1:9" x14ac:dyDescent="0.25">
      <c r="A22" s="885" t="s">
        <v>1025</v>
      </c>
      <c r="B22" s="887"/>
      <c r="C22" s="887"/>
      <c r="D22" s="887"/>
      <c r="E22" s="887"/>
      <c r="F22" s="887"/>
      <c r="G22" s="887"/>
      <c r="H22" s="887"/>
      <c r="I22" s="887"/>
    </row>
    <row r="23" spans="1:9" x14ac:dyDescent="0.25">
      <c r="A23" s="886" t="s">
        <v>1034</v>
      </c>
      <c r="B23" s="887"/>
      <c r="C23" s="887"/>
      <c r="D23" s="887"/>
      <c r="E23" s="887"/>
      <c r="F23" s="887"/>
      <c r="G23" s="887"/>
      <c r="H23" s="887"/>
      <c r="I23" s="887"/>
    </row>
    <row r="24" spans="1:9" x14ac:dyDescent="0.25">
      <c r="A24" s="887" t="s">
        <v>1035</v>
      </c>
      <c r="B24" s="887"/>
      <c r="C24" s="887"/>
      <c r="D24" s="887"/>
      <c r="E24" s="887"/>
      <c r="F24" s="887"/>
      <c r="G24" s="887"/>
      <c r="H24" s="887"/>
      <c r="I24" s="887"/>
    </row>
    <row r="25" spans="1:9" x14ac:dyDescent="0.25">
      <c r="A25" s="886" t="s">
        <v>1036</v>
      </c>
      <c r="B25" s="887"/>
      <c r="C25" s="887"/>
      <c r="D25" s="887"/>
      <c r="E25" s="887"/>
      <c r="F25" s="887"/>
      <c r="G25" s="887"/>
      <c r="H25" s="887"/>
      <c r="I25" s="887"/>
    </row>
    <row r="26" spans="1:9" ht="16.5" customHeight="1" x14ac:dyDescent="0.25">
      <c r="A26" s="886" t="s">
        <v>1037</v>
      </c>
      <c r="B26" s="887"/>
      <c r="C26" s="887"/>
      <c r="D26" s="887"/>
      <c r="E26" s="887"/>
      <c r="F26" s="887"/>
      <c r="G26" s="887"/>
      <c r="H26" s="887"/>
      <c r="I26" s="887"/>
    </row>
    <row r="27" spans="1:9" x14ac:dyDescent="0.25">
      <c r="A27" s="886" t="s">
        <v>1038</v>
      </c>
      <c r="B27" s="887"/>
      <c r="C27" s="887"/>
      <c r="D27" s="887"/>
      <c r="E27" s="887"/>
      <c r="F27" s="887"/>
      <c r="G27" s="887"/>
      <c r="H27" s="887"/>
      <c r="I27" s="887"/>
    </row>
    <row r="28" spans="1:9" x14ac:dyDescent="0.25">
      <c r="A28" s="886" t="s">
        <v>1039</v>
      </c>
      <c r="B28" s="887"/>
      <c r="C28" s="887"/>
      <c r="D28" s="887"/>
      <c r="E28" s="887"/>
      <c r="F28" s="887"/>
      <c r="G28" s="887"/>
      <c r="H28" s="887"/>
      <c r="I28" s="887"/>
    </row>
    <row r="29" spans="1:9" x14ac:dyDescent="0.25">
      <c r="A29" s="886" t="s">
        <v>1040</v>
      </c>
      <c r="B29" s="887"/>
      <c r="C29" s="887"/>
      <c r="D29" s="887"/>
      <c r="E29" s="887"/>
      <c r="F29" s="887"/>
      <c r="G29" s="887"/>
      <c r="H29" s="887"/>
      <c r="I29" s="887"/>
    </row>
    <row r="30" spans="1:9" ht="30" customHeight="1" x14ac:dyDescent="0.25">
      <c r="A30" s="2127" t="s">
        <v>1041</v>
      </c>
      <c r="B30" s="2127"/>
      <c r="C30" s="2127"/>
      <c r="D30" s="2127"/>
      <c r="E30" s="2127"/>
      <c r="F30" s="2127"/>
      <c r="G30" s="2127"/>
      <c r="H30" s="2127"/>
      <c r="I30" s="2127"/>
    </row>
    <row r="31" spans="1:9" x14ac:dyDescent="0.25">
      <c r="A31" s="885" t="s">
        <v>1026</v>
      </c>
      <c r="B31" s="887"/>
      <c r="C31" s="887"/>
      <c r="D31" s="887"/>
      <c r="E31" s="887"/>
      <c r="F31" s="887"/>
      <c r="G31" s="887"/>
      <c r="H31" s="887"/>
      <c r="I31" s="887"/>
    </row>
    <row r="32" spans="1:9" x14ac:dyDescent="0.25">
      <c r="A32" s="886" t="s">
        <v>1042</v>
      </c>
      <c r="B32" s="887"/>
      <c r="C32" s="887"/>
      <c r="D32" s="887"/>
      <c r="E32" s="887"/>
      <c r="F32" s="887"/>
      <c r="G32" s="887"/>
      <c r="H32" s="887"/>
      <c r="I32" s="887"/>
    </row>
    <row r="33" spans="1:9" x14ac:dyDescent="0.25">
      <c r="A33" s="886"/>
      <c r="B33" s="887"/>
      <c r="C33" s="887"/>
      <c r="D33" s="887"/>
      <c r="E33" s="887"/>
      <c r="F33" s="887"/>
      <c r="G33" s="887"/>
      <c r="H33" s="887"/>
      <c r="I33" s="887"/>
    </row>
    <row r="34" spans="1:9" x14ac:dyDescent="0.25">
      <c r="A34" s="886"/>
      <c r="B34" s="887"/>
      <c r="C34" s="887"/>
      <c r="D34" s="887"/>
      <c r="E34" s="887"/>
      <c r="F34" s="887"/>
      <c r="G34" s="887"/>
      <c r="H34" s="887"/>
      <c r="I34" s="887"/>
    </row>
    <row r="35" spans="1:9" x14ac:dyDescent="0.25">
      <c r="A35" s="886"/>
      <c r="B35" s="887"/>
      <c r="C35" s="887"/>
      <c r="D35" s="887"/>
      <c r="E35" s="887"/>
      <c r="F35" s="887"/>
      <c r="G35" s="887"/>
      <c r="H35" s="887"/>
      <c r="I35" s="887"/>
    </row>
    <row r="36" spans="1:9" x14ac:dyDescent="0.25">
      <c r="A36" s="886"/>
      <c r="B36" s="887"/>
      <c r="C36" s="887"/>
      <c r="D36" s="887"/>
      <c r="E36" s="887"/>
      <c r="F36" s="887"/>
      <c r="G36" s="887"/>
      <c r="H36" s="887"/>
      <c r="I36" s="887"/>
    </row>
    <row r="37" spans="1:9" x14ac:dyDescent="0.25">
      <c r="A37" s="885"/>
      <c r="B37" s="887"/>
      <c r="C37" s="887"/>
      <c r="D37" s="887"/>
      <c r="E37" s="887"/>
      <c r="F37" s="887"/>
      <c r="G37" s="887"/>
      <c r="H37" s="887"/>
      <c r="I37" s="887"/>
    </row>
    <row r="38" spans="1:9" x14ac:dyDescent="0.25">
      <c r="A38" s="887"/>
      <c r="B38" s="887"/>
      <c r="C38" s="887"/>
      <c r="D38" s="887"/>
      <c r="E38" s="887"/>
      <c r="F38" s="887"/>
      <c r="G38" s="887"/>
      <c r="H38" s="887"/>
      <c r="I38" s="887"/>
    </row>
    <row r="39" spans="1:9" x14ac:dyDescent="0.25">
      <c r="A39" s="887"/>
      <c r="B39" s="887"/>
      <c r="C39" s="887"/>
      <c r="D39" s="887"/>
      <c r="E39" s="887"/>
      <c r="F39" s="887"/>
      <c r="G39" s="887"/>
      <c r="H39" s="887"/>
      <c r="I39" s="887"/>
    </row>
    <row r="40" spans="1:9" x14ac:dyDescent="0.25">
      <c r="A40" s="886"/>
      <c r="B40" s="887"/>
      <c r="C40" s="887"/>
      <c r="D40" s="887"/>
      <c r="E40" s="887"/>
      <c r="F40" s="887"/>
      <c r="G40" s="887"/>
      <c r="H40" s="887"/>
      <c r="I40" s="887"/>
    </row>
    <row r="41" spans="1:9" x14ac:dyDescent="0.25">
      <c r="A41" s="886"/>
      <c r="B41" s="887"/>
      <c r="C41" s="887"/>
      <c r="D41" s="887"/>
      <c r="E41" s="887"/>
      <c r="F41" s="887"/>
      <c r="G41" s="887"/>
      <c r="H41" s="887"/>
      <c r="I41" s="887"/>
    </row>
    <row r="42" spans="1:9" x14ac:dyDescent="0.25">
      <c r="A42" s="886"/>
      <c r="B42" s="887"/>
      <c r="C42" s="887"/>
      <c r="D42" s="887"/>
      <c r="E42" s="887"/>
      <c r="F42" s="887"/>
      <c r="G42" s="887"/>
      <c r="H42" s="887"/>
      <c r="I42" s="887"/>
    </row>
    <row r="43" spans="1:9" x14ac:dyDescent="0.25">
      <c r="A43" s="886"/>
      <c r="B43" s="887"/>
      <c r="C43" s="887"/>
      <c r="D43" s="887"/>
      <c r="E43" s="887"/>
      <c r="F43" s="887"/>
      <c r="G43" s="887"/>
      <c r="H43" s="887"/>
      <c r="I43" s="887"/>
    </row>
    <row r="44" spans="1:9" x14ac:dyDescent="0.25">
      <c r="A44" s="885"/>
      <c r="B44" s="887"/>
      <c r="C44" s="887"/>
      <c r="D44" s="887"/>
      <c r="E44" s="887"/>
      <c r="F44" s="887"/>
      <c r="G44" s="887"/>
      <c r="H44" s="887"/>
      <c r="I44" s="887"/>
    </row>
    <row r="45" spans="1:9" x14ac:dyDescent="0.25">
      <c r="A45" s="887"/>
      <c r="B45" s="887"/>
      <c r="C45" s="887"/>
      <c r="D45" s="887"/>
      <c r="E45" s="887"/>
      <c r="F45" s="887"/>
      <c r="G45" s="887"/>
      <c r="H45" s="887"/>
      <c r="I45" s="887"/>
    </row>
    <row r="46" spans="1:9" x14ac:dyDescent="0.25">
      <c r="A46" s="887"/>
      <c r="B46" s="887"/>
      <c r="C46" s="887"/>
      <c r="D46" s="887"/>
      <c r="E46" s="887"/>
      <c r="F46" s="887"/>
      <c r="G46" s="887"/>
      <c r="H46" s="887"/>
      <c r="I46" s="887"/>
    </row>
    <row r="47" spans="1:9" x14ac:dyDescent="0.25">
      <c r="A47" s="887"/>
      <c r="B47" s="887"/>
      <c r="C47" s="887"/>
      <c r="D47" s="887"/>
      <c r="E47" s="887"/>
      <c r="F47" s="887"/>
      <c r="G47" s="887"/>
      <c r="H47" s="887"/>
      <c r="I47" s="887"/>
    </row>
    <row r="48" spans="1:9" x14ac:dyDescent="0.25">
      <c r="A48" s="887"/>
      <c r="B48" s="887"/>
      <c r="C48" s="887"/>
      <c r="D48" s="887"/>
      <c r="E48" s="887"/>
      <c r="F48" s="887"/>
      <c r="G48" s="887"/>
      <c r="H48" s="887"/>
      <c r="I48" s="887"/>
    </row>
    <row r="49" spans="1:9" x14ac:dyDescent="0.25">
      <c r="A49" s="887"/>
      <c r="B49" s="887"/>
      <c r="C49" s="887"/>
      <c r="D49" s="887"/>
      <c r="E49" s="887"/>
      <c r="F49" s="887"/>
      <c r="G49" s="887"/>
      <c r="H49" s="887"/>
      <c r="I49" s="887"/>
    </row>
    <row r="50" spans="1:9" x14ac:dyDescent="0.25">
      <c r="A50" s="887"/>
      <c r="B50" s="887"/>
      <c r="C50" s="887"/>
      <c r="D50" s="887"/>
      <c r="E50" s="887"/>
      <c r="F50" s="887"/>
      <c r="G50" s="887"/>
      <c r="H50" s="887"/>
      <c r="I50" s="887"/>
    </row>
    <row r="51" spans="1:9" x14ac:dyDescent="0.25">
      <c r="A51" s="887"/>
      <c r="B51" s="887"/>
      <c r="C51" s="887"/>
      <c r="D51" s="887"/>
      <c r="E51" s="887"/>
      <c r="F51" s="887"/>
      <c r="G51" s="887"/>
      <c r="H51" s="887"/>
      <c r="I51" s="887"/>
    </row>
    <row r="52" spans="1:9" x14ac:dyDescent="0.25">
      <c r="A52" s="887"/>
      <c r="B52" s="887"/>
      <c r="C52" s="887"/>
      <c r="D52" s="887"/>
      <c r="E52" s="887"/>
      <c r="F52" s="887"/>
      <c r="G52" s="887"/>
      <c r="H52" s="887"/>
      <c r="I52" s="887"/>
    </row>
    <row r="53" spans="1:9" x14ac:dyDescent="0.25">
      <c r="A53" s="887"/>
      <c r="B53" s="887"/>
      <c r="C53" s="887"/>
      <c r="D53" s="887"/>
      <c r="E53" s="887"/>
      <c r="F53" s="887"/>
      <c r="G53" s="887"/>
      <c r="H53" s="887"/>
      <c r="I53" s="887"/>
    </row>
    <row r="54" spans="1:9" x14ac:dyDescent="0.25">
      <c r="A54" s="887"/>
      <c r="B54" s="887"/>
      <c r="C54" s="887"/>
      <c r="D54" s="887"/>
      <c r="E54" s="887"/>
      <c r="F54" s="887"/>
      <c r="G54" s="887"/>
      <c r="H54" s="887"/>
      <c r="I54" s="887"/>
    </row>
    <row r="55" spans="1:9" x14ac:dyDescent="0.25">
      <c r="A55" s="887"/>
      <c r="B55" s="887"/>
      <c r="C55" s="887"/>
      <c r="D55" s="887"/>
      <c r="E55" s="887"/>
      <c r="F55" s="887"/>
      <c r="G55" s="887"/>
      <c r="H55" s="887"/>
      <c r="I55" s="887"/>
    </row>
    <row r="56" spans="1:9" x14ac:dyDescent="0.25">
      <c r="A56" s="887"/>
      <c r="B56" s="887"/>
      <c r="C56" s="887"/>
      <c r="D56" s="887"/>
      <c r="E56" s="887"/>
      <c r="F56" s="887"/>
      <c r="G56" s="887"/>
      <c r="H56" s="887"/>
      <c r="I56" s="887"/>
    </row>
    <row r="57" spans="1:9" x14ac:dyDescent="0.25">
      <c r="A57" s="887"/>
      <c r="B57" s="887"/>
      <c r="C57" s="887"/>
      <c r="D57" s="887"/>
      <c r="E57" s="887"/>
      <c r="F57" s="887"/>
      <c r="G57" s="887"/>
      <c r="H57" s="887"/>
      <c r="I57" s="887"/>
    </row>
    <row r="58" spans="1:9" x14ac:dyDescent="0.25">
      <c r="A58" s="887"/>
      <c r="B58" s="887"/>
      <c r="C58" s="887"/>
      <c r="D58" s="887"/>
      <c r="E58" s="887"/>
      <c r="F58" s="887"/>
      <c r="G58" s="887"/>
      <c r="H58" s="887"/>
      <c r="I58" s="887"/>
    </row>
    <row r="59" spans="1:9" x14ac:dyDescent="0.25">
      <c r="A59" s="887"/>
      <c r="B59" s="887"/>
      <c r="C59" s="887"/>
      <c r="D59" s="887"/>
      <c r="E59" s="887"/>
      <c r="F59" s="887"/>
      <c r="G59" s="887"/>
      <c r="H59" s="887"/>
      <c r="I59" s="887"/>
    </row>
    <row r="60" spans="1:9" x14ac:dyDescent="0.25">
      <c r="A60" s="887"/>
      <c r="B60" s="887"/>
      <c r="C60" s="887"/>
      <c r="D60" s="887"/>
      <c r="E60" s="887"/>
      <c r="F60" s="887"/>
      <c r="G60" s="887"/>
      <c r="H60" s="887"/>
      <c r="I60" s="887"/>
    </row>
    <row r="61" spans="1:9" x14ac:dyDescent="0.25">
      <c r="A61" s="887"/>
      <c r="B61" s="887"/>
      <c r="C61" s="887"/>
      <c r="D61" s="887"/>
      <c r="E61" s="887"/>
      <c r="F61" s="887"/>
      <c r="G61" s="887"/>
      <c r="H61" s="887"/>
      <c r="I61" s="887"/>
    </row>
    <row r="62" spans="1:9" x14ac:dyDescent="0.25">
      <c r="A62" s="887"/>
      <c r="B62" s="887"/>
      <c r="C62" s="887"/>
      <c r="D62" s="887"/>
      <c r="E62" s="887"/>
      <c r="F62" s="887"/>
      <c r="G62" s="887"/>
      <c r="H62" s="887"/>
      <c r="I62" s="887"/>
    </row>
    <row r="63" spans="1:9" x14ac:dyDescent="0.25">
      <c r="A63" s="887"/>
      <c r="B63" s="887"/>
      <c r="C63" s="887"/>
      <c r="D63" s="887"/>
      <c r="E63" s="887"/>
      <c r="F63" s="887"/>
      <c r="G63" s="887"/>
      <c r="H63" s="887"/>
      <c r="I63" s="887"/>
    </row>
    <row r="64" spans="1:9" x14ac:dyDescent="0.25">
      <c r="A64" s="887"/>
      <c r="B64" s="887"/>
      <c r="C64" s="887"/>
      <c r="D64" s="887"/>
      <c r="E64" s="887"/>
      <c r="F64" s="887"/>
      <c r="G64" s="887"/>
      <c r="H64" s="887"/>
      <c r="I64" s="887"/>
    </row>
    <row r="65" spans="1:9" x14ac:dyDescent="0.25">
      <c r="A65" s="887"/>
      <c r="B65" s="887"/>
      <c r="C65" s="887"/>
      <c r="D65" s="887"/>
      <c r="E65" s="887"/>
      <c r="F65" s="887"/>
      <c r="G65" s="887"/>
      <c r="H65" s="887"/>
      <c r="I65" s="887"/>
    </row>
    <row r="66" spans="1:9" x14ac:dyDescent="0.25">
      <c r="A66" s="887"/>
      <c r="B66" s="887"/>
      <c r="C66" s="887"/>
      <c r="D66" s="887"/>
      <c r="E66" s="887"/>
      <c r="F66" s="887"/>
      <c r="G66" s="887"/>
      <c r="H66" s="887"/>
      <c r="I66" s="887"/>
    </row>
  </sheetData>
  <mergeCells count="6">
    <mergeCell ref="A1:I2"/>
    <mergeCell ref="A30:I30"/>
    <mergeCell ref="A8:I8"/>
    <mergeCell ref="A10:I10"/>
    <mergeCell ref="A12:I12"/>
    <mergeCell ref="A14:I14"/>
  </mergeCells>
  <pageMargins left="0.7" right="0.7" top="0.75" bottom="0.75" header="0.3" footer="0.3"/>
  <pageSetup scale="8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9"/>
  <dimension ref="A1"/>
  <sheetViews>
    <sheetView workbookViewId="0"/>
  </sheetViews>
  <sheetFormatPr baseColWidth="10" defaultRowHeight="15" x14ac:dyDescent="0.25"/>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H352"/>
  <sheetViews>
    <sheetView topLeftCell="B1" workbookViewId="0">
      <selection activeCell="B4" sqref="B4"/>
    </sheetView>
  </sheetViews>
  <sheetFormatPr baseColWidth="10" defaultRowHeight="15" x14ac:dyDescent="0.25"/>
  <cols>
    <col min="1" max="1" width="10.7109375" hidden="1" customWidth="1"/>
    <col min="2" max="2" width="53" bestFit="1" customWidth="1"/>
    <col min="3" max="3" width="44.140625" bestFit="1" customWidth="1"/>
    <col min="4" max="4" width="15" bestFit="1" customWidth="1"/>
    <col min="5" max="5" width="15.28515625" bestFit="1" customWidth="1"/>
    <col min="6" max="6" width="30.140625" bestFit="1" customWidth="1"/>
    <col min="7" max="7" width="15.7109375" bestFit="1" customWidth="1"/>
  </cols>
  <sheetData>
    <row r="1" spans="1:7" x14ac:dyDescent="0.25">
      <c r="A1" s="1191" t="s">
        <v>2007</v>
      </c>
      <c r="B1" s="1293" t="s">
        <v>2461</v>
      </c>
    </row>
    <row r="2" spans="1:7" x14ac:dyDescent="0.25">
      <c r="A2" s="2128" t="s">
        <v>543</v>
      </c>
      <c r="B2" s="2129"/>
      <c r="C2" s="2129"/>
      <c r="D2" s="2129"/>
      <c r="E2" s="2129"/>
      <c r="F2" s="2129"/>
      <c r="G2" s="2129"/>
    </row>
    <row r="3" spans="1:7" ht="15.75" customHeight="1" x14ac:dyDescent="0.25">
      <c r="A3" s="1294" t="s">
        <v>1184</v>
      </c>
      <c r="B3" s="1294" t="s">
        <v>47</v>
      </c>
      <c r="C3" s="1294" t="s">
        <v>48</v>
      </c>
      <c r="D3" s="1294" t="s">
        <v>1287</v>
      </c>
      <c r="E3" s="1294" t="s">
        <v>1288</v>
      </c>
      <c r="F3" s="1294" t="s">
        <v>1289</v>
      </c>
      <c r="G3" s="1294" t="s">
        <v>1660</v>
      </c>
    </row>
    <row r="4" spans="1:7" x14ac:dyDescent="0.25">
      <c r="A4" s="1300">
        <v>1898</v>
      </c>
      <c r="B4" s="1300" t="s">
        <v>1665</v>
      </c>
      <c r="C4" s="1300"/>
      <c r="D4" s="1300" t="s">
        <v>1187</v>
      </c>
      <c r="E4" s="1300" t="s">
        <v>1236</v>
      </c>
      <c r="F4" s="1300" t="s">
        <v>1305</v>
      </c>
      <c r="G4" s="1300" t="s">
        <v>1467</v>
      </c>
    </row>
    <row r="5" spans="1:7" x14ac:dyDescent="0.25">
      <c r="A5" s="1300">
        <v>2000</v>
      </c>
      <c r="B5" s="1300" t="s">
        <v>2020</v>
      </c>
      <c r="C5" s="1300"/>
      <c r="D5" s="1300" t="s">
        <v>1187</v>
      </c>
      <c r="E5" s="1300" t="s">
        <v>1187</v>
      </c>
      <c r="F5" s="1300" t="s">
        <v>1285</v>
      </c>
      <c r="G5" s="1300" t="s">
        <v>1467</v>
      </c>
    </row>
    <row r="6" spans="1:7" x14ac:dyDescent="0.25">
      <c r="A6" s="1300">
        <v>1835</v>
      </c>
      <c r="B6" s="1300" t="s">
        <v>1432</v>
      </c>
      <c r="C6" s="1300" t="s">
        <v>1433</v>
      </c>
      <c r="D6" s="1300" t="s">
        <v>1187</v>
      </c>
      <c r="E6" s="1300" t="s">
        <v>1236</v>
      </c>
      <c r="F6" s="1300" t="s">
        <v>1298</v>
      </c>
      <c r="G6" s="1300" t="s">
        <v>1467</v>
      </c>
    </row>
    <row r="7" spans="1:7" x14ac:dyDescent="0.25">
      <c r="A7" s="1300">
        <v>1477</v>
      </c>
      <c r="B7" s="1300" t="s">
        <v>1185</v>
      </c>
      <c r="C7" s="1300"/>
      <c r="D7" s="1300"/>
      <c r="E7" s="1300"/>
      <c r="F7" s="1300"/>
      <c r="G7" s="1300" t="s">
        <v>1467</v>
      </c>
    </row>
    <row r="8" spans="1:7" x14ac:dyDescent="0.25">
      <c r="A8" s="1300">
        <v>720</v>
      </c>
      <c r="B8" s="1300" t="s">
        <v>2345</v>
      </c>
      <c r="C8" s="1300" t="s">
        <v>1313</v>
      </c>
      <c r="D8" s="1300" t="s">
        <v>1303</v>
      </c>
      <c r="E8" s="1300" t="s">
        <v>507</v>
      </c>
      <c r="F8" s="1300" t="s">
        <v>507</v>
      </c>
      <c r="G8" s="1300" t="s">
        <v>1467</v>
      </c>
    </row>
    <row r="9" spans="1:7" x14ac:dyDescent="0.25">
      <c r="A9" s="1300">
        <v>819</v>
      </c>
      <c r="B9" s="1300" t="s">
        <v>2346</v>
      </c>
      <c r="C9" s="1300" t="s">
        <v>2347</v>
      </c>
      <c r="D9" s="1300" t="s">
        <v>1303</v>
      </c>
      <c r="E9" s="1300" t="s">
        <v>507</v>
      </c>
      <c r="F9" s="1300" t="s">
        <v>507</v>
      </c>
      <c r="G9" s="1300" t="s">
        <v>1467</v>
      </c>
    </row>
    <row r="10" spans="1:7" x14ac:dyDescent="0.25">
      <c r="A10" s="1300">
        <v>1575</v>
      </c>
      <c r="B10" s="1300" t="s">
        <v>2021</v>
      </c>
      <c r="C10" s="1300" t="s">
        <v>2022</v>
      </c>
      <c r="D10" s="1300" t="s">
        <v>1187</v>
      </c>
      <c r="E10" s="1300" t="s">
        <v>1207</v>
      </c>
      <c r="F10" s="1300" t="s">
        <v>2023</v>
      </c>
      <c r="G10" s="1300" t="s">
        <v>1467</v>
      </c>
    </row>
    <row r="11" spans="1:7" x14ac:dyDescent="0.25">
      <c r="A11" s="1300">
        <v>1799</v>
      </c>
      <c r="B11" s="1300" t="s">
        <v>1418</v>
      </c>
      <c r="C11" s="1300" t="s">
        <v>1419</v>
      </c>
      <c r="D11" s="1300" t="s">
        <v>1187</v>
      </c>
      <c r="E11" s="1300" t="s">
        <v>1187</v>
      </c>
      <c r="F11" s="1300" t="s">
        <v>1409</v>
      </c>
      <c r="G11" s="1300" t="s">
        <v>1467</v>
      </c>
    </row>
    <row r="12" spans="1:7" x14ac:dyDescent="0.25">
      <c r="A12" s="1300">
        <v>1427</v>
      </c>
      <c r="B12" s="1300" t="s">
        <v>2348</v>
      </c>
      <c r="C12" s="1300" t="s">
        <v>2349</v>
      </c>
      <c r="D12" s="1300" t="s">
        <v>1303</v>
      </c>
      <c r="E12" s="1300" t="s">
        <v>1327</v>
      </c>
      <c r="F12" s="1300" t="s">
        <v>2084</v>
      </c>
      <c r="G12" s="1300" t="s">
        <v>1467</v>
      </c>
    </row>
    <row r="13" spans="1:7" x14ac:dyDescent="0.25">
      <c r="A13" s="1300">
        <v>1717</v>
      </c>
      <c r="B13" s="1300" t="s">
        <v>2152</v>
      </c>
      <c r="C13" s="1300"/>
      <c r="D13" s="1300" t="s">
        <v>1187</v>
      </c>
      <c r="E13" s="1300" t="s">
        <v>1236</v>
      </c>
      <c r="F13" s="1300" t="s">
        <v>1305</v>
      </c>
      <c r="G13" s="1300" t="s">
        <v>1467</v>
      </c>
    </row>
    <row r="14" spans="1:7" x14ac:dyDescent="0.25">
      <c r="A14" s="1300">
        <v>2056</v>
      </c>
      <c r="B14" s="1300" t="s">
        <v>2242</v>
      </c>
      <c r="C14" s="1300"/>
      <c r="D14" s="1300" t="s">
        <v>1303</v>
      </c>
      <c r="E14" s="1300" t="s">
        <v>851</v>
      </c>
      <c r="F14" s="1300" t="s">
        <v>2243</v>
      </c>
      <c r="G14" s="1300" t="s">
        <v>1467</v>
      </c>
    </row>
    <row r="15" spans="1:7" x14ac:dyDescent="0.25">
      <c r="A15" s="1300">
        <v>1917</v>
      </c>
      <c r="B15" s="1300" t="s">
        <v>1692</v>
      </c>
      <c r="C15" s="1300"/>
      <c r="D15" s="1300" t="s">
        <v>1187</v>
      </c>
      <c r="E15" s="1300" t="s">
        <v>1186</v>
      </c>
      <c r="F15" s="1300" t="s">
        <v>1693</v>
      </c>
      <c r="G15" s="1300" t="s">
        <v>1467</v>
      </c>
    </row>
    <row r="16" spans="1:7" x14ac:dyDescent="0.25">
      <c r="A16" s="1300">
        <v>2068</v>
      </c>
      <c r="B16" s="1300" t="s">
        <v>2244</v>
      </c>
      <c r="C16" s="1300"/>
      <c r="D16" s="1300" t="s">
        <v>1187</v>
      </c>
      <c r="E16" s="1300" t="s">
        <v>1187</v>
      </c>
      <c r="F16" s="1300" t="s">
        <v>1285</v>
      </c>
      <c r="G16" s="1300" t="s">
        <v>1467</v>
      </c>
    </row>
    <row r="17" spans="1:7" x14ac:dyDescent="0.25">
      <c r="A17" s="1300">
        <v>2055</v>
      </c>
      <c r="B17" s="1300" t="s">
        <v>2245</v>
      </c>
      <c r="C17" s="1300"/>
      <c r="D17" s="1300" t="s">
        <v>1187</v>
      </c>
      <c r="E17" s="1300" t="s">
        <v>1187</v>
      </c>
      <c r="F17" s="1300" t="s">
        <v>1323</v>
      </c>
      <c r="G17" s="1300" t="s">
        <v>1467</v>
      </c>
    </row>
    <row r="18" spans="1:7" x14ac:dyDescent="0.25">
      <c r="A18" s="1300">
        <v>1857</v>
      </c>
      <c r="B18" s="1300" t="s">
        <v>1455</v>
      </c>
      <c r="C18" s="1300" t="s">
        <v>1456</v>
      </c>
      <c r="D18" s="1300" t="s">
        <v>1303</v>
      </c>
      <c r="E18" s="1300" t="s">
        <v>1327</v>
      </c>
      <c r="F18" s="1300" t="s">
        <v>1457</v>
      </c>
      <c r="G18" s="1300" t="s">
        <v>1467</v>
      </c>
    </row>
    <row r="19" spans="1:7" x14ac:dyDescent="0.25">
      <c r="A19" s="1300">
        <v>2057</v>
      </c>
      <c r="B19" s="1300" t="s">
        <v>2246</v>
      </c>
      <c r="C19" s="1300"/>
      <c r="D19" s="1300" t="s">
        <v>1021</v>
      </c>
      <c r="E19" s="1300" t="s">
        <v>513</v>
      </c>
      <c r="F19" s="1300" t="s">
        <v>1021</v>
      </c>
      <c r="G19" s="1300" t="s">
        <v>1467</v>
      </c>
    </row>
    <row r="20" spans="1:7" x14ac:dyDescent="0.25">
      <c r="A20" s="1300">
        <v>2035</v>
      </c>
      <c r="B20" s="1300" t="s">
        <v>2247</v>
      </c>
      <c r="C20" s="1300"/>
      <c r="D20" s="1300" t="s">
        <v>1311</v>
      </c>
      <c r="E20" s="1300" t="s">
        <v>504</v>
      </c>
      <c r="F20" s="1300" t="s">
        <v>2248</v>
      </c>
      <c r="G20" s="1300" t="s">
        <v>1467</v>
      </c>
    </row>
    <row r="21" spans="1:7" x14ac:dyDescent="0.25">
      <c r="A21" s="1300">
        <v>2002</v>
      </c>
      <c r="B21" s="1300" t="s">
        <v>2024</v>
      </c>
      <c r="C21" s="1300"/>
      <c r="D21" s="1300" t="s">
        <v>1187</v>
      </c>
      <c r="E21" s="1300" t="s">
        <v>1255</v>
      </c>
      <c r="F21" s="1300" t="s">
        <v>1266</v>
      </c>
      <c r="G21" s="1300" t="s">
        <v>1467</v>
      </c>
    </row>
    <row r="22" spans="1:7" x14ac:dyDescent="0.25">
      <c r="A22" s="1300">
        <v>1962</v>
      </c>
      <c r="B22" s="1300" t="s">
        <v>1802</v>
      </c>
      <c r="C22" s="1300"/>
      <c r="D22" s="1300"/>
      <c r="E22" s="1300"/>
      <c r="F22" s="1300"/>
      <c r="G22" s="1300" t="s">
        <v>1467</v>
      </c>
    </row>
    <row r="23" spans="1:7" x14ac:dyDescent="0.25">
      <c r="A23" s="1300">
        <v>1940</v>
      </c>
      <c r="B23" s="1300" t="s">
        <v>1694</v>
      </c>
      <c r="C23" s="1300"/>
      <c r="D23" s="1300" t="s">
        <v>1187</v>
      </c>
      <c r="E23" s="1300" t="s">
        <v>1407</v>
      </c>
      <c r="F23" s="1300" t="s">
        <v>1407</v>
      </c>
      <c r="G23" s="1300" t="s">
        <v>1467</v>
      </c>
    </row>
    <row r="24" spans="1:7" x14ac:dyDescent="0.25">
      <c r="A24" s="1300">
        <v>2117</v>
      </c>
      <c r="B24" s="1300" t="s">
        <v>2350</v>
      </c>
      <c r="C24" s="1300"/>
      <c r="D24" s="1300" t="s">
        <v>1187</v>
      </c>
      <c r="E24" s="1300" t="s">
        <v>1187</v>
      </c>
      <c r="F24" s="1300" t="s">
        <v>1285</v>
      </c>
      <c r="G24" s="1300" t="s">
        <v>1467</v>
      </c>
    </row>
    <row r="25" spans="1:7" x14ac:dyDescent="0.25">
      <c r="A25" s="1300">
        <v>450</v>
      </c>
      <c r="B25" s="1300" t="s">
        <v>2351</v>
      </c>
      <c r="C25" s="1300" t="s">
        <v>2352</v>
      </c>
      <c r="D25" s="1300" t="s">
        <v>1187</v>
      </c>
      <c r="E25" s="1300" t="s">
        <v>1187</v>
      </c>
      <c r="F25" s="1300" t="s">
        <v>1285</v>
      </c>
      <c r="G25" s="1300" t="s">
        <v>1467</v>
      </c>
    </row>
    <row r="26" spans="1:7" x14ac:dyDescent="0.25">
      <c r="A26" s="1300">
        <v>1906</v>
      </c>
      <c r="B26" s="1300" t="s">
        <v>1661</v>
      </c>
      <c r="C26" s="1300"/>
      <c r="D26" s="1300"/>
      <c r="E26" s="1300"/>
      <c r="F26" s="1300"/>
      <c r="G26" s="1300" t="s">
        <v>1467</v>
      </c>
    </row>
    <row r="27" spans="1:7" x14ac:dyDescent="0.25">
      <c r="A27" s="1300">
        <v>506</v>
      </c>
      <c r="B27" s="1300" t="s">
        <v>2249</v>
      </c>
      <c r="C27" s="1300" t="s">
        <v>1977</v>
      </c>
      <c r="D27" s="1300" t="s">
        <v>1187</v>
      </c>
      <c r="E27" s="1300" t="s">
        <v>1187</v>
      </c>
      <c r="F27" s="1300" t="s">
        <v>1323</v>
      </c>
      <c r="G27" s="1300" t="s">
        <v>1467</v>
      </c>
    </row>
    <row r="28" spans="1:7" x14ac:dyDescent="0.25">
      <c r="A28" s="1300">
        <v>1830</v>
      </c>
      <c r="B28" s="1300" t="s">
        <v>1428</v>
      </c>
      <c r="C28" s="1300"/>
      <c r="D28" s="1300"/>
      <c r="E28" s="1300"/>
      <c r="F28" s="1300"/>
      <c r="G28" s="1300" t="s">
        <v>1467</v>
      </c>
    </row>
    <row r="29" spans="1:7" x14ac:dyDescent="0.25">
      <c r="A29" s="1300">
        <v>1500</v>
      </c>
      <c r="B29" s="1300" t="s">
        <v>1188</v>
      </c>
      <c r="C29" s="1300"/>
      <c r="D29" s="1300"/>
      <c r="E29" s="1300"/>
      <c r="F29" s="1300"/>
      <c r="G29" s="1300" t="s">
        <v>1467</v>
      </c>
    </row>
    <row r="30" spans="1:7" x14ac:dyDescent="0.25">
      <c r="A30" s="1300">
        <v>2004</v>
      </c>
      <c r="B30" s="1300" t="s">
        <v>2025</v>
      </c>
      <c r="C30" s="1300"/>
      <c r="D30" s="1300" t="s">
        <v>1187</v>
      </c>
      <c r="E30" s="1300" t="s">
        <v>1207</v>
      </c>
      <c r="F30" s="1300" t="s">
        <v>2026</v>
      </c>
      <c r="G30" s="1300" t="s">
        <v>1467</v>
      </c>
    </row>
    <row r="31" spans="1:7" x14ac:dyDescent="0.25">
      <c r="A31" s="1300">
        <v>1544</v>
      </c>
      <c r="B31" s="1300" t="s">
        <v>1662</v>
      </c>
      <c r="C31" s="1300"/>
      <c r="D31" s="1300" t="s">
        <v>1187</v>
      </c>
      <c r="E31" s="1300" t="s">
        <v>1214</v>
      </c>
      <c r="F31" s="1300" t="s">
        <v>1425</v>
      </c>
      <c r="G31" s="1300" t="s">
        <v>1467</v>
      </c>
    </row>
    <row r="32" spans="1:7" x14ac:dyDescent="0.25">
      <c r="A32" s="1300">
        <v>1499</v>
      </c>
      <c r="B32" s="1300" t="s">
        <v>2027</v>
      </c>
      <c r="C32" s="1300" t="s">
        <v>2028</v>
      </c>
      <c r="D32" s="1300" t="s">
        <v>1187</v>
      </c>
      <c r="E32" s="1300" t="s">
        <v>1236</v>
      </c>
      <c r="F32" s="1300" t="s">
        <v>1311</v>
      </c>
      <c r="G32" s="1300" t="s">
        <v>1467</v>
      </c>
    </row>
    <row r="33" spans="1:7" x14ac:dyDescent="0.25">
      <c r="A33" s="1300">
        <v>1874</v>
      </c>
      <c r="B33" s="1300" t="s">
        <v>1468</v>
      </c>
      <c r="C33" s="1300"/>
      <c r="D33" s="1300" t="s">
        <v>1187</v>
      </c>
      <c r="E33" s="1300" t="s">
        <v>1187</v>
      </c>
      <c r="F33" s="1300" t="s">
        <v>1285</v>
      </c>
      <c r="G33" s="1300" t="s">
        <v>1467</v>
      </c>
    </row>
    <row r="34" spans="1:7" x14ac:dyDescent="0.25">
      <c r="A34" s="1300">
        <v>2022</v>
      </c>
      <c r="B34" s="1300" t="s">
        <v>2153</v>
      </c>
      <c r="C34" s="1300"/>
      <c r="D34" s="1300" t="s">
        <v>1187</v>
      </c>
      <c r="E34" s="1300" t="s">
        <v>1236</v>
      </c>
      <c r="F34" s="1300" t="s">
        <v>1305</v>
      </c>
      <c r="G34" s="1300" t="s">
        <v>1467</v>
      </c>
    </row>
    <row r="35" spans="1:7" x14ac:dyDescent="0.25">
      <c r="A35" s="1300">
        <v>1905</v>
      </c>
      <c r="B35" s="1300" t="s">
        <v>1666</v>
      </c>
      <c r="C35" s="1300"/>
      <c r="D35" s="1300" t="s">
        <v>1187</v>
      </c>
      <c r="E35" s="1300" t="s">
        <v>1186</v>
      </c>
      <c r="F35" s="1300" t="s">
        <v>1398</v>
      </c>
      <c r="G35" s="1300" t="s">
        <v>1467</v>
      </c>
    </row>
    <row r="36" spans="1:7" x14ac:dyDescent="0.25">
      <c r="A36" s="1300">
        <v>1997</v>
      </c>
      <c r="B36" s="1300" t="s">
        <v>2029</v>
      </c>
      <c r="C36" s="1300"/>
      <c r="D36" s="1300" t="s">
        <v>1187</v>
      </c>
      <c r="E36" s="1300" t="s">
        <v>1187</v>
      </c>
      <c r="F36" s="1300" t="s">
        <v>1285</v>
      </c>
      <c r="G36" s="1300" t="s">
        <v>1467</v>
      </c>
    </row>
    <row r="37" spans="1:7" x14ac:dyDescent="0.25">
      <c r="A37" s="1300">
        <v>16</v>
      </c>
      <c r="B37" s="1300" t="s">
        <v>2250</v>
      </c>
      <c r="C37" s="1300" t="s">
        <v>2251</v>
      </c>
      <c r="D37" s="1300" t="s">
        <v>1021</v>
      </c>
      <c r="E37" s="1300" t="s">
        <v>1201</v>
      </c>
      <c r="F37" s="1300" t="s">
        <v>1294</v>
      </c>
      <c r="G37" s="1300" t="s">
        <v>1467</v>
      </c>
    </row>
    <row r="38" spans="1:7" x14ac:dyDescent="0.25">
      <c r="A38" s="1300">
        <v>1638</v>
      </c>
      <c r="B38" s="1300" t="s">
        <v>1189</v>
      </c>
      <c r="C38" s="1300"/>
      <c r="D38" s="1300"/>
      <c r="E38" s="1300"/>
      <c r="F38" s="1300"/>
      <c r="G38" s="1300" t="s">
        <v>1467</v>
      </c>
    </row>
    <row r="39" spans="1:7" x14ac:dyDescent="0.25">
      <c r="A39" s="1300">
        <v>806</v>
      </c>
      <c r="B39" s="1300" t="s">
        <v>2353</v>
      </c>
      <c r="C39" s="1300" t="s">
        <v>2354</v>
      </c>
      <c r="D39" s="1300" t="s">
        <v>1303</v>
      </c>
      <c r="E39" s="1300" t="s">
        <v>507</v>
      </c>
      <c r="F39" s="1300" t="s">
        <v>507</v>
      </c>
      <c r="G39" s="1300" t="s">
        <v>1467</v>
      </c>
    </row>
    <row r="40" spans="1:7" x14ac:dyDescent="0.25">
      <c r="A40" s="1300">
        <v>1948</v>
      </c>
      <c r="B40" s="1300" t="s">
        <v>1695</v>
      </c>
      <c r="C40" s="1300"/>
      <c r="D40" s="1300" t="s">
        <v>1311</v>
      </c>
      <c r="E40" s="1300" t="s">
        <v>504</v>
      </c>
      <c r="F40" s="1300" t="s">
        <v>1312</v>
      </c>
      <c r="G40" s="1300" t="s">
        <v>1467</v>
      </c>
    </row>
    <row r="41" spans="1:7" x14ac:dyDescent="0.25">
      <c r="A41" s="1300">
        <v>1532</v>
      </c>
      <c r="B41" s="1300" t="s">
        <v>1190</v>
      </c>
      <c r="C41" s="1300"/>
      <c r="D41" s="1300"/>
      <c r="E41" s="1300"/>
      <c r="F41" s="1300"/>
      <c r="G41" s="1300" t="s">
        <v>1467</v>
      </c>
    </row>
    <row r="42" spans="1:7" x14ac:dyDescent="0.25">
      <c r="A42" s="1300">
        <v>1863</v>
      </c>
      <c r="B42" s="1300" t="s">
        <v>1458</v>
      </c>
      <c r="C42" s="1300"/>
      <c r="D42" s="1300"/>
      <c r="E42" s="1300"/>
      <c r="F42" s="1300"/>
      <c r="G42" s="1300" t="s">
        <v>1467</v>
      </c>
    </row>
    <row r="43" spans="1:7" x14ac:dyDescent="0.25">
      <c r="A43" s="1300">
        <v>1096</v>
      </c>
      <c r="B43" s="1300" t="s">
        <v>1469</v>
      </c>
      <c r="C43" s="1300" t="s">
        <v>1433</v>
      </c>
      <c r="D43" s="1300" t="s">
        <v>1187</v>
      </c>
      <c r="E43" s="1300" t="s">
        <v>1236</v>
      </c>
      <c r="F43" s="1300" t="s">
        <v>1298</v>
      </c>
      <c r="G43" s="1300" t="s">
        <v>1467</v>
      </c>
    </row>
    <row r="44" spans="1:7" x14ac:dyDescent="0.25">
      <c r="A44" s="1300">
        <v>1771</v>
      </c>
      <c r="B44" s="1300" t="s">
        <v>1470</v>
      </c>
      <c r="C44" s="1300" t="s">
        <v>1433</v>
      </c>
      <c r="D44" s="1300" t="s">
        <v>1471</v>
      </c>
      <c r="E44" s="1300" t="s">
        <v>1236</v>
      </c>
      <c r="F44" s="1300" t="s">
        <v>1298</v>
      </c>
      <c r="G44" s="1300" t="s">
        <v>1467</v>
      </c>
    </row>
    <row r="45" spans="1:7" x14ac:dyDescent="0.25">
      <c r="A45" s="1300">
        <v>1559</v>
      </c>
      <c r="B45" s="1300" t="s">
        <v>1472</v>
      </c>
      <c r="C45" s="1300" t="s">
        <v>1433</v>
      </c>
      <c r="D45" s="1300" t="s">
        <v>1471</v>
      </c>
      <c r="E45" s="1300" t="s">
        <v>1236</v>
      </c>
      <c r="F45" s="1300" t="s">
        <v>1298</v>
      </c>
      <c r="G45" s="1300" t="s">
        <v>1467</v>
      </c>
    </row>
    <row r="46" spans="1:7" x14ac:dyDescent="0.25">
      <c r="A46" s="1300">
        <v>1465</v>
      </c>
      <c r="B46" s="1300" t="s">
        <v>1986</v>
      </c>
      <c r="C46" s="1300" t="s">
        <v>1433</v>
      </c>
      <c r="D46" s="1300" t="s">
        <v>1471</v>
      </c>
      <c r="E46" s="1300" t="s">
        <v>1236</v>
      </c>
      <c r="F46" s="1300" t="s">
        <v>1298</v>
      </c>
      <c r="G46" s="1300" t="s">
        <v>1467</v>
      </c>
    </row>
    <row r="47" spans="1:7" x14ac:dyDescent="0.25">
      <c r="A47" s="1300">
        <v>1848</v>
      </c>
      <c r="B47" s="1300" t="s">
        <v>1459</v>
      </c>
      <c r="C47" s="1300" t="s">
        <v>1460</v>
      </c>
      <c r="D47" s="1300" t="s">
        <v>1021</v>
      </c>
      <c r="E47" s="1300" t="s">
        <v>513</v>
      </c>
      <c r="F47" s="1300" t="s">
        <v>1443</v>
      </c>
      <c r="G47" s="1300" t="s">
        <v>1467</v>
      </c>
    </row>
    <row r="48" spans="1:7" x14ac:dyDescent="0.25">
      <c r="A48" s="1300">
        <v>2125</v>
      </c>
      <c r="B48" s="1300" t="s">
        <v>2355</v>
      </c>
      <c r="C48" s="1300"/>
      <c r="D48" s="1300" t="s">
        <v>1187</v>
      </c>
      <c r="E48" s="1300" t="s">
        <v>1187</v>
      </c>
      <c r="F48" s="1300" t="s">
        <v>1285</v>
      </c>
      <c r="G48" s="1300" t="s">
        <v>1467</v>
      </c>
    </row>
    <row r="49" spans="1:7" x14ac:dyDescent="0.25">
      <c r="A49" s="1300">
        <v>2161</v>
      </c>
      <c r="B49" s="1300" t="s">
        <v>2356</v>
      </c>
      <c r="C49" s="1300"/>
      <c r="D49" s="1300" t="s">
        <v>1187</v>
      </c>
      <c r="E49" s="1300" t="s">
        <v>1187</v>
      </c>
      <c r="F49" s="1300" t="s">
        <v>1285</v>
      </c>
      <c r="G49" s="1300" t="s">
        <v>1467</v>
      </c>
    </row>
    <row r="50" spans="1:7" x14ac:dyDescent="0.25">
      <c r="A50" s="1300">
        <v>584</v>
      </c>
      <c r="B50" s="1300" t="s">
        <v>2030</v>
      </c>
      <c r="C50" s="1300" t="s">
        <v>1313</v>
      </c>
      <c r="D50" s="1300" t="s">
        <v>1187</v>
      </c>
      <c r="E50" s="1300" t="s">
        <v>1236</v>
      </c>
      <c r="F50" s="1300" t="s">
        <v>1311</v>
      </c>
      <c r="G50" s="1300" t="s">
        <v>1467</v>
      </c>
    </row>
    <row r="51" spans="1:7" x14ac:dyDescent="0.25">
      <c r="A51" s="1300">
        <v>1969</v>
      </c>
      <c r="B51" s="1300" t="s">
        <v>1987</v>
      </c>
      <c r="C51" s="1300"/>
      <c r="D51" s="1300" t="s">
        <v>1187</v>
      </c>
      <c r="E51" s="1300" t="s">
        <v>1236</v>
      </c>
      <c r="F51" s="1300" t="s">
        <v>2031</v>
      </c>
      <c r="G51" s="1300" t="s">
        <v>1467</v>
      </c>
    </row>
    <row r="52" spans="1:7" x14ac:dyDescent="0.25">
      <c r="A52" s="1300">
        <v>308</v>
      </c>
      <c r="B52" s="1300" t="s">
        <v>2032</v>
      </c>
      <c r="C52" s="1300" t="s">
        <v>2033</v>
      </c>
      <c r="D52" s="1300" t="s">
        <v>1187</v>
      </c>
      <c r="E52" s="1300" t="s">
        <v>1214</v>
      </c>
      <c r="F52" s="1300" t="s">
        <v>1386</v>
      </c>
      <c r="G52" s="1300" t="s">
        <v>1467</v>
      </c>
    </row>
    <row r="53" spans="1:7" x14ac:dyDescent="0.25">
      <c r="A53" s="1300">
        <v>1840</v>
      </c>
      <c r="B53" s="1300" t="s">
        <v>1434</v>
      </c>
      <c r="C53" s="1300" t="s">
        <v>1435</v>
      </c>
      <c r="D53" s="1300"/>
      <c r="E53" s="1300"/>
      <c r="F53" s="1300"/>
      <c r="G53" s="1300" t="s">
        <v>1467</v>
      </c>
    </row>
    <row r="54" spans="1:7" x14ac:dyDescent="0.25">
      <c r="A54" s="1300">
        <v>600</v>
      </c>
      <c r="B54" s="1300" t="s">
        <v>2357</v>
      </c>
      <c r="C54" s="1300" t="s">
        <v>2358</v>
      </c>
      <c r="D54" s="1300" t="s">
        <v>1303</v>
      </c>
      <c r="E54" s="1300" t="s">
        <v>507</v>
      </c>
      <c r="F54" s="1300" t="s">
        <v>507</v>
      </c>
      <c r="G54" s="1300" t="s">
        <v>1467</v>
      </c>
    </row>
    <row r="55" spans="1:7" x14ac:dyDescent="0.25">
      <c r="A55" s="1300">
        <v>601</v>
      </c>
      <c r="B55" s="1300" t="s">
        <v>2359</v>
      </c>
      <c r="C55" s="1300" t="s">
        <v>2358</v>
      </c>
      <c r="D55" s="1300" t="s">
        <v>1303</v>
      </c>
      <c r="E55" s="1300" t="s">
        <v>507</v>
      </c>
      <c r="F55" s="1300" t="s">
        <v>507</v>
      </c>
      <c r="G55" s="1300" t="s">
        <v>1467</v>
      </c>
    </row>
    <row r="56" spans="1:7" x14ac:dyDescent="0.25">
      <c r="A56" s="1300">
        <v>1546</v>
      </c>
      <c r="B56" s="1300" t="s">
        <v>1191</v>
      </c>
      <c r="C56" s="1300"/>
      <c r="D56" s="1300" t="s">
        <v>1021</v>
      </c>
      <c r="E56" s="1300" t="s">
        <v>1021</v>
      </c>
      <c r="F56" s="1300"/>
      <c r="G56" s="1300" t="s">
        <v>1467</v>
      </c>
    </row>
    <row r="57" spans="1:7" x14ac:dyDescent="0.25">
      <c r="A57" s="1300">
        <v>641</v>
      </c>
      <c r="B57" s="1300" t="s">
        <v>2360</v>
      </c>
      <c r="C57" s="1300" t="s">
        <v>2361</v>
      </c>
      <c r="D57" s="1300" t="s">
        <v>1303</v>
      </c>
      <c r="E57" s="1300" t="s">
        <v>507</v>
      </c>
      <c r="F57" s="1300" t="s">
        <v>507</v>
      </c>
      <c r="G57" s="1300" t="s">
        <v>1467</v>
      </c>
    </row>
    <row r="58" spans="1:7" x14ac:dyDescent="0.25">
      <c r="A58" s="1300">
        <v>814</v>
      </c>
      <c r="B58" s="1300" t="s">
        <v>2252</v>
      </c>
      <c r="C58" s="1300" t="s">
        <v>2253</v>
      </c>
      <c r="D58" s="1300" t="s">
        <v>1187</v>
      </c>
      <c r="E58" s="1300" t="s">
        <v>1236</v>
      </c>
      <c r="F58" s="1300" t="s">
        <v>2162</v>
      </c>
      <c r="G58" s="1300" t="s">
        <v>1467</v>
      </c>
    </row>
    <row r="59" spans="1:7" x14ac:dyDescent="0.25">
      <c r="A59" s="1300">
        <v>1961</v>
      </c>
      <c r="B59" s="1300" t="s">
        <v>1803</v>
      </c>
      <c r="C59" s="1300"/>
      <c r="D59" s="1300"/>
      <c r="E59" s="1300"/>
      <c r="F59" s="1300"/>
      <c r="G59" s="1300" t="s">
        <v>1467</v>
      </c>
    </row>
    <row r="60" spans="1:7" x14ac:dyDescent="0.25">
      <c r="A60" s="1300">
        <v>2100</v>
      </c>
      <c r="B60" s="1300" t="s">
        <v>2362</v>
      </c>
      <c r="C60" s="1300"/>
      <c r="D60" s="1300" t="s">
        <v>1187</v>
      </c>
      <c r="E60" s="1300" t="s">
        <v>1187</v>
      </c>
      <c r="F60" s="1300" t="s">
        <v>1290</v>
      </c>
      <c r="G60" s="1300" t="s">
        <v>1467</v>
      </c>
    </row>
    <row r="61" spans="1:7" x14ac:dyDescent="0.25">
      <c r="A61" s="1300">
        <v>2111</v>
      </c>
      <c r="B61" s="1300" t="s">
        <v>2363</v>
      </c>
      <c r="C61" s="1300" t="s">
        <v>2364</v>
      </c>
      <c r="D61" s="1300" t="s">
        <v>1187</v>
      </c>
      <c r="E61" s="1300" t="s">
        <v>1187</v>
      </c>
      <c r="F61" s="1300" t="s">
        <v>1290</v>
      </c>
      <c r="G61" s="1300" t="s">
        <v>1467</v>
      </c>
    </row>
    <row r="62" spans="1:7" x14ac:dyDescent="0.25">
      <c r="A62" s="1300">
        <v>2112</v>
      </c>
      <c r="B62" s="1300" t="s">
        <v>2365</v>
      </c>
      <c r="C62" s="1300" t="s">
        <v>2364</v>
      </c>
      <c r="D62" s="1300" t="s">
        <v>1187</v>
      </c>
      <c r="E62" s="1300" t="s">
        <v>1187</v>
      </c>
      <c r="F62" s="1300" t="s">
        <v>1290</v>
      </c>
      <c r="G62" s="1300" t="s">
        <v>1467</v>
      </c>
    </row>
    <row r="63" spans="1:7" x14ac:dyDescent="0.25">
      <c r="A63" s="1300">
        <v>2132</v>
      </c>
      <c r="B63" s="1300" t="s">
        <v>2366</v>
      </c>
      <c r="C63" s="1300"/>
      <c r="D63" s="1300" t="s">
        <v>1187</v>
      </c>
      <c r="E63" s="1300" t="s">
        <v>1186</v>
      </c>
      <c r="F63" s="1300" t="s">
        <v>1310</v>
      </c>
      <c r="G63" s="1300" t="s">
        <v>1467</v>
      </c>
    </row>
    <row r="64" spans="1:7" x14ac:dyDescent="0.25">
      <c r="A64" s="1300">
        <v>1748</v>
      </c>
      <c r="B64" s="1300" t="s">
        <v>1291</v>
      </c>
      <c r="C64" s="1300"/>
      <c r="D64" s="1300" t="s">
        <v>1187</v>
      </c>
      <c r="E64" s="1300" t="s">
        <v>1187</v>
      </c>
      <c r="F64" s="1300" t="s">
        <v>1227</v>
      </c>
      <c r="G64" s="1300" t="s">
        <v>1467</v>
      </c>
    </row>
    <row r="65" spans="1:7" x14ac:dyDescent="0.25">
      <c r="A65" s="1300">
        <v>2103</v>
      </c>
      <c r="B65" s="1300" t="s">
        <v>2367</v>
      </c>
      <c r="C65" s="1300"/>
      <c r="D65" s="1300" t="s">
        <v>1187</v>
      </c>
      <c r="E65" s="1300" t="s">
        <v>1187</v>
      </c>
      <c r="F65" s="1300" t="s">
        <v>1290</v>
      </c>
      <c r="G65" s="1300" t="s">
        <v>1467</v>
      </c>
    </row>
    <row r="66" spans="1:7" x14ac:dyDescent="0.25">
      <c r="A66" s="1300">
        <v>1640</v>
      </c>
      <c r="B66" s="1300" t="s">
        <v>1192</v>
      </c>
      <c r="C66" s="1300"/>
      <c r="D66" s="1300" t="s">
        <v>1187</v>
      </c>
      <c r="E66" s="1300" t="s">
        <v>1186</v>
      </c>
      <c r="F66" s="1300" t="s">
        <v>1292</v>
      </c>
      <c r="G66" s="1300" t="s">
        <v>1467</v>
      </c>
    </row>
    <row r="67" spans="1:7" x14ac:dyDescent="0.25">
      <c r="A67" s="1300">
        <v>1333</v>
      </c>
      <c r="B67" s="1300" t="s">
        <v>1382</v>
      </c>
      <c r="C67" s="1300" t="s">
        <v>1383</v>
      </c>
      <c r="D67" s="1300" t="s">
        <v>1021</v>
      </c>
      <c r="E67" s="1300" t="s">
        <v>1201</v>
      </c>
      <c r="F67" s="1300" t="s">
        <v>1294</v>
      </c>
      <c r="G67" s="1300" t="s">
        <v>1467</v>
      </c>
    </row>
    <row r="68" spans="1:7" x14ac:dyDescent="0.25">
      <c r="A68" s="1300">
        <v>1542</v>
      </c>
      <c r="B68" s="1300" t="s">
        <v>1193</v>
      </c>
      <c r="C68" s="1300"/>
      <c r="D68" s="1300" t="s">
        <v>1187</v>
      </c>
      <c r="E68" s="1300" t="s">
        <v>1187</v>
      </c>
      <c r="F68" s="1300" t="s">
        <v>1194</v>
      </c>
      <c r="G68" s="1300" t="s">
        <v>1467</v>
      </c>
    </row>
    <row r="69" spans="1:7" x14ac:dyDescent="0.25">
      <c r="A69" s="1300">
        <v>1205</v>
      </c>
      <c r="B69" s="1300" t="s">
        <v>2254</v>
      </c>
      <c r="C69" s="1300" t="s">
        <v>1205</v>
      </c>
      <c r="D69" s="1300" t="s">
        <v>1187</v>
      </c>
      <c r="E69" s="1300" t="s">
        <v>1187</v>
      </c>
      <c r="F69" s="1300" t="s">
        <v>1295</v>
      </c>
      <c r="G69" s="1300" t="s">
        <v>1467</v>
      </c>
    </row>
    <row r="70" spans="1:7" x14ac:dyDescent="0.25">
      <c r="A70" s="1300">
        <v>1166</v>
      </c>
      <c r="B70" s="1300" t="s">
        <v>2255</v>
      </c>
      <c r="C70" s="1300" t="s">
        <v>2256</v>
      </c>
      <c r="D70" s="1300" t="s">
        <v>506</v>
      </c>
      <c r="E70" s="1300" t="s">
        <v>506</v>
      </c>
      <c r="F70" s="1300" t="s">
        <v>2159</v>
      </c>
      <c r="G70" s="1300" t="s">
        <v>1467</v>
      </c>
    </row>
    <row r="71" spans="1:7" x14ac:dyDescent="0.25">
      <c r="A71" s="1300">
        <v>560</v>
      </c>
      <c r="B71" s="1300" t="s">
        <v>1195</v>
      </c>
      <c r="C71" s="1300" t="s">
        <v>1196</v>
      </c>
      <c r="D71" s="1300" t="s">
        <v>1187</v>
      </c>
      <c r="E71" s="1300" t="s">
        <v>1187</v>
      </c>
      <c r="F71" s="1300" t="s">
        <v>1227</v>
      </c>
      <c r="G71" s="1300" t="s">
        <v>1467</v>
      </c>
    </row>
    <row r="72" spans="1:7" x14ac:dyDescent="0.25">
      <c r="A72" s="1300">
        <v>1504</v>
      </c>
      <c r="B72" s="1300" t="s">
        <v>2368</v>
      </c>
      <c r="C72" s="1300" t="s">
        <v>2034</v>
      </c>
      <c r="D72" s="1300" t="s">
        <v>1303</v>
      </c>
      <c r="E72" s="1300" t="s">
        <v>2035</v>
      </c>
      <c r="F72" s="1300" t="s">
        <v>1300</v>
      </c>
      <c r="G72" s="1300" t="s">
        <v>1467</v>
      </c>
    </row>
    <row r="73" spans="1:7" x14ac:dyDescent="0.25">
      <c r="A73" s="1300">
        <v>1547</v>
      </c>
      <c r="B73" s="1300" t="s">
        <v>1197</v>
      </c>
      <c r="C73" s="1300"/>
      <c r="D73" s="1300" t="s">
        <v>1187</v>
      </c>
      <c r="E73" s="1300" t="s">
        <v>1187</v>
      </c>
      <c r="F73" s="1300" t="s">
        <v>1227</v>
      </c>
      <c r="G73" s="1300" t="s">
        <v>1467</v>
      </c>
    </row>
    <row r="74" spans="1:7" x14ac:dyDescent="0.25">
      <c r="A74" s="1300">
        <v>1944</v>
      </c>
      <c r="B74" s="1300" t="s">
        <v>2154</v>
      </c>
      <c r="C74" s="1300" t="s">
        <v>2155</v>
      </c>
      <c r="D74" s="1300" t="s">
        <v>506</v>
      </c>
      <c r="E74" s="1300" t="s">
        <v>506</v>
      </c>
      <c r="F74" s="1300" t="s">
        <v>2156</v>
      </c>
      <c r="G74" s="1300" t="s">
        <v>1467</v>
      </c>
    </row>
    <row r="75" spans="1:7" x14ac:dyDescent="0.25">
      <c r="A75" s="1300">
        <v>1397</v>
      </c>
      <c r="B75" s="1300" t="s">
        <v>2257</v>
      </c>
      <c r="C75" s="1300" t="s">
        <v>2258</v>
      </c>
      <c r="D75" s="1300" t="s">
        <v>1187</v>
      </c>
      <c r="E75" s="1300" t="s">
        <v>1187</v>
      </c>
      <c r="F75" s="1300" t="s">
        <v>1299</v>
      </c>
      <c r="G75" s="1300" t="s">
        <v>1467</v>
      </c>
    </row>
    <row r="76" spans="1:7" x14ac:dyDescent="0.25">
      <c r="A76" s="1300">
        <v>1934</v>
      </c>
      <c r="B76" s="1300" t="s">
        <v>1687</v>
      </c>
      <c r="C76" s="1300"/>
      <c r="D76" s="1300" t="s">
        <v>1187</v>
      </c>
      <c r="E76" s="1300" t="s">
        <v>1187</v>
      </c>
      <c r="F76" s="1300" t="s">
        <v>1301</v>
      </c>
      <c r="G76" s="1300" t="s">
        <v>1467</v>
      </c>
    </row>
    <row r="77" spans="1:7" x14ac:dyDescent="0.25">
      <c r="A77" s="1300">
        <v>2052</v>
      </c>
      <c r="B77" s="1300" t="s">
        <v>2259</v>
      </c>
      <c r="C77" s="1300"/>
      <c r="D77" s="1300" t="s">
        <v>1187</v>
      </c>
      <c r="E77" s="1300" t="s">
        <v>1187</v>
      </c>
      <c r="F77" s="1300" t="s">
        <v>1295</v>
      </c>
      <c r="G77" s="1300" t="s">
        <v>1467</v>
      </c>
    </row>
    <row r="78" spans="1:7" x14ac:dyDescent="0.25">
      <c r="A78" s="1300">
        <v>1933</v>
      </c>
      <c r="B78" s="1300" t="s">
        <v>1688</v>
      </c>
      <c r="C78" s="1300"/>
      <c r="D78" s="1300" t="s">
        <v>1187</v>
      </c>
      <c r="E78" s="1300" t="s">
        <v>1187</v>
      </c>
      <c r="F78" s="1300" t="s">
        <v>1301</v>
      </c>
      <c r="G78" s="1300" t="s">
        <v>1467</v>
      </c>
    </row>
    <row r="79" spans="1:7" x14ac:dyDescent="0.25">
      <c r="A79" s="1300">
        <v>1941</v>
      </c>
      <c r="B79" s="1300" t="s">
        <v>1696</v>
      </c>
      <c r="C79" s="1300"/>
      <c r="D79" s="1300" t="s">
        <v>1187</v>
      </c>
      <c r="E79" s="1300" t="s">
        <v>1187</v>
      </c>
      <c r="F79" s="1300" t="s">
        <v>1301</v>
      </c>
      <c r="G79" s="1300" t="s">
        <v>1467</v>
      </c>
    </row>
    <row r="80" spans="1:7" x14ac:dyDescent="0.25">
      <c r="A80" s="1300">
        <v>1615</v>
      </c>
      <c r="B80" s="1300" t="s">
        <v>1198</v>
      </c>
      <c r="C80" s="1300"/>
      <c r="D80" s="1300"/>
      <c r="E80" s="1300"/>
      <c r="F80" s="1300"/>
      <c r="G80" s="1300" t="s">
        <v>1467</v>
      </c>
    </row>
    <row r="81" spans="1:7" x14ac:dyDescent="0.25">
      <c r="A81" s="1300">
        <v>2129</v>
      </c>
      <c r="B81" s="1300" t="s">
        <v>2369</v>
      </c>
      <c r="C81" s="1300"/>
      <c r="D81" s="1300" t="s">
        <v>1187</v>
      </c>
      <c r="E81" s="1300" t="s">
        <v>1187</v>
      </c>
      <c r="F81" s="1300" t="s">
        <v>2370</v>
      </c>
      <c r="G81" s="1300" t="s">
        <v>1467</v>
      </c>
    </row>
    <row r="82" spans="1:7" x14ac:dyDescent="0.25">
      <c r="A82" s="1300">
        <v>2046</v>
      </c>
      <c r="B82" s="1300" t="s">
        <v>2260</v>
      </c>
      <c r="C82" s="1300"/>
      <c r="D82" s="1300" t="s">
        <v>1187</v>
      </c>
      <c r="E82" s="1300" t="s">
        <v>1187</v>
      </c>
      <c r="F82" s="1300" t="s">
        <v>1290</v>
      </c>
      <c r="G82" s="1300" t="s">
        <v>1467</v>
      </c>
    </row>
    <row r="83" spans="1:7" x14ac:dyDescent="0.25">
      <c r="A83" s="1300">
        <v>2070</v>
      </c>
      <c r="B83" s="1300" t="s">
        <v>2261</v>
      </c>
      <c r="C83" s="1300"/>
      <c r="D83" s="1300" t="s">
        <v>1187</v>
      </c>
      <c r="E83" s="1300" t="s">
        <v>1187</v>
      </c>
      <c r="F83" s="1300" t="s">
        <v>1290</v>
      </c>
      <c r="G83" s="1300" t="s">
        <v>1467</v>
      </c>
    </row>
    <row r="84" spans="1:7" x14ac:dyDescent="0.25">
      <c r="A84" s="1300">
        <v>2005</v>
      </c>
      <c r="B84" s="1300" t="s">
        <v>2036</v>
      </c>
      <c r="C84" s="1300"/>
      <c r="D84" s="1300" t="s">
        <v>1187</v>
      </c>
      <c r="E84" s="1300" t="s">
        <v>1214</v>
      </c>
      <c r="F84" s="1300" t="s">
        <v>1300</v>
      </c>
      <c r="G84" s="1300" t="s">
        <v>1467</v>
      </c>
    </row>
    <row r="85" spans="1:7" x14ac:dyDescent="0.25">
      <c r="A85" s="1300">
        <v>1996</v>
      </c>
      <c r="B85" s="1300" t="s">
        <v>2037</v>
      </c>
      <c r="C85" s="1300"/>
      <c r="D85" s="1300" t="s">
        <v>1187</v>
      </c>
      <c r="E85" s="1300" t="s">
        <v>1401</v>
      </c>
      <c r="F85" s="1300" t="s">
        <v>2038</v>
      </c>
      <c r="G85" s="1300" t="s">
        <v>1467</v>
      </c>
    </row>
    <row r="86" spans="1:7" x14ac:dyDescent="0.25">
      <c r="A86" s="1300">
        <v>1688</v>
      </c>
      <c r="B86" s="1300" t="s">
        <v>1293</v>
      </c>
      <c r="C86" s="1300"/>
      <c r="D86" s="1300" t="s">
        <v>1187</v>
      </c>
      <c r="E86" s="1300" t="s">
        <v>1187</v>
      </c>
      <c r="F86" s="1300" t="s">
        <v>1227</v>
      </c>
      <c r="G86" s="1300" t="s">
        <v>1467</v>
      </c>
    </row>
    <row r="87" spans="1:7" x14ac:dyDescent="0.25">
      <c r="A87" s="1300">
        <v>557</v>
      </c>
      <c r="B87" s="1300" t="s">
        <v>2039</v>
      </c>
      <c r="C87" s="1300" t="s">
        <v>2040</v>
      </c>
      <c r="D87" s="1300" t="s">
        <v>1187</v>
      </c>
      <c r="E87" s="1300" t="s">
        <v>1187</v>
      </c>
      <c r="F87" s="1300" t="s">
        <v>1227</v>
      </c>
      <c r="G87" s="1300" t="s">
        <v>1467</v>
      </c>
    </row>
    <row r="88" spans="1:7" x14ac:dyDescent="0.25">
      <c r="A88" s="1300">
        <v>2134</v>
      </c>
      <c r="B88" s="1300" t="s">
        <v>2371</v>
      </c>
      <c r="C88" s="1300"/>
      <c r="D88" s="1300" t="s">
        <v>1187</v>
      </c>
      <c r="E88" s="1300" t="s">
        <v>1187</v>
      </c>
      <c r="F88" s="1300" t="s">
        <v>1323</v>
      </c>
      <c r="G88" s="1300" t="s">
        <v>1467</v>
      </c>
    </row>
    <row r="89" spans="1:7" x14ac:dyDescent="0.25">
      <c r="A89" s="1300">
        <v>782</v>
      </c>
      <c r="B89" s="1300" t="s">
        <v>2041</v>
      </c>
      <c r="C89" s="1300" t="s">
        <v>2042</v>
      </c>
      <c r="D89" s="1300" t="s">
        <v>1187</v>
      </c>
      <c r="E89" s="1300" t="s">
        <v>1207</v>
      </c>
      <c r="F89" s="1300" t="s">
        <v>1207</v>
      </c>
      <c r="G89" s="1300" t="s">
        <v>1467</v>
      </c>
    </row>
    <row r="90" spans="1:7" x14ac:dyDescent="0.25">
      <c r="A90" s="1300">
        <v>2102</v>
      </c>
      <c r="B90" s="1300" t="s">
        <v>2372</v>
      </c>
      <c r="C90" s="1300"/>
      <c r="D90" s="1300" t="s">
        <v>1187</v>
      </c>
      <c r="E90" s="1300" t="s">
        <v>1401</v>
      </c>
      <c r="F90" s="1300" t="s">
        <v>2373</v>
      </c>
      <c r="G90" s="1300" t="s">
        <v>1467</v>
      </c>
    </row>
    <row r="91" spans="1:7" x14ac:dyDescent="0.25">
      <c r="A91" s="1300">
        <v>1207</v>
      </c>
      <c r="B91" s="1300" t="s">
        <v>2043</v>
      </c>
      <c r="C91" s="1300" t="s">
        <v>1842</v>
      </c>
      <c r="D91" s="1300" t="s">
        <v>1187</v>
      </c>
      <c r="E91" s="1300" t="s">
        <v>1207</v>
      </c>
      <c r="F91" s="1300" t="s">
        <v>1207</v>
      </c>
      <c r="G91" s="1300" t="s">
        <v>1467</v>
      </c>
    </row>
    <row r="92" spans="1:7" x14ac:dyDescent="0.25">
      <c r="A92" s="1300">
        <v>1811</v>
      </c>
      <c r="B92" s="1300" t="s">
        <v>2374</v>
      </c>
      <c r="C92" s="1300" t="s">
        <v>2375</v>
      </c>
      <c r="D92" s="1300" t="s">
        <v>1187</v>
      </c>
      <c r="E92" s="1300" t="s">
        <v>1187</v>
      </c>
      <c r="F92" s="1300" t="s">
        <v>2376</v>
      </c>
      <c r="G92" s="1300" t="s">
        <v>1467</v>
      </c>
    </row>
    <row r="93" spans="1:7" x14ac:dyDescent="0.25">
      <c r="A93" s="1300">
        <v>1970</v>
      </c>
      <c r="B93" s="1300" t="s">
        <v>1988</v>
      </c>
      <c r="C93" s="1300"/>
      <c r="D93" s="1300" t="s">
        <v>1187</v>
      </c>
      <c r="E93" s="1300" t="s">
        <v>1187</v>
      </c>
      <c r="F93" s="1300" t="s">
        <v>2044</v>
      </c>
      <c r="G93" s="1300" t="s">
        <v>1467</v>
      </c>
    </row>
    <row r="94" spans="1:7" x14ac:dyDescent="0.25">
      <c r="A94" s="1300">
        <v>1685</v>
      </c>
      <c r="B94" s="1300" t="s">
        <v>1392</v>
      </c>
      <c r="C94" s="1300"/>
      <c r="D94" s="1300" t="s">
        <v>1187</v>
      </c>
      <c r="E94" s="1300" t="s">
        <v>1187</v>
      </c>
      <c r="F94" s="1300" t="s">
        <v>1290</v>
      </c>
      <c r="G94" s="1300" t="s">
        <v>1467</v>
      </c>
    </row>
    <row r="95" spans="1:7" x14ac:dyDescent="0.25">
      <c r="A95" s="1300">
        <v>2008</v>
      </c>
      <c r="B95" s="1300" t="s">
        <v>2045</v>
      </c>
      <c r="C95" s="1300"/>
      <c r="D95" s="1300" t="s">
        <v>1187</v>
      </c>
      <c r="E95" s="1300" t="s">
        <v>1187</v>
      </c>
      <c r="F95" s="1300" t="s">
        <v>1290</v>
      </c>
      <c r="G95" s="1300" t="s">
        <v>1467</v>
      </c>
    </row>
    <row r="96" spans="1:7" x14ac:dyDescent="0.25">
      <c r="A96" s="1300">
        <v>1924</v>
      </c>
      <c r="B96" s="1300" t="s">
        <v>1689</v>
      </c>
      <c r="C96" s="1300"/>
      <c r="D96" s="1300" t="s">
        <v>1187</v>
      </c>
      <c r="E96" s="1300" t="s">
        <v>1187</v>
      </c>
      <c r="F96" s="1300" t="s">
        <v>1194</v>
      </c>
      <c r="G96" s="1300" t="s">
        <v>1467</v>
      </c>
    </row>
    <row r="97" spans="1:7" x14ac:dyDescent="0.25">
      <c r="A97" s="1300">
        <v>1642</v>
      </c>
      <c r="B97" s="1300" t="s">
        <v>1199</v>
      </c>
      <c r="C97" s="1300"/>
      <c r="D97" s="1300" t="s">
        <v>1187</v>
      </c>
      <c r="E97" s="1300" t="s">
        <v>1200</v>
      </c>
      <c r="F97" s="1300"/>
      <c r="G97" s="1300" t="s">
        <v>1467</v>
      </c>
    </row>
    <row r="98" spans="1:7" x14ac:dyDescent="0.25">
      <c r="A98" s="1300">
        <v>914</v>
      </c>
      <c r="B98" s="1300" t="s">
        <v>1202</v>
      </c>
      <c r="C98" s="1300" t="s">
        <v>1203</v>
      </c>
      <c r="D98" s="1300" t="s">
        <v>1021</v>
      </c>
      <c r="E98" s="1300" t="s">
        <v>1201</v>
      </c>
      <c r="F98" s="1300" t="s">
        <v>1294</v>
      </c>
      <c r="G98" s="1300" t="s">
        <v>1467</v>
      </c>
    </row>
    <row r="99" spans="1:7" x14ac:dyDescent="0.25">
      <c r="A99" s="1300">
        <v>1010</v>
      </c>
      <c r="B99" s="1300" t="s">
        <v>1204</v>
      </c>
      <c r="C99" s="1300" t="s">
        <v>1203</v>
      </c>
      <c r="D99" s="1300" t="s">
        <v>1021</v>
      </c>
      <c r="E99" s="1300" t="s">
        <v>1201</v>
      </c>
      <c r="F99" s="1300" t="s">
        <v>1294</v>
      </c>
      <c r="G99" s="1300" t="s">
        <v>1467</v>
      </c>
    </row>
    <row r="100" spans="1:7" x14ac:dyDescent="0.25">
      <c r="A100" s="1300">
        <v>1291</v>
      </c>
      <c r="B100" s="1300" t="s">
        <v>1206</v>
      </c>
      <c r="C100" s="1300" t="s">
        <v>1208</v>
      </c>
      <c r="D100" s="1300" t="s">
        <v>1187</v>
      </c>
      <c r="E100" s="1300" t="s">
        <v>1207</v>
      </c>
      <c r="F100" s="1300" t="s">
        <v>1207</v>
      </c>
      <c r="G100" s="1300" t="s">
        <v>1467</v>
      </c>
    </row>
    <row r="101" spans="1:7" x14ac:dyDescent="0.25">
      <c r="A101" s="1300">
        <v>2006</v>
      </c>
      <c r="B101" s="1300" t="s">
        <v>2046</v>
      </c>
      <c r="C101" s="1300"/>
      <c r="D101" s="1300" t="s">
        <v>1311</v>
      </c>
      <c r="E101" s="1300" t="s">
        <v>504</v>
      </c>
      <c r="F101" s="1300" t="s">
        <v>504</v>
      </c>
      <c r="G101" s="1300" t="s">
        <v>1467</v>
      </c>
    </row>
    <row r="102" spans="1:7" x14ac:dyDescent="0.25">
      <c r="A102" s="1300">
        <v>2162</v>
      </c>
      <c r="B102" s="1300" t="s">
        <v>2377</v>
      </c>
      <c r="C102" s="1300"/>
      <c r="D102" s="1300" t="s">
        <v>1307</v>
      </c>
      <c r="E102" s="1300" t="s">
        <v>514</v>
      </c>
      <c r="F102" s="1300" t="s">
        <v>2378</v>
      </c>
      <c r="G102" s="1300" t="s">
        <v>1467</v>
      </c>
    </row>
    <row r="103" spans="1:7" x14ac:dyDescent="0.25">
      <c r="A103" s="1300">
        <v>1995</v>
      </c>
      <c r="B103" s="1300" t="s">
        <v>2047</v>
      </c>
      <c r="C103" s="1300"/>
      <c r="D103" s="1300" t="s">
        <v>1303</v>
      </c>
      <c r="E103" s="1300" t="s">
        <v>2048</v>
      </c>
      <c r="F103" s="1300" t="s">
        <v>2049</v>
      </c>
      <c r="G103" s="1300" t="s">
        <v>1467</v>
      </c>
    </row>
    <row r="104" spans="1:7" x14ac:dyDescent="0.25">
      <c r="A104" s="1300">
        <v>2099</v>
      </c>
      <c r="B104" s="1300" t="s">
        <v>2379</v>
      </c>
      <c r="C104" s="1300"/>
      <c r="D104" s="1300" t="s">
        <v>1187</v>
      </c>
      <c r="E104" s="1300" t="s">
        <v>1187</v>
      </c>
      <c r="F104" s="1300" t="s">
        <v>1290</v>
      </c>
      <c r="G104" s="1300" t="s">
        <v>1467</v>
      </c>
    </row>
    <row r="105" spans="1:7" x14ac:dyDescent="0.25">
      <c r="A105" s="1300">
        <v>964</v>
      </c>
      <c r="B105" s="1300" t="s">
        <v>2262</v>
      </c>
      <c r="C105" s="1300" t="s">
        <v>2263</v>
      </c>
      <c r="D105" s="1300" t="s">
        <v>1187</v>
      </c>
      <c r="E105" s="1300" t="s">
        <v>1187</v>
      </c>
      <c r="F105" s="1300" t="s">
        <v>1290</v>
      </c>
      <c r="G105" s="1300" t="s">
        <v>1467</v>
      </c>
    </row>
    <row r="106" spans="1:7" x14ac:dyDescent="0.25">
      <c r="A106" s="1300">
        <v>648</v>
      </c>
      <c r="B106" s="1300" t="s">
        <v>1296</v>
      </c>
      <c r="C106" s="1300" t="s">
        <v>1297</v>
      </c>
      <c r="D106" s="1300" t="s">
        <v>1187</v>
      </c>
      <c r="E106" s="1300" t="s">
        <v>1236</v>
      </c>
      <c r="F106" s="1300" t="s">
        <v>1298</v>
      </c>
      <c r="G106" s="1300" t="s">
        <v>1467</v>
      </c>
    </row>
    <row r="107" spans="1:7" x14ac:dyDescent="0.25">
      <c r="A107" s="1300">
        <v>2104</v>
      </c>
      <c r="B107" s="1300" t="s">
        <v>2380</v>
      </c>
      <c r="C107" s="1300"/>
      <c r="D107" s="1300" t="s">
        <v>1187</v>
      </c>
      <c r="E107" s="1300" t="s">
        <v>1236</v>
      </c>
      <c r="F107" s="1300"/>
      <c r="G107" s="1300" t="s">
        <v>1467</v>
      </c>
    </row>
    <row r="108" spans="1:7" x14ac:dyDescent="0.25">
      <c r="A108" s="1300">
        <v>1954</v>
      </c>
      <c r="B108" s="1300" t="s">
        <v>1804</v>
      </c>
      <c r="C108" s="1300"/>
      <c r="D108" s="1300" t="s">
        <v>1303</v>
      </c>
      <c r="E108" s="1300" t="s">
        <v>507</v>
      </c>
      <c r="F108" s="1300" t="s">
        <v>507</v>
      </c>
      <c r="G108" s="1300" t="s">
        <v>1467</v>
      </c>
    </row>
    <row r="109" spans="1:7" x14ac:dyDescent="0.25">
      <c r="A109" s="1300">
        <v>1753</v>
      </c>
      <c r="B109" s="1300" t="s">
        <v>2264</v>
      </c>
      <c r="C109" s="1300"/>
      <c r="D109" s="1300" t="s">
        <v>1187</v>
      </c>
      <c r="E109" s="1300" t="s">
        <v>1187</v>
      </c>
      <c r="F109" s="1300" t="s">
        <v>1194</v>
      </c>
      <c r="G109" s="1300" t="s">
        <v>1467</v>
      </c>
    </row>
    <row r="110" spans="1:7" x14ac:dyDescent="0.25">
      <c r="A110" s="1300">
        <v>394</v>
      </c>
      <c r="B110" s="1300" t="s">
        <v>2381</v>
      </c>
      <c r="C110" s="1300" t="s">
        <v>2382</v>
      </c>
      <c r="D110" s="1300" t="s">
        <v>1187</v>
      </c>
      <c r="E110" s="1300" t="s">
        <v>1187</v>
      </c>
      <c r="F110" s="1300" t="s">
        <v>1290</v>
      </c>
      <c r="G110" s="1300" t="s">
        <v>1467</v>
      </c>
    </row>
    <row r="111" spans="1:7" x14ac:dyDescent="0.25">
      <c r="A111" s="1300">
        <v>1798</v>
      </c>
      <c r="B111" s="1300" t="s">
        <v>1417</v>
      </c>
      <c r="C111" s="1300" t="s">
        <v>1385</v>
      </c>
      <c r="D111" s="1300" t="s">
        <v>1187</v>
      </c>
      <c r="E111" s="1300" t="s">
        <v>1187</v>
      </c>
      <c r="F111" s="1300" t="s">
        <v>1290</v>
      </c>
      <c r="G111" s="1300" t="s">
        <v>1467</v>
      </c>
    </row>
    <row r="112" spans="1:7" x14ac:dyDescent="0.25">
      <c r="A112" s="1300">
        <v>1750</v>
      </c>
      <c r="B112" s="1300" t="s">
        <v>1404</v>
      </c>
      <c r="C112" s="1300"/>
      <c r="D112" s="1300" t="s">
        <v>1187</v>
      </c>
      <c r="E112" s="1300" t="s">
        <v>1187</v>
      </c>
      <c r="F112" s="1300" t="s">
        <v>1405</v>
      </c>
      <c r="G112" s="1300" t="s">
        <v>1467</v>
      </c>
    </row>
    <row r="113" spans="1:7" x14ac:dyDescent="0.25">
      <c r="A113" s="1300">
        <v>1545</v>
      </c>
      <c r="B113" s="1300" t="s">
        <v>1209</v>
      </c>
      <c r="C113" s="1300"/>
      <c r="D113" s="1300" t="s">
        <v>1187</v>
      </c>
      <c r="E113" s="1300" t="s">
        <v>1187</v>
      </c>
      <c r="F113" s="1300" t="s">
        <v>1290</v>
      </c>
      <c r="G113" s="1300" t="s">
        <v>1467</v>
      </c>
    </row>
    <row r="114" spans="1:7" x14ac:dyDescent="0.25">
      <c r="A114" s="1300">
        <v>1645</v>
      </c>
      <c r="B114" s="1300" t="s">
        <v>1210</v>
      </c>
      <c r="C114" s="1300"/>
      <c r="D114" s="1300" t="s">
        <v>1187</v>
      </c>
      <c r="E114" s="1300" t="s">
        <v>1236</v>
      </c>
      <c r="F114" s="1300" t="s">
        <v>1298</v>
      </c>
      <c r="G114" s="1300" t="s">
        <v>1467</v>
      </c>
    </row>
    <row r="115" spans="1:7" x14ac:dyDescent="0.25">
      <c r="A115" s="1300">
        <v>1311</v>
      </c>
      <c r="B115" s="1300" t="s">
        <v>2050</v>
      </c>
      <c r="C115" s="1300" t="s">
        <v>508</v>
      </c>
      <c r="D115" s="1300" t="s">
        <v>1187</v>
      </c>
      <c r="E115" s="1300" t="s">
        <v>1214</v>
      </c>
      <c r="F115" s="1300" t="s">
        <v>1386</v>
      </c>
      <c r="G115" s="1300" t="s">
        <v>1467</v>
      </c>
    </row>
    <row r="116" spans="1:7" x14ac:dyDescent="0.25">
      <c r="A116" s="1300">
        <v>1200</v>
      </c>
      <c r="B116" s="1300" t="s">
        <v>1211</v>
      </c>
      <c r="C116" s="1300" t="s">
        <v>1212</v>
      </c>
      <c r="D116" s="1300" t="s">
        <v>1187</v>
      </c>
      <c r="E116" s="1300" t="s">
        <v>1187</v>
      </c>
      <c r="F116" s="1300" t="s">
        <v>1299</v>
      </c>
      <c r="G116" s="1300" t="s">
        <v>1467</v>
      </c>
    </row>
    <row r="117" spans="1:7" x14ac:dyDescent="0.25">
      <c r="A117" s="1300">
        <v>1543</v>
      </c>
      <c r="B117" s="1300" t="s">
        <v>1213</v>
      </c>
      <c r="C117" s="1300"/>
      <c r="D117" s="1300" t="s">
        <v>1187</v>
      </c>
      <c r="E117" s="1300" t="s">
        <v>1187</v>
      </c>
      <c r="F117" s="1300" t="s">
        <v>1194</v>
      </c>
      <c r="G117" s="1300" t="s">
        <v>1467</v>
      </c>
    </row>
    <row r="118" spans="1:7" x14ac:dyDescent="0.25">
      <c r="A118" s="1300">
        <v>1766</v>
      </c>
      <c r="B118" s="1300" t="s">
        <v>1408</v>
      </c>
      <c r="C118" s="1300"/>
      <c r="D118" s="1300" t="s">
        <v>1187</v>
      </c>
      <c r="E118" s="1300" t="s">
        <v>1187</v>
      </c>
      <c r="F118" s="1300" t="s">
        <v>1409</v>
      </c>
      <c r="G118" s="1300" t="s">
        <v>1467</v>
      </c>
    </row>
    <row r="119" spans="1:7" x14ac:dyDescent="0.25">
      <c r="A119" s="1300">
        <v>1519</v>
      </c>
      <c r="B119" s="1300" t="s">
        <v>1384</v>
      </c>
      <c r="C119" s="1300" t="s">
        <v>1385</v>
      </c>
      <c r="D119" s="1300" t="s">
        <v>1187</v>
      </c>
      <c r="E119" s="1300" t="s">
        <v>1214</v>
      </c>
      <c r="F119" s="1300" t="s">
        <v>1386</v>
      </c>
      <c r="G119" s="1300" t="s">
        <v>1467</v>
      </c>
    </row>
    <row r="120" spans="1:7" x14ac:dyDescent="0.25">
      <c r="A120" s="1300">
        <v>2007</v>
      </c>
      <c r="B120" s="1300" t="s">
        <v>2051</v>
      </c>
      <c r="C120" s="1300"/>
      <c r="D120" s="1300" t="s">
        <v>1187</v>
      </c>
      <c r="E120" s="1300" t="s">
        <v>1187</v>
      </c>
      <c r="F120" s="1300" t="s">
        <v>1194</v>
      </c>
      <c r="G120" s="1300" t="s">
        <v>1467</v>
      </c>
    </row>
    <row r="121" spans="1:7" x14ac:dyDescent="0.25">
      <c r="A121" s="1300">
        <v>2067</v>
      </c>
      <c r="B121" s="1300" t="s">
        <v>2265</v>
      </c>
      <c r="C121" s="1300"/>
      <c r="D121" s="1300" t="s">
        <v>1187</v>
      </c>
      <c r="E121" s="1300" t="s">
        <v>1186</v>
      </c>
      <c r="F121" s="1300" t="s">
        <v>1292</v>
      </c>
      <c r="G121" s="1300" t="s">
        <v>1467</v>
      </c>
    </row>
    <row r="122" spans="1:7" x14ac:dyDescent="0.25">
      <c r="A122" s="1300">
        <v>1142</v>
      </c>
      <c r="B122" s="1300" t="s">
        <v>2157</v>
      </c>
      <c r="C122" s="1300" t="s">
        <v>2158</v>
      </c>
      <c r="D122" s="1300" t="s">
        <v>506</v>
      </c>
      <c r="E122" s="1300" t="s">
        <v>506</v>
      </c>
      <c r="F122" s="1300" t="s">
        <v>2159</v>
      </c>
      <c r="G122" s="1300" t="s">
        <v>1467</v>
      </c>
    </row>
    <row r="123" spans="1:7" x14ac:dyDescent="0.25">
      <c r="A123" s="1300">
        <v>1243</v>
      </c>
      <c r="B123" s="1300" t="s">
        <v>2052</v>
      </c>
      <c r="C123" s="1300" t="s">
        <v>1945</v>
      </c>
      <c r="D123" s="1300" t="s">
        <v>1187</v>
      </c>
      <c r="E123" s="1300" t="s">
        <v>1207</v>
      </c>
      <c r="F123" s="1300" t="s">
        <v>1207</v>
      </c>
      <c r="G123" s="1300" t="s">
        <v>1467</v>
      </c>
    </row>
    <row r="124" spans="1:7" x14ac:dyDescent="0.25">
      <c r="A124" s="1300">
        <v>1551</v>
      </c>
      <c r="B124" s="1300" t="s">
        <v>1215</v>
      </c>
      <c r="C124" s="1300"/>
      <c r="D124" s="1300" t="s">
        <v>1187</v>
      </c>
      <c r="E124" s="1300" t="s">
        <v>1187</v>
      </c>
      <c r="F124" s="1300" t="s">
        <v>1290</v>
      </c>
      <c r="G124" s="1300" t="s">
        <v>1467</v>
      </c>
    </row>
    <row r="125" spans="1:7" x14ac:dyDescent="0.25">
      <c r="A125" s="1300">
        <v>1553</v>
      </c>
      <c r="B125" s="1300" t="s">
        <v>1216</v>
      </c>
      <c r="C125" s="1300"/>
      <c r="D125" s="1300" t="s">
        <v>1187</v>
      </c>
      <c r="E125" s="1300" t="s">
        <v>1187</v>
      </c>
      <c r="F125" s="1300" t="s">
        <v>1194</v>
      </c>
      <c r="G125" s="1300" t="s">
        <v>1467</v>
      </c>
    </row>
    <row r="126" spans="1:7" x14ac:dyDescent="0.25">
      <c r="A126" s="1300">
        <v>1227</v>
      </c>
      <c r="B126" s="1300" t="s">
        <v>2053</v>
      </c>
      <c r="C126" s="1300" t="s">
        <v>1964</v>
      </c>
      <c r="D126" s="1300" t="s">
        <v>1187</v>
      </c>
      <c r="E126" s="1300" t="s">
        <v>1214</v>
      </c>
      <c r="F126" s="1300" t="s">
        <v>1386</v>
      </c>
      <c r="G126" s="1300" t="s">
        <v>1467</v>
      </c>
    </row>
    <row r="127" spans="1:7" x14ac:dyDescent="0.25">
      <c r="A127" s="1300">
        <v>1722</v>
      </c>
      <c r="B127" s="1300" t="s">
        <v>1436</v>
      </c>
      <c r="C127" s="1300"/>
      <c r="D127" s="1300" t="s">
        <v>506</v>
      </c>
      <c r="E127" s="1300" t="s">
        <v>506</v>
      </c>
      <c r="F127" s="1300" t="s">
        <v>1437</v>
      </c>
      <c r="G127" s="1300" t="s">
        <v>1467</v>
      </c>
    </row>
    <row r="128" spans="1:7" x14ac:dyDescent="0.25">
      <c r="A128" s="1300">
        <v>1908</v>
      </c>
      <c r="B128" s="1300" t="s">
        <v>1668</v>
      </c>
      <c r="C128" s="1300"/>
      <c r="D128" s="1300" t="s">
        <v>1187</v>
      </c>
      <c r="E128" s="1300" t="s">
        <v>1187</v>
      </c>
      <c r="F128" s="1300" t="s">
        <v>1227</v>
      </c>
      <c r="G128" s="1300" t="s">
        <v>1467</v>
      </c>
    </row>
    <row r="129" spans="1:7" x14ac:dyDescent="0.25">
      <c r="A129" s="1300">
        <v>1433</v>
      </c>
      <c r="B129" s="1300" t="s">
        <v>2054</v>
      </c>
      <c r="C129" s="1300" t="s">
        <v>2055</v>
      </c>
      <c r="D129" s="1300" t="s">
        <v>1187</v>
      </c>
      <c r="E129" s="1300" t="s">
        <v>1207</v>
      </c>
      <c r="F129" s="1300" t="s">
        <v>1207</v>
      </c>
      <c r="G129" s="1300" t="s">
        <v>1467</v>
      </c>
    </row>
    <row r="130" spans="1:7" x14ac:dyDescent="0.25">
      <c r="A130" s="1300">
        <v>841</v>
      </c>
      <c r="B130" s="1300" t="s">
        <v>2056</v>
      </c>
      <c r="C130" s="1300" t="s">
        <v>1957</v>
      </c>
      <c r="D130" s="1300" t="s">
        <v>1187</v>
      </c>
      <c r="E130" s="1300" t="s">
        <v>1187</v>
      </c>
      <c r="F130" s="1300" t="s">
        <v>1476</v>
      </c>
      <c r="G130" s="1300" t="s">
        <v>1467</v>
      </c>
    </row>
    <row r="131" spans="1:7" x14ac:dyDescent="0.25">
      <c r="A131" s="1300">
        <v>1769</v>
      </c>
      <c r="B131" s="1300" t="s">
        <v>2057</v>
      </c>
      <c r="C131" s="1300" t="s">
        <v>2058</v>
      </c>
      <c r="D131" s="1300" t="s">
        <v>1021</v>
      </c>
      <c r="E131" s="1300" t="s">
        <v>1201</v>
      </c>
      <c r="F131" s="1300" t="s">
        <v>2059</v>
      </c>
      <c r="G131" s="1300" t="s">
        <v>1467</v>
      </c>
    </row>
    <row r="132" spans="1:7" x14ac:dyDescent="0.25">
      <c r="A132" s="1300">
        <v>950</v>
      </c>
      <c r="B132" s="1300" t="s">
        <v>2060</v>
      </c>
      <c r="C132" s="1300" t="s">
        <v>1222</v>
      </c>
      <c r="D132" s="1300" t="s">
        <v>1187</v>
      </c>
      <c r="E132" s="1300" t="s">
        <v>1187</v>
      </c>
      <c r="F132" s="1300" t="s">
        <v>1290</v>
      </c>
      <c r="G132" s="1300" t="s">
        <v>1467</v>
      </c>
    </row>
    <row r="133" spans="1:7" x14ac:dyDescent="0.25">
      <c r="A133" s="1300">
        <v>1819</v>
      </c>
      <c r="B133" s="1300" t="s">
        <v>1426</v>
      </c>
      <c r="C133" s="1300"/>
      <c r="D133" s="1300"/>
      <c r="E133" s="1300"/>
      <c r="F133" s="1300"/>
      <c r="G133" s="1300" t="s">
        <v>1467</v>
      </c>
    </row>
    <row r="134" spans="1:7" x14ac:dyDescent="0.25">
      <c r="A134" s="1300">
        <v>1517</v>
      </c>
      <c r="B134" s="1300" t="s">
        <v>1217</v>
      </c>
      <c r="C134" s="1300" t="s">
        <v>1218</v>
      </c>
      <c r="D134" s="1300" t="s">
        <v>1187</v>
      </c>
      <c r="E134" s="1300" t="s">
        <v>1187</v>
      </c>
      <c r="F134" s="1300" t="s">
        <v>1290</v>
      </c>
      <c r="G134" s="1300" t="s">
        <v>1467</v>
      </c>
    </row>
    <row r="135" spans="1:7" x14ac:dyDescent="0.25">
      <c r="A135" s="1300">
        <v>1973</v>
      </c>
      <c r="B135" s="1300" t="s">
        <v>1989</v>
      </c>
      <c r="C135" s="1300"/>
      <c r="D135" s="1300" t="s">
        <v>1187</v>
      </c>
      <c r="E135" s="1300" t="s">
        <v>1187</v>
      </c>
      <c r="F135" s="1300" t="s">
        <v>1295</v>
      </c>
      <c r="G135" s="1300" t="s">
        <v>1467</v>
      </c>
    </row>
    <row r="136" spans="1:7" x14ac:dyDescent="0.25">
      <c r="A136" s="1300">
        <v>988</v>
      </c>
      <c r="B136" s="1300" t="s">
        <v>2061</v>
      </c>
      <c r="C136" s="1300" t="s">
        <v>2062</v>
      </c>
      <c r="D136" s="1300" t="s">
        <v>1187</v>
      </c>
      <c r="E136" s="1300" t="s">
        <v>1207</v>
      </c>
      <c r="F136" s="1300" t="s">
        <v>1207</v>
      </c>
      <c r="G136" s="1300" t="s">
        <v>1467</v>
      </c>
    </row>
    <row r="137" spans="1:7" x14ac:dyDescent="0.25">
      <c r="A137" s="1300">
        <v>772</v>
      </c>
      <c r="B137" s="1300" t="s">
        <v>2063</v>
      </c>
      <c r="C137" s="1300" t="s">
        <v>2064</v>
      </c>
      <c r="D137" s="1300" t="s">
        <v>1021</v>
      </c>
      <c r="E137" s="1300" t="s">
        <v>1201</v>
      </c>
      <c r="F137" s="1300" t="s">
        <v>1294</v>
      </c>
      <c r="G137" s="1300" t="s">
        <v>1467</v>
      </c>
    </row>
    <row r="138" spans="1:7" x14ac:dyDescent="0.25">
      <c r="A138" s="1300">
        <v>1745</v>
      </c>
      <c r="B138" s="1300" t="s">
        <v>1438</v>
      </c>
      <c r="C138" s="1300" t="s">
        <v>1439</v>
      </c>
      <c r="D138" s="1300" t="s">
        <v>1187</v>
      </c>
      <c r="E138" s="1300" t="s">
        <v>1187</v>
      </c>
      <c r="F138" s="1300" t="s">
        <v>1290</v>
      </c>
      <c r="G138" s="1300" t="s">
        <v>1467</v>
      </c>
    </row>
    <row r="139" spans="1:7" x14ac:dyDescent="0.25">
      <c r="A139" s="1300">
        <v>739</v>
      </c>
      <c r="B139" s="1300" t="s">
        <v>1219</v>
      </c>
      <c r="C139" s="1300" t="s">
        <v>1220</v>
      </c>
      <c r="D139" s="1300" t="s">
        <v>1187</v>
      </c>
      <c r="E139" s="1300" t="s">
        <v>1214</v>
      </c>
      <c r="F139" s="1300" t="s">
        <v>1300</v>
      </c>
      <c r="G139" s="1300" t="s">
        <v>1467</v>
      </c>
    </row>
    <row r="140" spans="1:7" x14ac:dyDescent="0.25">
      <c r="A140" s="1300">
        <v>645</v>
      </c>
      <c r="B140" s="1300" t="s">
        <v>2266</v>
      </c>
      <c r="C140" s="1300" t="s">
        <v>1313</v>
      </c>
      <c r="D140" s="1300" t="s">
        <v>1187</v>
      </c>
      <c r="E140" s="1300" t="s">
        <v>1187</v>
      </c>
      <c r="F140" s="1300" t="s">
        <v>1299</v>
      </c>
      <c r="G140" s="1300" t="s">
        <v>1467</v>
      </c>
    </row>
    <row r="141" spans="1:7" x14ac:dyDescent="0.25">
      <c r="A141" s="1300">
        <v>1134</v>
      </c>
      <c r="B141" s="1300" t="s">
        <v>2383</v>
      </c>
      <c r="C141" s="1300" t="s">
        <v>2384</v>
      </c>
      <c r="D141" s="1300" t="s">
        <v>1303</v>
      </c>
      <c r="E141" s="1300" t="s">
        <v>507</v>
      </c>
      <c r="F141" s="1300" t="s">
        <v>507</v>
      </c>
      <c r="G141" s="1300" t="s">
        <v>1467</v>
      </c>
    </row>
    <row r="142" spans="1:7" x14ac:dyDescent="0.25">
      <c r="A142" s="1300">
        <v>1744</v>
      </c>
      <c r="B142" s="1300" t="s">
        <v>1400</v>
      </c>
      <c r="C142" s="1300"/>
      <c r="D142" s="1300" t="s">
        <v>1187</v>
      </c>
      <c r="E142" s="1300" t="s">
        <v>1401</v>
      </c>
      <c r="F142" s="1300" t="s">
        <v>1402</v>
      </c>
      <c r="G142" s="1300" t="s">
        <v>1467</v>
      </c>
    </row>
    <row r="143" spans="1:7" x14ac:dyDescent="0.25">
      <c r="A143" s="1300">
        <v>1583</v>
      </c>
      <c r="B143" s="1300" t="s">
        <v>2267</v>
      </c>
      <c r="C143" s="1300" t="s">
        <v>2268</v>
      </c>
      <c r="D143" s="1300" t="s">
        <v>1187</v>
      </c>
      <c r="E143" s="1300" t="s">
        <v>1207</v>
      </c>
      <c r="F143" s="1300" t="s">
        <v>1207</v>
      </c>
      <c r="G143" s="1300" t="s">
        <v>1467</v>
      </c>
    </row>
    <row r="144" spans="1:7" x14ac:dyDescent="0.25">
      <c r="A144" s="1300">
        <v>2072</v>
      </c>
      <c r="B144" s="1300" t="s">
        <v>2269</v>
      </c>
      <c r="C144" s="1300"/>
      <c r="D144" s="1300" t="s">
        <v>1187</v>
      </c>
      <c r="E144" s="1300" t="s">
        <v>1187</v>
      </c>
      <c r="F144" s="1300" t="s">
        <v>1290</v>
      </c>
      <c r="G144" s="1300" t="s">
        <v>1467</v>
      </c>
    </row>
    <row r="145" spans="1:7" x14ac:dyDescent="0.25">
      <c r="A145" s="1300">
        <v>1343</v>
      </c>
      <c r="B145" s="1300" t="s">
        <v>1221</v>
      </c>
      <c r="C145" s="1300" t="s">
        <v>1222</v>
      </c>
      <c r="D145" s="1300" t="s">
        <v>1187</v>
      </c>
      <c r="E145" s="1300" t="s">
        <v>1187</v>
      </c>
      <c r="F145" s="1300" t="s">
        <v>1301</v>
      </c>
      <c r="G145" s="1300" t="s">
        <v>1467</v>
      </c>
    </row>
    <row r="146" spans="1:7" x14ac:dyDescent="0.25">
      <c r="A146" s="1300">
        <v>2051</v>
      </c>
      <c r="B146" s="1300" t="s">
        <v>2270</v>
      </c>
      <c r="C146" s="1300"/>
      <c r="D146" s="1300" t="s">
        <v>1187</v>
      </c>
      <c r="E146" s="1300" t="s">
        <v>1187</v>
      </c>
      <c r="F146" s="1300" t="s">
        <v>2044</v>
      </c>
      <c r="G146" s="1300" t="s">
        <v>1467</v>
      </c>
    </row>
    <row r="147" spans="1:7" x14ac:dyDescent="0.25">
      <c r="A147" s="1300">
        <v>1554</v>
      </c>
      <c r="B147" s="1300" t="s">
        <v>1223</v>
      </c>
      <c r="C147" s="1300"/>
      <c r="D147" s="1300" t="s">
        <v>1187</v>
      </c>
      <c r="E147" s="1300" t="s">
        <v>1187</v>
      </c>
      <c r="F147" s="1300" t="s">
        <v>1194</v>
      </c>
      <c r="G147" s="1300" t="s">
        <v>1467</v>
      </c>
    </row>
    <row r="148" spans="1:7" x14ac:dyDescent="0.25">
      <c r="A148" s="1300">
        <v>1610</v>
      </c>
      <c r="B148" s="1300" t="s">
        <v>1224</v>
      </c>
      <c r="C148" s="1300"/>
      <c r="D148" s="1300" t="s">
        <v>1187</v>
      </c>
      <c r="E148" s="1300" t="s">
        <v>1187</v>
      </c>
      <c r="F148" s="1300"/>
      <c r="G148" s="1300" t="s">
        <v>1467</v>
      </c>
    </row>
    <row r="149" spans="1:7" x14ac:dyDescent="0.25">
      <c r="A149" s="1300">
        <v>1795</v>
      </c>
      <c r="B149" s="1300" t="s">
        <v>1416</v>
      </c>
      <c r="C149" s="1300"/>
      <c r="D149" s="1300"/>
      <c r="E149" s="1300"/>
      <c r="F149" s="1300"/>
      <c r="G149" s="1300" t="s">
        <v>1467</v>
      </c>
    </row>
    <row r="150" spans="1:7" x14ac:dyDescent="0.25">
      <c r="A150" s="1300">
        <v>1875</v>
      </c>
      <c r="B150" s="1300" t="s">
        <v>1473</v>
      </c>
      <c r="C150" s="1300"/>
      <c r="D150" s="1300"/>
      <c r="E150" s="1300"/>
      <c r="F150" s="1300"/>
      <c r="G150" s="1300" t="s">
        <v>1467</v>
      </c>
    </row>
    <row r="151" spans="1:7" x14ac:dyDescent="0.25">
      <c r="A151" s="1300">
        <v>2159</v>
      </c>
      <c r="B151" s="1300" t="s">
        <v>2385</v>
      </c>
      <c r="C151" s="1300"/>
      <c r="D151" s="1300" t="s">
        <v>1187</v>
      </c>
      <c r="E151" s="1300" t="s">
        <v>1236</v>
      </c>
      <c r="F151" s="1300" t="s">
        <v>1311</v>
      </c>
      <c r="G151" s="1300" t="s">
        <v>1467</v>
      </c>
    </row>
    <row r="152" spans="1:7" x14ac:dyDescent="0.25">
      <c r="A152" s="1300">
        <v>1195</v>
      </c>
      <c r="B152" s="1300" t="s">
        <v>2386</v>
      </c>
      <c r="C152" s="1300" t="s">
        <v>1897</v>
      </c>
      <c r="D152" s="1300" t="s">
        <v>1303</v>
      </c>
      <c r="E152" s="1300" t="s">
        <v>1242</v>
      </c>
      <c r="F152" s="1300" t="s">
        <v>1320</v>
      </c>
      <c r="G152" s="1300" t="s">
        <v>1467</v>
      </c>
    </row>
    <row r="153" spans="1:7" x14ac:dyDescent="0.25">
      <c r="A153" s="1300">
        <v>1617</v>
      </c>
      <c r="B153" s="1300" t="s">
        <v>1225</v>
      </c>
      <c r="C153" s="1300" t="s">
        <v>1389</v>
      </c>
      <c r="D153" s="1300"/>
      <c r="E153" s="1300"/>
      <c r="F153" s="1300"/>
      <c r="G153" s="1300" t="s">
        <v>1467</v>
      </c>
    </row>
    <row r="154" spans="1:7" x14ac:dyDescent="0.25">
      <c r="A154" s="1300">
        <v>1536</v>
      </c>
      <c r="B154" s="1300" t="s">
        <v>1226</v>
      </c>
      <c r="C154" s="1300"/>
      <c r="D154" s="1300"/>
      <c r="E154" s="1300"/>
      <c r="F154" s="1300"/>
      <c r="G154" s="1300" t="s">
        <v>1467</v>
      </c>
    </row>
    <row r="155" spans="1:7" x14ac:dyDescent="0.25">
      <c r="A155" s="1300">
        <v>1535</v>
      </c>
      <c r="B155" s="1300" t="s">
        <v>1228</v>
      </c>
      <c r="C155" s="1300" t="s">
        <v>1387</v>
      </c>
      <c r="D155" s="1300"/>
      <c r="E155" s="1300"/>
      <c r="F155" s="1300"/>
      <c r="G155" s="1300" t="s">
        <v>1467</v>
      </c>
    </row>
    <row r="156" spans="1:7" x14ac:dyDescent="0.25">
      <c r="A156" s="1300">
        <v>1478</v>
      </c>
      <c r="B156" s="1300" t="s">
        <v>1302</v>
      </c>
      <c r="C156" s="1300"/>
      <c r="D156" s="1300"/>
      <c r="E156" s="1300"/>
      <c r="F156" s="1300"/>
      <c r="G156" s="1300" t="s">
        <v>1467</v>
      </c>
    </row>
    <row r="157" spans="1:7" x14ac:dyDescent="0.25">
      <c r="A157" s="1300">
        <v>1480</v>
      </c>
      <c r="B157" s="1300" t="s">
        <v>1229</v>
      </c>
      <c r="C157" s="1300"/>
      <c r="D157" s="1300"/>
      <c r="E157" s="1300"/>
      <c r="F157" s="1300"/>
      <c r="G157" s="1300" t="s">
        <v>1467</v>
      </c>
    </row>
    <row r="158" spans="1:7" x14ac:dyDescent="0.25">
      <c r="A158" s="1300">
        <v>1476</v>
      </c>
      <c r="B158" s="1300" t="s">
        <v>1230</v>
      </c>
      <c r="C158" s="1300"/>
      <c r="D158" s="1300"/>
      <c r="E158" s="1300"/>
      <c r="F158" s="1300"/>
      <c r="G158" s="1300" t="s">
        <v>1467</v>
      </c>
    </row>
    <row r="159" spans="1:7" x14ac:dyDescent="0.25">
      <c r="A159" s="1300">
        <v>1479</v>
      </c>
      <c r="B159" s="1300" t="s">
        <v>1231</v>
      </c>
      <c r="C159" s="1300"/>
      <c r="D159" s="1300"/>
      <c r="E159" s="1300"/>
      <c r="F159" s="1300"/>
      <c r="G159" s="1300" t="s">
        <v>1467</v>
      </c>
    </row>
    <row r="160" spans="1:7" x14ac:dyDescent="0.25">
      <c r="A160" s="1300">
        <v>1475</v>
      </c>
      <c r="B160" s="1300" t="s">
        <v>1232</v>
      </c>
      <c r="C160" s="1300"/>
      <c r="D160" s="1300"/>
      <c r="E160" s="1300"/>
      <c r="F160" s="1300"/>
      <c r="G160" s="1300" t="s">
        <v>1467</v>
      </c>
    </row>
    <row r="161" spans="1:7" x14ac:dyDescent="0.25">
      <c r="A161" s="1300">
        <v>1549</v>
      </c>
      <c r="B161" s="1300" t="s">
        <v>1233</v>
      </c>
      <c r="C161" s="1300" t="s">
        <v>1388</v>
      </c>
      <c r="D161" s="1300" t="s">
        <v>1303</v>
      </c>
      <c r="E161" s="1300" t="s">
        <v>851</v>
      </c>
      <c r="F161" s="1300" t="s">
        <v>1304</v>
      </c>
      <c r="G161" s="1300" t="s">
        <v>1467</v>
      </c>
    </row>
    <row r="162" spans="1:7" x14ac:dyDescent="0.25">
      <c r="A162" s="1300">
        <v>1958</v>
      </c>
      <c r="B162" s="1300" t="s">
        <v>1805</v>
      </c>
      <c r="C162" s="1300"/>
      <c r="D162" s="1300" t="s">
        <v>1303</v>
      </c>
      <c r="E162" s="1300" t="s">
        <v>507</v>
      </c>
      <c r="F162" s="1300" t="s">
        <v>1330</v>
      </c>
      <c r="G162" s="1300" t="s">
        <v>1467</v>
      </c>
    </row>
    <row r="163" spans="1:7" x14ac:dyDescent="0.25">
      <c r="A163" s="1300">
        <v>1918</v>
      </c>
      <c r="B163" s="1300" t="s">
        <v>1697</v>
      </c>
      <c r="C163" s="1300" t="s">
        <v>1698</v>
      </c>
      <c r="D163" s="1300" t="s">
        <v>1187</v>
      </c>
      <c r="E163" s="1300" t="s">
        <v>1236</v>
      </c>
      <c r="F163" s="1300" t="s">
        <v>1667</v>
      </c>
      <c r="G163" s="1300" t="s">
        <v>1467</v>
      </c>
    </row>
    <row r="164" spans="1:7" x14ac:dyDescent="0.25">
      <c r="A164" s="1300">
        <v>1530</v>
      </c>
      <c r="B164" s="1300" t="s">
        <v>1234</v>
      </c>
      <c r="C164" s="1300"/>
      <c r="D164" s="1300"/>
      <c r="E164" s="1300"/>
      <c r="F164" s="1300"/>
      <c r="G164" s="1300" t="s">
        <v>1467</v>
      </c>
    </row>
    <row r="165" spans="1:7" x14ac:dyDescent="0.25">
      <c r="A165" s="1300">
        <v>1903</v>
      </c>
      <c r="B165" s="1300" t="s">
        <v>1806</v>
      </c>
      <c r="C165" s="1300"/>
      <c r="D165" s="1300" t="s">
        <v>1187</v>
      </c>
      <c r="E165" s="1300" t="s">
        <v>1187</v>
      </c>
      <c r="F165" s="1300" t="s">
        <v>1323</v>
      </c>
      <c r="G165" s="1300" t="s">
        <v>1467</v>
      </c>
    </row>
    <row r="166" spans="1:7" x14ac:dyDescent="0.25">
      <c r="A166" s="1300">
        <v>2069</v>
      </c>
      <c r="B166" s="1300" t="s">
        <v>2271</v>
      </c>
      <c r="C166" s="1300"/>
      <c r="D166" s="1300" t="s">
        <v>1187</v>
      </c>
      <c r="E166" s="1300" t="s">
        <v>1187</v>
      </c>
      <c r="F166" s="1300" t="s">
        <v>1285</v>
      </c>
      <c r="G166" s="1300" t="s">
        <v>1467</v>
      </c>
    </row>
    <row r="167" spans="1:7" x14ac:dyDescent="0.25">
      <c r="A167" s="1300">
        <v>224</v>
      </c>
      <c r="B167" s="1300" t="s">
        <v>2272</v>
      </c>
      <c r="C167" s="1300" t="s">
        <v>2273</v>
      </c>
      <c r="D167" s="1300" t="s">
        <v>1303</v>
      </c>
      <c r="E167" s="1300" t="s">
        <v>1242</v>
      </c>
      <c r="F167" s="1300" t="s">
        <v>1320</v>
      </c>
      <c r="G167" s="1300" t="s">
        <v>1467</v>
      </c>
    </row>
    <row r="168" spans="1:7" x14ac:dyDescent="0.25">
      <c r="A168" s="1300">
        <v>2078</v>
      </c>
      <c r="B168" s="1300" t="s">
        <v>2274</v>
      </c>
      <c r="C168" s="1300"/>
      <c r="D168" s="1300" t="s">
        <v>1187</v>
      </c>
      <c r="E168" s="1300" t="s">
        <v>1236</v>
      </c>
      <c r="F168" s="1300" t="s">
        <v>1298</v>
      </c>
      <c r="G168" s="1300" t="s">
        <v>1467</v>
      </c>
    </row>
    <row r="169" spans="1:7" x14ac:dyDescent="0.25">
      <c r="A169" s="1300">
        <v>2094</v>
      </c>
      <c r="B169" s="1300" t="s">
        <v>2387</v>
      </c>
      <c r="C169" s="1300" t="s">
        <v>2388</v>
      </c>
      <c r="D169" s="1300" t="s">
        <v>1303</v>
      </c>
      <c r="E169" s="1300" t="s">
        <v>1242</v>
      </c>
      <c r="F169" s="1300" t="s">
        <v>1320</v>
      </c>
      <c r="G169" s="1300" t="s">
        <v>1467</v>
      </c>
    </row>
    <row r="170" spans="1:7" x14ac:dyDescent="0.25">
      <c r="A170" s="1300">
        <v>888</v>
      </c>
      <c r="B170" s="1300" t="s">
        <v>2387</v>
      </c>
      <c r="C170" s="1300" t="s">
        <v>2389</v>
      </c>
      <c r="D170" s="1300" t="s">
        <v>1303</v>
      </c>
      <c r="E170" s="1300" t="s">
        <v>1242</v>
      </c>
      <c r="F170" s="1300" t="s">
        <v>1320</v>
      </c>
      <c r="G170" s="1300" t="s">
        <v>1467</v>
      </c>
    </row>
    <row r="171" spans="1:7" x14ac:dyDescent="0.25">
      <c r="A171" s="1300">
        <v>957</v>
      </c>
      <c r="B171" s="1300" t="s">
        <v>2390</v>
      </c>
      <c r="C171" s="1300" t="s">
        <v>2389</v>
      </c>
      <c r="D171" s="1300" t="s">
        <v>1303</v>
      </c>
      <c r="E171" s="1300" t="s">
        <v>1242</v>
      </c>
      <c r="F171" s="1300" t="s">
        <v>1320</v>
      </c>
      <c r="G171" s="1300" t="s">
        <v>1467</v>
      </c>
    </row>
    <row r="172" spans="1:7" x14ac:dyDescent="0.25">
      <c r="A172" s="1300">
        <v>1821</v>
      </c>
      <c r="B172" s="1300" t="s">
        <v>1440</v>
      </c>
      <c r="C172" s="1300" t="s">
        <v>1441</v>
      </c>
      <c r="D172" s="1300" t="s">
        <v>1187</v>
      </c>
      <c r="E172" s="1300" t="s">
        <v>1186</v>
      </c>
      <c r="F172" s="1300" t="s">
        <v>1310</v>
      </c>
      <c r="G172" s="1300" t="s">
        <v>1467</v>
      </c>
    </row>
    <row r="173" spans="1:7" x14ac:dyDescent="0.25">
      <c r="A173" s="1300">
        <v>1673</v>
      </c>
      <c r="B173" s="1300" t="s">
        <v>1442</v>
      </c>
      <c r="C173" s="1300"/>
      <c r="D173" s="1300" t="s">
        <v>1021</v>
      </c>
      <c r="E173" s="1300" t="s">
        <v>513</v>
      </c>
      <c r="F173" s="1300" t="s">
        <v>1443</v>
      </c>
      <c r="G173" s="1300" t="s">
        <v>1467</v>
      </c>
    </row>
    <row r="174" spans="1:7" x14ac:dyDescent="0.25">
      <c r="A174" s="1300">
        <v>1330</v>
      </c>
      <c r="B174" s="1300" t="s">
        <v>2391</v>
      </c>
      <c r="C174" s="1300" t="s">
        <v>1862</v>
      </c>
      <c r="D174" s="1300" t="s">
        <v>1187</v>
      </c>
      <c r="E174" s="1300" t="s">
        <v>1186</v>
      </c>
      <c r="F174" s="1300" t="s">
        <v>1310</v>
      </c>
      <c r="G174" s="1300" t="s">
        <v>1467</v>
      </c>
    </row>
    <row r="175" spans="1:7" x14ac:dyDescent="0.25">
      <c r="A175" s="1300">
        <v>897</v>
      </c>
      <c r="B175" s="1300" t="s">
        <v>2275</v>
      </c>
      <c r="C175" s="1300" t="s">
        <v>2276</v>
      </c>
      <c r="D175" s="1300" t="s">
        <v>873</v>
      </c>
      <c r="E175" s="1300" t="s">
        <v>512</v>
      </c>
      <c r="F175" s="1300" t="s">
        <v>2277</v>
      </c>
      <c r="G175" s="1300" t="s">
        <v>1467</v>
      </c>
    </row>
    <row r="176" spans="1:7" x14ac:dyDescent="0.25">
      <c r="A176" s="1300">
        <v>1730</v>
      </c>
      <c r="B176" s="1300" t="s">
        <v>2278</v>
      </c>
      <c r="C176" s="1300" t="s">
        <v>2279</v>
      </c>
      <c r="D176" s="1300" t="s">
        <v>1311</v>
      </c>
      <c r="E176" s="1300" t="s">
        <v>504</v>
      </c>
      <c r="F176" s="1300" t="s">
        <v>504</v>
      </c>
      <c r="G176" s="1300" t="s">
        <v>1467</v>
      </c>
    </row>
    <row r="177" spans="1:7" x14ac:dyDescent="0.25">
      <c r="A177" s="1300">
        <v>1189</v>
      </c>
      <c r="B177" s="1300" t="s">
        <v>2392</v>
      </c>
      <c r="C177" s="1300" t="s">
        <v>2393</v>
      </c>
      <c r="D177" s="1300" t="s">
        <v>1303</v>
      </c>
      <c r="E177" s="1300" t="s">
        <v>507</v>
      </c>
      <c r="F177" s="1300" t="s">
        <v>1330</v>
      </c>
      <c r="G177" s="1300" t="s">
        <v>1467</v>
      </c>
    </row>
    <row r="178" spans="1:7" x14ac:dyDescent="0.25">
      <c r="A178" s="1300">
        <v>1116</v>
      </c>
      <c r="B178" s="1300" t="s">
        <v>2394</v>
      </c>
      <c r="C178" s="1300" t="s">
        <v>2395</v>
      </c>
      <c r="D178" s="1300" t="s">
        <v>1303</v>
      </c>
      <c r="E178" s="1300" t="s">
        <v>507</v>
      </c>
      <c r="F178" s="1300" t="s">
        <v>1330</v>
      </c>
      <c r="G178" s="1300" t="s">
        <v>1467</v>
      </c>
    </row>
    <row r="179" spans="1:7" x14ac:dyDescent="0.25">
      <c r="A179" s="1300">
        <v>1762</v>
      </c>
      <c r="B179" s="1300" t="s">
        <v>1324</v>
      </c>
      <c r="C179" s="1300"/>
      <c r="D179" s="1300" t="s">
        <v>1303</v>
      </c>
      <c r="E179" s="1300" t="s">
        <v>507</v>
      </c>
      <c r="F179" s="1300"/>
      <c r="G179" s="1300" t="s">
        <v>1467</v>
      </c>
    </row>
    <row r="180" spans="1:7" x14ac:dyDescent="0.25">
      <c r="A180" s="1300">
        <v>2065</v>
      </c>
      <c r="B180" s="1300" t="s">
        <v>2280</v>
      </c>
      <c r="C180" s="1300"/>
      <c r="D180" s="1300" t="s">
        <v>1021</v>
      </c>
      <c r="E180" s="1300" t="s">
        <v>513</v>
      </c>
      <c r="F180" s="1300" t="s">
        <v>1443</v>
      </c>
      <c r="G180" s="1300" t="s">
        <v>1467</v>
      </c>
    </row>
    <row r="181" spans="1:7" x14ac:dyDescent="0.25">
      <c r="A181" s="1300">
        <v>1180</v>
      </c>
      <c r="B181" s="1300" t="s">
        <v>2396</v>
      </c>
      <c r="C181" s="1300" t="s">
        <v>2397</v>
      </c>
      <c r="D181" s="1300" t="s">
        <v>1303</v>
      </c>
      <c r="E181" s="1300" t="s">
        <v>507</v>
      </c>
      <c r="F181" s="1300" t="s">
        <v>507</v>
      </c>
      <c r="G181" s="1300" t="s">
        <v>1467</v>
      </c>
    </row>
    <row r="182" spans="1:7" x14ac:dyDescent="0.25">
      <c r="A182" s="1300">
        <v>1836</v>
      </c>
      <c r="B182" s="1300" t="s">
        <v>1444</v>
      </c>
      <c r="C182" s="1300" t="s">
        <v>1445</v>
      </c>
      <c r="D182" s="1300" t="s">
        <v>1311</v>
      </c>
      <c r="E182" s="1300" t="s">
        <v>504</v>
      </c>
      <c r="F182" s="1300" t="s">
        <v>1312</v>
      </c>
      <c r="G182" s="1300" t="s">
        <v>1467</v>
      </c>
    </row>
    <row r="183" spans="1:7" x14ac:dyDescent="0.25">
      <c r="A183" s="1300">
        <v>799</v>
      </c>
      <c r="B183" s="1300" t="s">
        <v>2281</v>
      </c>
      <c r="C183" s="1300" t="s">
        <v>2282</v>
      </c>
      <c r="D183" s="1300" t="s">
        <v>1311</v>
      </c>
      <c r="E183" s="1300" t="s">
        <v>504</v>
      </c>
      <c r="F183" s="1300" t="s">
        <v>1312</v>
      </c>
      <c r="G183" s="1300" t="s">
        <v>1467</v>
      </c>
    </row>
    <row r="184" spans="1:7" x14ac:dyDescent="0.25">
      <c r="A184" s="1300">
        <v>1173</v>
      </c>
      <c r="B184" s="1300" t="s">
        <v>2398</v>
      </c>
      <c r="C184" s="1300" t="s">
        <v>1381</v>
      </c>
      <c r="D184" s="1300" t="s">
        <v>1303</v>
      </c>
      <c r="E184" s="1300" t="s">
        <v>1242</v>
      </c>
      <c r="F184" s="1300" t="s">
        <v>1242</v>
      </c>
      <c r="G184" s="1300" t="s">
        <v>1467</v>
      </c>
    </row>
    <row r="185" spans="1:7" x14ac:dyDescent="0.25">
      <c r="A185" s="1300">
        <v>1754</v>
      </c>
      <c r="B185" s="1300" t="s">
        <v>1477</v>
      </c>
      <c r="C185" s="1300"/>
      <c r="D185" s="1300" t="s">
        <v>506</v>
      </c>
      <c r="E185" s="1300" t="s">
        <v>506</v>
      </c>
      <c r="F185" s="1300" t="s">
        <v>1478</v>
      </c>
      <c r="G185" s="1300" t="s">
        <v>1467</v>
      </c>
    </row>
    <row r="186" spans="1:7" x14ac:dyDescent="0.25">
      <c r="A186" s="1300">
        <v>1749</v>
      </c>
      <c r="B186" s="1300" t="s">
        <v>1403</v>
      </c>
      <c r="C186" s="1300"/>
      <c r="D186" s="1300" t="s">
        <v>1187</v>
      </c>
      <c r="E186" s="1300" t="s">
        <v>1186</v>
      </c>
      <c r="F186" s="1300" t="s">
        <v>1186</v>
      </c>
      <c r="G186" s="1300" t="s">
        <v>1467</v>
      </c>
    </row>
    <row r="187" spans="1:7" x14ac:dyDescent="0.25">
      <c r="A187" s="1300">
        <v>1393</v>
      </c>
      <c r="B187" s="1300" t="s">
        <v>2399</v>
      </c>
      <c r="C187" s="1300" t="s">
        <v>2400</v>
      </c>
      <c r="D187" s="1300" t="s">
        <v>1303</v>
      </c>
      <c r="E187" s="1300" t="s">
        <v>1242</v>
      </c>
      <c r="F187" s="1300" t="s">
        <v>2329</v>
      </c>
      <c r="G187" s="1300" t="s">
        <v>1467</v>
      </c>
    </row>
    <row r="188" spans="1:7" x14ac:dyDescent="0.25">
      <c r="A188" s="1300">
        <v>1931</v>
      </c>
      <c r="B188" s="1300" t="s">
        <v>1690</v>
      </c>
      <c r="C188" s="1300"/>
      <c r="D188" s="1300" t="s">
        <v>1187</v>
      </c>
      <c r="E188" s="1300" t="s">
        <v>1236</v>
      </c>
      <c r="F188" s="1300"/>
      <c r="G188" s="1300" t="s">
        <v>1467</v>
      </c>
    </row>
    <row r="189" spans="1:7" x14ac:dyDescent="0.25">
      <c r="A189" s="1300">
        <v>948</v>
      </c>
      <c r="B189" s="1300" t="s">
        <v>2401</v>
      </c>
      <c r="C189" s="1300" t="s">
        <v>1852</v>
      </c>
      <c r="D189" s="1300" t="s">
        <v>1303</v>
      </c>
      <c r="E189" s="1300" t="s">
        <v>2311</v>
      </c>
      <c r="F189" s="1300" t="s">
        <v>2311</v>
      </c>
      <c r="G189" s="1300" t="s">
        <v>1467</v>
      </c>
    </row>
    <row r="190" spans="1:7" x14ac:dyDescent="0.25">
      <c r="A190" s="1300">
        <v>1725</v>
      </c>
      <c r="B190" s="1300" t="s">
        <v>1395</v>
      </c>
      <c r="C190" s="1300"/>
      <c r="D190" s="1300" t="s">
        <v>873</v>
      </c>
      <c r="E190" s="1300" t="s">
        <v>512</v>
      </c>
      <c r="F190" s="1300" t="s">
        <v>1396</v>
      </c>
      <c r="G190" s="1300" t="s">
        <v>1467</v>
      </c>
    </row>
    <row r="191" spans="1:7" x14ac:dyDescent="0.25">
      <c r="A191" s="1300">
        <v>1599</v>
      </c>
      <c r="B191" s="1300" t="s">
        <v>2283</v>
      </c>
      <c r="C191" s="1300" t="s">
        <v>2284</v>
      </c>
      <c r="D191" s="1300" t="s">
        <v>1303</v>
      </c>
      <c r="E191" s="1300" t="s">
        <v>507</v>
      </c>
      <c r="F191" s="1300" t="s">
        <v>507</v>
      </c>
      <c r="G191" s="1300" t="s">
        <v>1467</v>
      </c>
    </row>
    <row r="192" spans="1:7" x14ac:dyDescent="0.25">
      <c r="A192" s="1300">
        <v>1552</v>
      </c>
      <c r="B192" s="1300" t="s">
        <v>1235</v>
      </c>
      <c r="C192" s="1300"/>
      <c r="D192" s="1300" t="s">
        <v>1187</v>
      </c>
      <c r="E192" s="1300" t="s">
        <v>1236</v>
      </c>
      <c r="F192" s="1300" t="s">
        <v>1305</v>
      </c>
      <c r="G192" s="1300" t="s">
        <v>1467</v>
      </c>
    </row>
    <row r="193" spans="1:7" x14ac:dyDescent="0.25">
      <c r="A193" s="1300">
        <v>1822</v>
      </c>
      <c r="B193" s="1300" t="s">
        <v>1446</v>
      </c>
      <c r="C193" s="1300" t="s">
        <v>1441</v>
      </c>
      <c r="D193" s="1300" t="s">
        <v>1187</v>
      </c>
      <c r="E193" s="1300" t="s">
        <v>1236</v>
      </c>
      <c r="F193" s="1300" t="s">
        <v>1447</v>
      </c>
      <c r="G193" s="1300" t="s">
        <v>1467</v>
      </c>
    </row>
    <row r="194" spans="1:7" x14ac:dyDescent="0.25">
      <c r="A194" s="1300">
        <v>723</v>
      </c>
      <c r="B194" s="1300" t="s">
        <v>2285</v>
      </c>
      <c r="C194" s="1300" t="s">
        <v>1313</v>
      </c>
      <c r="D194" s="1300" t="s">
        <v>1311</v>
      </c>
      <c r="E194" s="1300" t="s">
        <v>504</v>
      </c>
      <c r="F194" s="1300" t="s">
        <v>2248</v>
      </c>
      <c r="G194" s="1300" t="s">
        <v>1467</v>
      </c>
    </row>
    <row r="195" spans="1:7" x14ac:dyDescent="0.25">
      <c r="A195" s="1300">
        <v>456</v>
      </c>
      <c r="B195" s="1300" t="s">
        <v>2286</v>
      </c>
      <c r="C195" s="1300" t="s">
        <v>1898</v>
      </c>
      <c r="D195" s="1300" t="s">
        <v>1307</v>
      </c>
      <c r="E195" s="1300" t="s">
        <v>1308</v>
      </c>
      <c r="F195" s="1300" t="s">
        <v>2088</v>
      </c>
      <c r="G195" s="1300" t="s">
        <v>1467</v>
      </c>
    </row>
    <row r="196" spans="1:7" x14ac:dyDescent="0.25">
      <c r="A196" s="1300">
        <v>1946</v>
      </c>
      <c r="B196" s="1300" t="s">
        <v>1807</v>
      </c>
      <c r="C196" s="1300"/>
      <c r="D196" s="1300" t="s">
        <v>1021</v>
      </c>
      <c r="E196" s="1300" t="s">
        <v>1413</v>
      </c>
      <c r="F196" s="1300" t="s">
        <v>1413</v>
      </c>
      <c r="G196" s="1300" t="s">
        <v>1467</v>
      </c>
    </row>
    <row r="197" spans="1:7" x14ac:dyDescent="0.25">
      <c r="A197" s="1300">
        <v>370</v>
      </c>
      <c r="B197" s="1300" t="s">
        <v>2287</v>
      </c>
      <c r="C197" s="1300" t="s">
        <v>2288</v>
      </c>
      <c r="D197" s="1300" t="s">
        <v>1303</v>
      </c>
      <c r="E197" s="1300" t="s">
        <v>507</v>
      </c>
      <c r="F197" s="1300" t="s">
        <v>1330</v>
      </c>
      <c r="G197" s="1300" t="s">
        <v>1467</v>
      </c>
    </row>
    <row r="198" spans="1:7" x14ac:dyDescent="0.25">
      <c r="A198" s="1300">
        <v>1751</v>
      </c>
      <c r="B198" s="1300" t="s">
        <v>1306</v>
      </c>
      <c r="C198" s="1300"/>
      <c r="D198" s="1300" t="s">
        <v>1307</v>
      </c>
      <c r="E198" s="1300" t="s">
        <v>1308</v>
      </c>
      <c r="F198" s="1300"/>
      <c r="G198" s="1300" t="s">
        <v>1467</v>
      </c>
    </row>
    <row r="199" spans="1:7" x14ac:dyDescent="0.25">
      <c r="A199" s="1300">
        <v>2142</v>
      </c>
      <c r="B199" s="1300" t="s">
        <v>2402</v>
      </c>
      <c r="C199" s="1300"/>
      <c r="D199" s="1300" t="s">
        <v>1021</v>
      </c>
      <c r="E199" s="1300" t="s">
        <v>1413</v>
      </c>
      <c r="F199" s="1300" t="s">
        <v>1414</v>
      </c>
      <c r="G199" s="1300" t="s">
        <v>1467</v>
      </c>
    </row>
    <row r="200" spans="1:7" x14ac:dyDescent="0.25">
      <c r="A200" s="1300">
        <v>1882</v>
      </c>
      <c r="B200" s="1300" t="s">
        <v>1479</v>
      </c>
      <c r="C200" s="1300"/>
      <c r="D200" s="1300" t="s">
        <v>1187</v>
      </c>
      <c r="E200" s="1300" t="s">
        <v>1186</v>
      </c>
      <c r="F200" s="1300" t="s">
        <v>1186</v>
      </c>
      <c r="G200" s="1300" t="s">
        <v>1467</v>
      </c>
    </row>
    <row r="201" spans="1:7" x14ac:dyDescent="0.25">
      <c r="A201" s="1300">
        <v>2160</v>
      </c>
      <c r="B201" s="1300" t="s">
        <v>2403</v>
      </c>
      <c r="C201" s="1300"/>
      <c r="D201" s="1300" t="s">
        <v>1303</v>
      </c>
      <c r="E201" s="1300" t="s">
        <v>1327</v>
      </c>
      <c r="F201" s="1300" t="s">
        <v>2404</v>
      </c>
      <c r="G201" s="1300" t="s">
        <v>1467</v>
      </c>
    </row>
    <row r="202" spans="1:7" x14ac:dyDescent="0.25">
      <c r="A202" s="1300">
        <v>1998</v>
      </c>
      <c r="B202" s="1300" t="s">
        <v>2065</v>
      </c>
      <c r="C202" s="1300"/>
      <c r="D202" s="1300" t="s">
        <v>1187</v>
      </c>
      <c r="E202" s="1300" t="s">
        <v>1187</v>
      </c>
      <c r="F202" s="1300" t="s">
        <v>1194</v>
      </c>
      <c r="G202" s="1300" t="s">
        <v>1467</v>
      </c>
    </row>
    <row r="203" spans="1:7" x14ac:dyDescent="0.25">
      <c r="A203" s="1300">
        <v>1524</v>
      </c>
      <c r="B203" s="1300" t="s">
        <v>1237</v>
      </c>
      <c r="C203" s="1300" t="s">
        <v>1238</v>
      </c>
      <c r="D203" s="1300" t="s">
        <v>873</v>
      </c>
      <c r="E203" s="1300" t="s">
        <v>512</v>
      </c>
      <c r="F203" s="1300" t="s">
        <v>1309</v>
      </c>
      <c r="G203" s="1300" t="s">
        <v>1467</v>
      </c>
    </row>
    <row r="204" spans="1:7" x14ac:dyDescent="0.25">
      <c r="A204" s="1300">
        <v>1017</v>
      </c>
      <c r="B204" s="1300" t="s">
        <v>2405</v>
      </c>
      <c r="C204" s="1300" t="s">
        <v>2406</v>
      </c>
      <c r="D204" s="1300" t="s">
        <v>1187</v>
      </c>
      <c r="E204" s="1300" t="s">
        <v>1186</v>
      </c>
      <c r="F204" s="1300" t="s">
        <v>1693</v>
      </c>
      <c r="G204" s="1300" t="s">
        <v>1467</v>
      </c>
    </row>
    <row r="205" spans="1:7" x14ac:dyDescent="0.25">
      <c r="A205" s="1300">
        <v>507</v>
      </c>
      <c r="B205" s="1300" t="s">
        <v>2289</v>
      </c>
      <c r="C205" s="1300" t="s">
        <v>1313</v>
      </c>
      <c r="D205" s="1300" t="s">
        <v>1307</v>
      </c>
      <c r="E205" s="1300" t="s">
        <v>514</v>
      </c>
      <c r="F205" s="1300" t="s">
        <v>514</v>
      </c>
      <c r="G205" s="1300" t="s">
        <v>1467</v>
      </c>
    </row>
    <row r="206" spans="1:7" x14ac:dyDescent="0.25">
      <c r="A206" s="1300">
        <v>1678</v>
      </c>
      <c r="B206" s="1300" t="s">
        <v>2066</v>
      </c>
      <c r="C206" s="1300" t="s">
        <v>2067</v>
      </c>
      <c r="D206" s="1300" t="s">
        <v>1187</v>
      </c>
      <c r="E206" s="1300" t="s">
        <v>1214</v>
      </c>
      <c r="F206" s="1300" t="s">
        <v>1425</v>
      </c>
      <c r="G206" s="1300" t="s">
        <v>1467</v>
      </c>
    </row>
    <row r="207" spans="1:7" x14ac:dyDescent="0.25">
      <c r="A207" s="1300">
        <v>1781</v>
      </c>
      <c r="B207" s="1300" t="s">
        <v>1415</v>
      </c>
      <c r="C207" s="1300"/>
      <c r="D207" s="1300" t="s">
        <v>1187</v>
      </c>
      <c r="E207" s="1300" t="s">
        <v>1236</v>
      </c>
      <c r="F207" s="1300" t="s">
        <v>1311</v>
      </c>
      <c r="G207" s="1300" t="s">
        <v>1467</v>
      </c>
    </row>
    <row r="208" spans="1:7" x14ac:dyDescent="0.25">
      <c r="A208" s="1300">
        <v>316</v>
      </c>
      <c r="B208" s="1300" t="s">
        <v>2407</v>
      </c>
      <c r="C208" s="1300" t="s">
        <v>2408</v>
      </c>
      <c r="D208" s="1300" t="s">
        <v>1311</v>
      </c>
      <c r="E208" s="1300" t="s">
        <v>504</v>
      </c>
      <c r="F208" s="1300" t="s">
        <v>504</v>
      </c>
      <c r="G208" s="1300" t="s">
        <v>1467</v>
      </c>
    </row>
    <row r="209" spans="1:7" x14ac:dyDescent="0.25">
      <c r="A209" s="1300">
        <v>869</v>
      </c>
      <c r="B209" s="1300" t="s">
        <v>2290</v>
      </c>
      <c r="C209" s="1300" t="s">
        <v>2282</v>
      </c>
      <c r="D209" s="1300" t="s">
        <v>873</v>
      </c>
      <c r="E209" s="1300" t="s">
        <v>512</v>
      </c>
      <c r="F209" s="1300" t="s">
        <v>2277</v>
      </c>
      <c r="G209" s="1300" t="s">
        <v>1467</v>
      </c>
    </row>
    <row r="210" spans="1:7" x14ac:dyDescent="0.25">
      <c r="A210" s="1300">
        <v>666</v>
      </c>
      <c r="B210" s="1300" t="s">
        <v>2160</v>
      </c>
      <c r="C210" s="1300" t="s">
        <v>1313</v>
      </c>
      <c r="D210" s="1300" t="s">
        <v>1187</v>
      </c>
      <c r="E210" s="1300" t="s">
        <v>1236</v>
      </c>
      <c r="F210" s="1300" t="s">
        <v>1463</v>
      </c>
      <c r="G210" s="1300" t="s">
        <v>1467</v>
      </c>
    </row>
    <row r="211" spans="1:7" x14ac:dyDescent="0.25">
      <c r="A211" s="1300">
        <v>1832</v>
      </c>
      <c r="B211" s="1300" t="s">
        <v>1429</v>
      </c>
      <c r="C211" s="1300" t="s">
        <v>1430</v>
      </c>
      <c r="D211" s="1300" t="s">
        <v>1187</v>
      </c>
      <c r="E211" s="1300" t="s">
        <v>1207</v>
      </c>
      <c r="F211" s="1300"/>
      <c r="G211" s="1300" t="s">
        <v>1467</v>
      </c>
    </row>
    <row r="212" spans="1:7" x14ac:dyDescent="0.25">
      <c r="A212" s="1300">
        <v>2001</v>
      </c>
      <c r="B212" s="1300" t="s">
        <v>2068</v>
      </c>
      <c r="C212" s="1300"/>
      <c r="D212" s="1300" t="s">
        <v>1187</v>
      </c>
      <c r="E212" s="1300" t="s">
        <v>1186</v>
      </c>
      <c r="F212" s="1300" t="s">
        <v>1398</v>
      </c>
      <c r="G212" s="1300" t="s">
        <v>1467</v>
      </c>
    </row>
    <row r="213" spans="1:7" x14ac:dyDescent="0.25">
      <c r="A213" s="1300">
        <v>1624</v>
      </c>
      <c r="B213" s="1300" t="s">
        <v>1239</v>
      </c>
      <c r="C213" s="1300" t="s">
        <v>1240</v>
      </c>
      <c r="D213" s="1300" t="s">
        <v>1187</v>
      </c>
      <c r="E213" s="1300" t="s">
        <v>1186</v>
      </c>
      <c r="F213" s="1300" t="s">
        <v>1310</v>
      </c>
      <c r="G213" s="1300" t="s">
        <v>1467</v>
      </c>
    </row>
    <row r="214" spans="1:7" x14ac:dyDescent="0.25">
      <c r="A214" s="1300">
        <v>1800</v>
      </c>
      <c r="B214" s="1300" t="s">
        <v>1420</v>
      </c>
      <c r="C214" s="1300" t="s">
        <v>1421</v>
      </c>
      <c r="D214" s="1300" t="s">
        <v>873</v>
      </c>
      <c r="E214" s="1300" t="s">
        <v>1422</v>
      </c>
      <c r="F214" s="1300" t="s">
        <v>1422</v>
      </c>
      <c r="G214" s="1300" t="s">
        <v>1467</v>
      </c>
    </row>
    <row r="215" spans="1:7" x14ac:dyDescent="0.25">
      <c r="A215" s="1300">
        <v>1331</v>
      </c>
      <c r="B215" s="1300" t="s">
        <v>2409</v>
      </c>
      <c r="C215" s="1300" t="s">
        <v>2410</v>
      </c>
      <c r="D215" s="1300" t="s">
        <v>1303</v>
      </c>
      <c r="E215" s="1300" t="s">
        <v>507</v>
      </c>
      <c r="F215" s="1300" t="s">
        <v>507</v>
      </c>
      <c r="G215" s="1300" t="s">
        <v>1467</v>
      </c>
    </row>
    <row r="216" spans="1:7" x14ac:dyDescent="0.25">
      <c r="A216" s="1300">
        <v>1444</v>
      </c>
      <c r="B216" s="1300" t="s">
        <v>2291</v>
      </c>
      <c r="C216" s="1300" t="s">
        <v>2292</v>
      </c>
      <c r="D216" s="1300" t="s">
        <v>1303</v>
      </c>
      <c r="E216" s="1300" t="s">
        <v>1242</v>
      </c>
      <c r="F216" s="1300" t="s">
        <v>2293</v>
      </c>
      <c r="G216" s="1300" t="s">
        <v>1467</v>
      </c>
    </row>
    <row r="217" spans="1:7" x14ac:dyDescent="0.25">
      <c r="A217" s="1300">
        <v>1985</v>
      </c>
      <c r="B217" s="1300" t="s">
        <v>2069</v>
      </c>
      <c r="C217" s="1300"/>
      <c r="D217" s="1300" t="s">
        <v>1311</v>
      </c>
      <c r="E217" s="1300" t="s">
        <v>504</v>
      </c>
      <c r="F217" s="1300" t="s">
        <v>1312</v>
      </c>
      <c r="G217" s="1300" t="s">
        <v>1467</v>
      </c>
    </row>
    <row r="218" spans="1:7" x14ac:dyDescent="0.25">
      <c r="A218" s="1300">
        <v>1981</v>
      </c>
      <c r="B218" s="1300" t="s">
        <v>2070</v>
      </c>
      <c r="C218" s="1300"/>
      <c r="D218" s="1300" t="s">
        <v>873</v>
      </c>
      <c r="E218" s="1300" t="s">
        <v>512</v>
      </c>
      <c r="F218" s="1300" t="s">
        <v>2071</v>
      </c>
      <c r="G218" s="1300" t="s">
        <v>1467</v>
      </c>
    </row>
    <row r="219" spans="1:7" x14ac:dyDescent="0.25">
      <c r="A219" s="1300">
        <v>2105</v>
      </c>
      <c r="B219" s="1300" t="s">
        <v>2411</v>
      </c>
      <c r="C219" s="1300"/>
      <c r="D219" s="1300" t="s">
        <v>1187</v>
      </c>
      <c r="E219" s="1300" t="s">
        <v>1236</v>
      </c>
      <c r="F219" s="1300" t="s">
        <v>1311</v>
      </c>
      <c r="G219" s="1300" t="s">
        <v>1467</v>
      </c>
    </row>
    <row r="220" spans="1:7" x14ac:dyDescent="0.25">
      <c r="A220" s="1300">
        <v>1088</v>
      </c>
      <c r="B220" s="1300" t="s">
        <v>2412</v>
      </c>
      <c r="C220" s="1300" t="s">
        <v>2413</v>
      </c>
      <c r="D220" s="1300" t="s">
        <v>1303</v>
      </c>
      <c r="E220" s="1300" t="s">
        <v>507</v>
      </c>
      <c r="F220" s="1300" t="s">
        <v>1303</v>
      </c>
      <c r="G220" s="1300" t="s">
        <v>1467</v>
      </c>
    </row>
    <row r="221" spans="1:7" x14ac:dyDescent="0.25">
      <c r="A221" s="1300">
        <v>513</v>
      </c>
      <c r="B221" s="1300" t="s">
        <v>2072</v>
      </c>
      <c r="C221" s="1300" t="s">
        <v>2073</v>
      </c>
      <c r="D221" s="1300" t="s">
        <v>1187</v>
      </c>
      <c r="E221" s="1300" t="s">
        <v>1207</v>
      </c>
      <c r="F221" s="1300" t="s">
        <v>1207</v>
      </c>
      <c r="G221" s="1300" t="s">
        <v>1467</v>
      </c>
    </row>
    <row r="222" spans="1:7" x14ac:dyDescent="0.25">
      <c r="A222" s="1300">
        <v>1577</v>
      </c>
      <c r="B222" s="1300" t="s">
        <v>1241</v>
      </c>
      <c r="C222" s="1300"/>
      <c r="D222" s="1300" t="s">
        <v>1303</v>
      </c>
      <c r="E222" s="1300" t="s">
        <v>1242</v>
      </c>
      <c r="F222" s="1300" t="s">
        <v>1242</v>
      </c>
      <c r="G222" s="1300" t="s">
        <v>1467</v>
      </c>
    </row>
    <row r="223" spans="1:7" x14ac:dyDescent="0.25">
      <c r="A223" s="1300">
        <v>1533</v>
      </c>
      <c r="B223" s="1300" t="s">
        <v>1243</v>
      </c>
      <c r="C223" s="1300"/>
      <c r="D223" s="1300" t="s">
        <v>1187</v>
      </c>
      <c r="E223" s="1300" t="s">
        <v>1236</v>
      </c>
      <c r="F223" s="1300" t="s">
        <v>1305</v>
      </c>
      <c r="G223" s="1300" t="s">
        <v>1467</v>
      </c>
    </row>
    <row r="224" spans="1:7" x14ac:dyDescent="0.25">
      <c r="A224" s="1300">
        <v>1679</v>
      </c>
      <c r="B224" s="1300" t="s">
        <v>1391</v>
      </c>
      <c r="C224" s="1300"/>
      <c r="D224" s="1300" t="s">
        <v>1021</v>
      </c>
      <c r="E224" s="1300" t="s">
        <v>513</v>
      </c>
      <c r="F224" s="1300" t="s">
        <v>513</v>
      </c>
      <c r="G224" s="1300" t="s">
        <v>1467</v>
      </c>
    </row>
    <row r="225" spans="1:7" x14ac:dyDescent="0.25">
      <c r="A225" s="1300">
        <v>1079</v>
      </c>
      <c r="B225" s="1300" t="s">
        <v>2414</v>
      </c>
      <c r="C225" s="1300" t="s">
        <v>2415</v>
      </c>
      <c r="D225" s="1300" t="s">
        <v>1303</v>
      </c>
      <c r="E225" s="1300" t="s">
        <v>507</v>
      </c>
      <c r="F225" s="1300" t="s">
        <v>507</v>
      </c>
      <c r="G225" s="1300" t="s">
        <v>1467</v>
      </c>
    </row>
    <row r="226" spans="1:7" x14ac:dyDescent="0.25">
      <c r="A226" s="1300">
        <v>1756</v>
      </c>
      <c r="B226" s="1300" t="s">
        <v>1325</v>
      </c>
      <c r="C226" s="1300"/>
      <c r="D226" s="1300" t="s">
        <v>1303</v>
      </c>
      <c r="E226" s="1300" t="s">
        <v>1242</v>
      </c>
      <c r="F226" s="1300" t="s">
        <v>1242</v>
      </c>
      <c r="G226" s="1300" t="s">
        <v>1467</v>
      </c>
    </row>
    <row r="227" spans="1:7" x14ac:dyDescent="0.25">
      <c r="A227" s="1300">
        <v>1989</v>
      </c>
      <c r="B227" s="1300" t="s">
        <v>2074</v>
      </c>
      <c r="C227" s="1300"/>
      <c r="D227" s="1300" t="s">
        <v>1311</v>
      </c>
      <c r="E227" s="1300" t="s">
        <v>504</v>
      </c>
      <c r="F227" s="1300" t="s">
        <v>2075</v>
      </c>
      <c r="G227" s="1300" t="s">
        <v>1467</v>
      </c>
    </row>
    <row r="228" spans="1:7" x14ac:dyDescent="0.25">
      <c r="A228" s="1300">
        <v>1648</v>
      </c>
      <c r="B228" s="1300" t="s">
        <v>1244</v>
      </c>
      <c r="C228" s="1300"/>
      <c r="D228" s="1300" t="s">
        <v>1311</v>
      </c>
      <c r="E228" s="1300" t="s">
        <v>504</v>
      </c>
      <c r="F228" s="1300" t="s">
        <v>1312</v>
      </c>
      <c r="G228" s="1300" t="s">
        <v>1467</v>
      </c>
    </row>
    <row r="229" spans="1:7" x14ac:dyDescent="0.25">
      <c r="A229" s="1300">
        <v>1777</v>
      </c>
      <c r="B229" s="1300" t="s">
        <v>1411</v>
      </c>
      <c r="C229" s="1300" t="s">
        <v>1412</v>
      </c>
      <c r="D229" s="1300" t="s">
        <v>1021</v>
      </c>
      <c r="E229" s="1300" t="s">
        <v>1413</v>
      </c>
      <c r="F229" s="1300" t="s">
        <v>1414</v>
      </c>
      <c r="G229" s="1300" t="s">
        <v>1467</v>
      </c>
    </row>
    <row r="230" spans="1:7" x14ac:dyDescent="0.25">
      <c r="A230" s="1300">
        <v>2047</v>
      </c>
      <c r="B230" s="1300" t="s">
        <v>2294</v>
      </c>
      <c r="C230" s="1300"/>
      <c r="D230" s="1300" t="s">
        <v>1187</v>
      </c>
      <c r="E230" s="1300" t="s">
        <v>1236</v>
      </c>
      <c r="F230" s="1300" t="s">
        <v>2295</v>
      </c>
      <c r="G230" s="1300" t="s">
        <v>1467</v>
      </c>
    </row>
    <row r="231" spans="1:7" x14ac:dyDescent="0.25">
      <c r="A231" s="1300">
        <v>2003</v>
      </c>
      <c r="B231" s="1300" t="s">
        <v>2076</v>
      </c>
      <c r="C231" s="1300"/>
      <c r="D231" s="1300" t="s">
        <v>1021</v>
      </c>
      <c r="E231" s="1300" t="s">
        <v>1201</v>
      </c>
      <c r="F231" s="1300" t="s">
        <v>1290</v>
      </c>
      <c r="G231" s="1300" t="s">
        <v>1467</v>
      </c>
    </row>
    <row r="232" spans="1:7" x14ac:dyDescent="0.25">
      <c r="A232" s="1300">
        <v>967</v>
      </c>
      <c r="B232" s="1300" t="s">
        <v>1828</v>
      </c>
      <c r="C232" s="1300" t="s">
        <v>1364</v>
      </c>
      <c r="D232" s="1300" t="s">
        <v>1187</v>
      </c>
      <c r="E232" s="1300" t="s">
        <v>1236</v>
      </c>
      <c r="F232" s="1300" t="s">
        <v>1305</v>
      </c>
      <c r="G232" s="1300" t="s">
        <v>1467</v>
      </c>
    </row>
    <row r="233" spans="1:7" x14ac:dyDescent="0.25">
      <c r="A233" s="1300">
        <v>1501</v>
      </c>
      <c r="B233" s="1300" t="s">
        <v>1245</v>
      </c>
      <c r="C233" s="1300"/>
      <c r="D233" s="1300"/>
      <c r="E233" s="1300"/>
      <c r="F233" s="1300"/>
      <c r="G233" s="1300" t="s">
        <v>1467</v>
      </c>
    </row>
    <row r="234" spans="1:7" x14ac:dyDescent="0.25">
      <c r="A234" s="1300">
        <v>615</v>
      </c>
      <c r="B234" s="1300" t="s">
        <v>2296</v>
      </c>
      <c r="C234" s="1300" t="s">
        <v>1313</v>
      </c>
      <c r="D234" s="1300" t="s">
        <v>873</v>
      </c>
      <c r="E234" s="1300" t="s">
        <v>873</v>
      </c>
      <c r="F234" s="1300" t="s">
        <v>1316</v>
      </c>
      <c r="G234" s="1300" t="s">
        <v>1467</v>
      </c>
    </row>
    <row r="235" spans="1:7" x14ac:dyDescent="0.25">
      <c r="A235" s="1300">
        <v>1757</v>
      </c>
      <c r="B235" s="1300" t="s">
        <v>1326</v>
      </c>
      <c r="C235" s="1300"/>
      <c r="D235" s="1300" t="s">
        <v>1303</v>
      </c>
      <c r="E235" s="1300" t="s">
        <v>1327</v>
      </c>
      <c r="F235" s="1300" t="s">
        <v>1327</v>
      </c>
      <c r="G235" s="1300" t="s">
        <v>1467</v>
      </c>
    </row>
    <row r="236" spans="1:7" x14ac:dyDescent="0.25">
      <c r="A236" s="1300">
        <v>536</v>
      </c>
      <c r="B236" s="1300" t="s">
        <v>2416</v>
      </c>
      <c r="C236" s="1300" t="s">
        <v>1901</v>
      </c>
      <c r="D236" s="1300" t="s">
        <v>1303</v>
      </c>
      <c r="E236" s="1300" t="s">
        <v>1242</v>
      </c>
      <c r="F236" s="1300" t="s">
        <v>1242</v>
      </c>
      <c r="G236" s="1300" t="s">
        <v>1467</v>
      </c>
    </row>
    <row r="237" spans="1:7" x14ac:dyDescent="0.25">
      <c r="A237" s="1300">
        <v>1983</v>
      </c>
      <c r="B237" s="1300" t="s">
        <v>2077</v>
      </c>
      <c r="C237" s="1300"/>
      <c r="D237" s="1300" t="s">
        <v>1187</v>
      </c>
      <c r="E237" s="1300" t="s">
        <v>1255</v>
      </c>
      <c r="F237" s="1300" t="s">
        <v>1266</v>
      </c>
      <c r="G237" s="1300" t="s">
        <v>1467</v>
      </c>
    </row>
    <row r="238" spans="1:7" x14ac:dyDescent="0.25">
      <c r="A238" s="1300">
        <v>2101</v>
      </c>
      <c r="B238" s="1300" t="s">
        <v>2417</v>
      </c>
      <c r="C238" s="1300"/>
      <c r="D238" s="1300" t="s">
        <v>1307</v>
      </c>
      <c r="E238" s="1300" t="s">
        <v>1308</v>
      </c>
      <c r="F238" s="1300" t="s">
        <v>2088</v>
      </c>
      <c r="G238" s="1300" t="s">
        <v>1467</v>
      </c>
    </row>
    <row r="239" spans="1:7" x14ac:dyDescent="0.25">
      <c r="A239" s="1300">
        <v>976</v>
      </c>
      <c r="B239" s="1300" t="s">
        <v>2418</v>
      </c>
      <c r="C239" s="1300" t="s">
        <v>1852</v>
      </c>
      <c r="D239" s="1300" t="s">
        <v>1303</v>
      </c>
      <c r="E239" s="1300" t="s">
        <v>507</v>
      </c>
      <c r="F239" s="1300" t="s">
        <v>507</v>
      </c>
      <c r="G239" s="1300" t="s">
        <v>1467</v>
      </c>
    </row>
    <row r="240" spans="1:7" x14ac:dyDescent="0.25">
      <c r="A240" s="1300">
        <v>2037</v>
      </c>
      <c r="B240" s="1300" t="s">
        <v>2419</v>
      </c>
      <c r="C240" s="1300"/>
      <c r="D240" s="1300" t="s">
        <v>1187</v>
      </c>
      <c r="E240" s="1300" t="s">
        <v>1236</v>
      </c>
      <c r="F240" s="1300" t="s">
        <v>1298</v>
      </c>
      <c r="G240" s="1300" t="s">
        <v>1467</v>
      </c>
    </row>
    <row r="241" spans="1:7" x14ac:dyDescent="0.25">
      <c r="A241" s="1300">
        <v>901</v>
      </c>
      <c r="B241" s="1300" t="s">
        <v>2420</v>
      </c>
      <c r="C241" s="1300" t="s">
        <v>1691</v>
      </c>
      <c r="D241" s="1300" t="s">
        <v>1303</v>
      </c>
      <c r="E241" s="1300" t="s">
        <v>1242</v>
      </c>
      <c r="F241" s="1300" t="s">
        <v>1242</v>
      </c>
      <c r="G241" s="1300" t="s">
        <v>1467</v>
      </c>
    </row>
    <row r="242" spans="1:7" x14ac:dyDescent="0.25">
      <c r="A242" s="1300">
        <v>1807</v>
      </c>
      <c r="B242" s="1300" t="s">
        <v>1448</v>
      </c>
      <c r="C242" s="1300" t="s">
        <v>1449</v>
      </c>
      <c r="D242" s="1300" t="s">
        <v>1187</v>
      </c>
      <c r="E242" s="1300" t="s">
        <v>1255</v>
      </c>
      <c r="F242" s="1300" t="s">
        <v>1255</v>
      </c>
      <c r="G242" s="1300" t="s">
        <v>1467</v>
      </c>
    </row>
    <row r="243" spans="1:7" x14ac:dyDescent="0.25">
      <c r="A243" s="1300">
        <v>1026</v>
      </c>
      <c r="B243" s="1300" t="s">
        <v>2421</v>
      </c>
      <c r="C243" s="1300" t="s">
        <v>2422</v>
      </c>
      <c r="D243" s="1300" t="s">
        <v>1303</v>
      </c>
      <c r="E243" s="1300" t="s">
        <v>1242</v>
      </c>
      <c r="F243" s="1300" t="s">
        <v>2423</v>
      </c>
      <c r="G243" s="1300" t="s">
        <v>1467</v>
      </c>
    </row>
    <row r="244" spans="1:7" x14ac:dyDescent="0.25">
      <c r="A244" s="1300">
        <v>1741</v>
      </c>
      <c r="B244" s="1300" t="s">
        <v>2297</v>
      </c>
      <c r="C244" s="1300" t="s">
        <v>2298</v>
      </c>
      <c r="D244" s="1300" t="s">
        <v>873</v>
      </c>
      <c r="E244" s="1300" t="s">
        <v>512</v>
      </c>
      <c r="F244" s="1300" t="s">
        <v>2299</v>
      </c>
      <c r="G244" s="1300" t="s">
        <v>1467</v>
      </c>
    </row>
    <row r="245" spans="1:7" x14ac:dyDescent="0.25">
      <c r="A245" s="1300">
        <v>625</v>
      </c>
      <c r="B245" s="1300" t="s">
        <v>1246</v>
      </c>
      <c r="C245" s="1300" t="s">
        <v>1313</v>
      </c>
      <c r="D245" s="1300" t="s">
        <v>1187</v>
      </c>
      <c r="E245" s="1300" t="s">
        <v>1187</v>
      </c>
      <c r="F245" s="1300" t="s">
        <v>1314</v>
      </c>
      <c r="G245" s="1300" t="s">
        <v>1467</v>
      </c>
    </row>
    <row r="246" spans="1:7" x14ac:dyDescent="0.25">
      <c r="A246" s="1300">
        <v>590</v>
      </c>
      <c r="B246" s="1300" t="s">
        <v>2424</v>
      </c>
      <c r="C246" s="1300" t="s">
        <v>1379</v>
      </c>
      <c r="D246" s="1300" t="s">
        <v>1303</v>
      </c>
      <c r="E246" s="1300" t="s">
        <v>1242</v>
      </c>
      <c r="F246" s="1300" t="s">
        <v>1242</v>
      </c>
      <c r="G246" s="1300" t="s">
        <v>1467</v>
      </c>
    </row>
    <row r="247" spans="1:7" x14ac:dyDescent="0.25">
      <c r="A247" s="1300">
        <v>1540</v>
      </c>
      <c r="B247" s="1300" t="s">
        <v>1247</v>
      </c>
      <c r="C247" s="1300"/>
      <c r="D247" s="1300" t="s">
        <v>1187</v>
      </c>
      <c r="E247" s="1300" t="s">
        <v>1236</v>
      </c>
      <c r="F247" s="1300" t="s">
        <v>1315</v>
      </c>
      <c r="G247" s="1300" t="s">
        <v>1467</v>
      </c>
    </row>
    <row r="248" spans="1:7" x14ac:dyDescent="0.25">
      <c r="A248" s="1300">
        <v>1746</v>
      </c>
      <c r="B248" s="1300" t="s">
        <v>2300</v>
      </c>
      <c r="C248" s="1300"/>
      <c r="D248" s="1300" t="s">
        <v>1187</v>
      </c>
      <c r="E248" s="1300" t="s">
        <v>1236</v>
      </c>
      <c r="F248" s="1300" t="s">
        <v>1311</v>
      </c>
      <c r="G248" s="1300" t="s">
        <v>1467</v>
      </c>
    </row>
    <row r="249" spans="1:7" x14ac:dyDescent="0.25">
      <c r="A249" s="1300">
        <v>1260</v>
      </c>
      <c r="B249" s="1300" t="s">
        <v>1328</v>
      </c>
      <c r="C249" s="1300" t="s">
        <v>1329</v>
      </c>
      <c r="D249" s="1300" t="s">
        <v>1303</v>
      </c>
      <c r="E249" s="1300" t="s">
        <v>507</v>
      </c>
      <c r="F249" s="1300" t="s">
        <v>1330</v>
      </c>
      <c r="G249" s="1300" t="s">
        <v>1467</v>
      </c>
    </row>
    <row r="250" spans="1:7" x14ac:dyDescent="0.25">
      <c r="A250" s="1300">
        <v>1556</v>
      </c>
      <c r="B250" s="1300" t="s">
        <v>1248</v>
      </c>
      <c r="C250" s="1300"/>
      <c r="D250" s="1300" t="s">
        <v>873</v>
      </c>
      <c r="E250" s="1300" t="s">
        <v>873</v>
      </c>
      <c r="F250" s="1300" t="s">
        <v>1316</v>
      </c>
      <c r="G250" s="1300" t="s">
        <v>1467</v>
      </c>
    </row>
    <row r="251" spans="1:7" x14ac:dyDescent="0.25">
      <c r="A251" s="1300">
        <v>1787</v>
      </c>
      <c r="B251" s="1300" t="s">
        <v>2425</v>
      </c>
      <c r="C251" s="1300" t="s">
        <v>2426</v>
      </c>
      <c r="D251" s="1300" t="s">
        <v>1303</v>
      </c>
      <c r="E251" s="1300" t="s">
        <v>1242</v>
      </c>
      <c r="F251" s="1300" t="s">
        <v>2423</v>
      </c>
      <c r="G251" s="1300" t="s">
        <v>1467</v>
      </c>
    </row>
    <row r="252" spans="1:7" x14ac:dyDescent="0.25">
      <c r="A252" s="1300">
        <v>1982</v>
      </c>
      <c r="B252" s="1300" t="s">
        <v>2078</v>
      </c>
      <c r="C252" s="1300"/>
      <c r="D252" s="1300" t="s">
        <v>873</v>
      </c>
      <c r="E252" s="1300" t="s">
        <v>1422</v>
      </c>
      <c r="F252" s="1300" t="s">
        <v>2079</v>
      </c>
      <c r="G252" s="1300" t="s">
        <v>1467</v>
      </c>
    </row>
    <row r="253" spans="1:7" x14ac:dyDescent="0.25">
      <c r="A253" s="1300">
        <v>1847</v>
      </c>
      <c r="B253" s="1300" t="s">
        <v>2080</v>
      </c>
      <c r="C253" s="1300" t="s">
        <v>2081</v>
      </c>
      <c r="D253" s="1300" t="s">
        <v>1311</v>
      </c>
      <c r="E253" s="1300" t="s">
        <v>504</v>
      </c>
      <c r="F253" s="1300" t="s">
        <v>2075</v>
      </c>
      <c r="G253" s="1300" t="s">
        <v>1467</v>
      </c>
    </row>
    <row r="254" spans="1:7" x14ac:dyDescent="0.25">
      <c r="A254" s="1300">
        <v>1580</v>
      </c>
      <c r="B254" s="1300" t="s">
        <v>1249</v>
      </c>
      <c r="C254" s="1300"/>
      <c r="D254" s="1300" t="s">
        <v>1187</v>
      </c>
      <c r="E254" s="1300" t="s">
        <v>1186</v>
      </c>
      <c r="F254" s="1300" t="s">
        <v>1317</v>
      </c>
      <c r="G254" s="1300" t="s">
        <v>1467</v>
      </c>
    </row>
    <row r="255" spans="1:7" x14ac:dyDescent="0.25">
      <c r="A255" s="1300">
        <v>1013</v>
      </c>
      <c r="B255" s="1300" t="s">
        <v>2427</v>
      </c>
      <c r="C255" s="1300" t="s">
        <v>2428</v>
      </c>
      <c r="D255" s="1300" t="s">
        <v>1303</v>
      </c>
      <c r="E255" s="1300" t="s">
        <v>1242</v>
      </c>
      <c r="F255" s="1300" t="s">
        <v>1242</v>
      </c>
      <c r="G255" s="1300" t="s">
        <v>1467</v>
      </c>
    </row>
    <row r="256" spans="1:7" x14ac:dyDescent="0.25">
      <c r="A256" s="1300">
        <v>519</v>
      </c>
      <c r="B256" s="1300" t="s">
        <v>1318</v>
      </c>
      <c r="C256" s="1300" t="s">
        <v>1319</v>
      </c>
      <c r="D256" s="1300" t="s">
        <v>1307</v>
      </c>
      <c r="E256" s="1300" t="s">
        <v>514</v>
      </c>
      <c r="F256" s="1300" t="s">
        <v>514</v>
      </c>
      <c r="G256" s="1300" t="s">
        <v>1467</v>
      </c>
    </row>
    <row r="257" spans="1:7" x14ac:dyDescent="0.25">
      <c r="A257" s="1300">
        <v>2106</v>
      </c>
      <c r="B257" s="1300" t="s">
        <v>2429</v>
      </c>
      <c r="C257" s="1300"/>
      <c r="D257" s="1300" t="s">
        <v>1187</v>
      </c>
      <c r="E257" s="1300" t="s">
        <v>1187</v>
      </c>
      <c r="F257" s="1300" t="s">
        <v>1285</v>
      </c>
      <c r="G257" s="1300" t="s">
        <v>1467</v>
      </c>
    </row>
    <row r="258" spans="1:7" x14ac:dyDescent="0.25">
      <c r="A258" s="1300">
        <v>2064</v>
      </c>
      <c r="B258" s="1300" t="s">
        <v>2301</v>
      </c>
      <c r="C258" s="1300"/>
      <c r="D258" s="1300" t="s">
        <v>1187</v>
      </c>
      <c r="E258" s="1300" t="s">
        <v>1187</v>
      </c>
      <c r="F258" s="1300" t="s">
        <v>1285</v>
      </c>
      <c r="G258" s="1300" t="s">
        <v>1467</v>
      </c>
    </row>
    <row r="259" spans="1:7" x14ac:dyDescent="0.25">
      <c r="A259" s="1300">
        <v>1761</v>
      </c>
      <c r="B259" s="1300" t="s">
        <v>1331</v>
      </c>
      <c r="C259" s="1300"/>
      <c r="D259" s="1300" t="s">
        <v>1303</v>
      </c>
      <c r="E259" s="1300" t="s">
        <v>507</v>
      </c>
      <c r="F259" s="1300"/>
      <c r="G259" s="1300" t="s">
        <v>1467</v>
      </c>
    </row>
    <row r="260" spans="1:7" x14ac:dyDescent="0.25">
      <c r="A260" s="1300">
        <v>2054</v>
      </c>
      <c r="B260" s="1300" t="s">
        <v>2302</v>
      </c>
      <c r="C260" s="1300"/>
      <c r="D260" s="1300" t="s">
        <v>1187</v>
      </c>
      <c r="E260" s="1300" t="s">
        <v>1236</v>
      </c>
      <c r="F260" s="1300" t="s">
        <v>2162</v>
      </c>
      <c r="G260" s="1300" t="s">
        <v>1467</v>
      </c>
    </row>
    <row r="261" spans="1:7" x14ac:dyDescent="0.25">
      <c r="A261" s="1300">
        <v>1612</v>
      </c>
      <c r="B261" s="1300" t="s">
        <v>2161</v>
      </c>
      <c r="C261" s="1300" t="s">
        <v>1974</v>
      </c>
      <c r="D261" s="1300" t="s">
        <v>1021</v>
      </c>
      <c r="E261" s="1300" t="s">
        <v>513</v>
      </c>
      <c r="F261" s="1300" t="s">
        <v>2162</v>
      </c>
      <c r="G261" s="1300" t="s">
        <v>1467</v>
      </c>
    </row>
    <row r="262" spans="1:7" x14ac:dyDescent="0.25">
      <c r="A262" s="1300">
        <v>1708</v>
      </c>
      <c r="B262" s="1300" t="s">
        <v>2430</v>
      </c>
      <c r="C262" s="1300" t="s">
        <v>1393</v>
      </c>
      <c r="D262" s="1300" t="s">
        <v>1303</v>
      </c>
      <c r="E262" s="1300" t="s">
        <v>507</v>
      </c>
      <c r="F262" s="1300" t="s">
        <v>1394</v>
      </c>
      <c r="G262" s="1300" t="s">
        <v>1467</v>
      </c>
    </row>
    <row r="263" spans="1:7" x14ac:dyDescent="0.25">
      <c r="A263" s="1300">
        <v>1828</v>
      </c>
      <c r="B263" s="1300" t="s">
        <v>1427</v>
      </c>
      <c r="C263" s="1300"/>
      <c r="D263" s="1300"/>
      <c r="E263" s="1300"/>
      <c r="F263" s="1300"/>
      <c r="G263" s="1300" t="s">
        <v>1467</v>
      </c>
    </row>
    <row r="264" spans="1:7" x14ac:dyDescent="0.25">
      <c r="A264" s="1300">
        <v>2089</v>
      </c>
      <c r="B264" s="1300" t="s">
        <v>2303</v>
      </c>
      <c r="C264" s="1300"/>
      <c r="D264" s="1300" t="s">
        <v>1311</v>
      </c>
      <c r="E264" s="1300" t="s">
        <v>504</v>
      </c>
      <c r="F264" s="1300" t="s">
        <v>504</v>
      </c>
      <c r="G264" s="1300" t="s">
        <v>1467</v>
      </c>
    </row>
    <row r="265" spans="1:7" x14ac:dyDescent="0.25">
      <c r="A265" s="1300">
        <v>1184</v>
      </c>
      <c r="B265" s="1300" t="s">
        <v>2431</v>
      </c>
      <c r="C265" s="1300" t="s">
        <v>2432</v>
      </c>
      <c r="D265" s="1300" t="s">
        <v>1307</v>
      </c>
      <c r="E265" s="1300" t="s">
        <v>514</v>
      </c>
      <c r="F265" s="1300" t="s">
        <v>514</v>
      </c>
      <c r="G265" s="1300" t="s">
        <v>1467</v>
      </c>
    </row>
    <row r="266" spans="1:7" x14ac:dyDescent="0.25">
      <c r="A266" s="1300">
        <v>1729</v>
      </c>
      <c r="B266" s="1300" t="s">
        <v>1397</v>
      </c>
      <c r="C266" s="1300" t="s">
        <v>510</v>
      </c>
      <c r="D266" s="1300" t="s">
        <v>1187</v>
      </c>
      <c r="E266" s="1300" t="s">
        <v>1186</v>
      </c>
      <c r="F266" s="1300" t="s">
        <v>1398</v>
      </c>
      <c r="G266" s="1300" t="s">
        <v>1467</v>
      </c>
    </row>
    <row r="267" spans="1:7" x14ac:dyDescent="0.25">
      <c r="A267" s="1300">
        <v>1497</v>
      </c>
      <c r="B267" s="1300" t="s">
        <v>1250</v>
      </c>
      <c r="C267" s="1300"/>
      <c r="D267" s="1300" t="s">
        <v>1307</v>
      </c>
      <c r="E267" s="1300" t="s">
        <v>514</v>
      </c>
      <c r="F267" s="1300" t="s">
        <v>1320</v>
      </c>
      <c r="G267" s="1300" t="s">
        <v>1467</v>
      </c>
    </row>
    <row r="268" spans="1:7" x14ac:dyDescent="0.25">
      <c r="A268" s="1300">
        <v>1170</v>
      </c>
      <c r="B268" s="1300" t="s">
        <v>2304</v>
      </c>
      <c r="C268" s="1300" t="s">
        <v>1841</v>
      </c>
      <c r="D268" s="1300" t="s">
        <v>1303</v>
      </c>
      <c r="E268" s="1300" t="s">
        <v>507</v>
      </c>
      <c r="F268" s="1300" t="s">
        <v>507</v>
      </c>
      <c r="G268" s="1300" t="s">
        <v>1467</v>
      </c>
    </row>
    <row r="269" spans="1:7" x14ac:dyDescent="0.25">
      <c r="A269" s="1300">
        <v>1834</v>
      </c>
      <c r="B269" s="1300" t="s">
        <v>1450</v>
      </c>
      <c r="C269" s="1300" t="s">
        <v>1451</v>
      </c>
      <c r="D269" s="1300" t="s">
        <v>1187</v>
      </c>
      <c r="E269" s="1300" t="s">
        <v>1187</v>
      </c>
      <c r="F269" s="1300" t="s">
        <v>1285</v>
      </c>
      <c r="G269" s="1300" t="s">
        <v>1467</v>
      </c>
    </row>
    <row r="270" spans="1:7" x14ac:dyDescent="0.25">
      <c r="A270" s="1300">
        <v>1541</v>
      </c>
      <c r="B270" s="1300" t="s">
        <v>1251</v>
      </c>
      <c r="C270" s="1300" t="s">
        <v>1441</v>
      </c>
      <c r="D270" s="1300" t="s">
        <v>1187</v>
      </c>
      <c r="E270" s="1300" t="s">
        <v>1186</v>
      </c>
      <c r="F270" s="1300" t="s">
        <v>1310</v>
      </c>
      <c r="G270" s="1300" t="s">
        <v>1467</v>
      </c>
    </row>
    <row r="271" spans="1:7" x14ac:dyDescent="0.25">
      <c r="A271" s="1300">
        <v>1768</v>
      </c>
      <c r="B271" s="1300" t="s">
        <v>1410</v>
      </c>
      <c r="C271" s="1300"/>
      <c r="D271" s="1300" t="s">
        <v>1021</v>
      </c>
      <c r="E271" s="1300" t="s">
        <v>513</v>
      </c>
      <c r="F271" s="1300" t="s">
        <v>513</v>
      </c>
      <c r="G271" s="1300" t="s">
        <v>1467</v>
      </c>
    </row>
    <row r="272" spans="1:7" x14ac:dyDescent="0.25">
      <c r="A272" s="1300">
        <v>538</v>
      </c>
      <c r="B272" s="1300" t="s">
        <v>2433</v>
      </c>
      <c r="C272" s="1300" t="s">
        <v>1852</v>
      </c>
      <c r="D272" s="1300" t="s">
        <v>1303</v>
      </c>
      <c r="E272" s="1300" t="s">
        <v>1242</v>
      </c>
      <c r="F272" s="1300" t="s">
        <v>1242</v>
      </c>
      <c r="G272" s="1300" t="s">
        <v>1467</v>
      </c>
    </row>
    <row r="273" spans="1:7" x14ac:dyDescent="0.25">
      <c r="A273" s="1300">
        <v>1250</v>
      </c>
      <c r="B273" s="1300" t="s">
        <v>2434</v>
      </c>
      <c r="C273" s="1300" t="s">
        <v>2435</v>
      </c>
      <c r="D273" s="1300" t="s">
        <v>1303</v>
      </c>
      <c r="E273" s="1300" t="s">
        <v>507</v>
      </c>
      <c r="F273" s="1300" t="s">
        <v>1330</v>
      </c>
      <c r="G273" s="1300" t="s">
        <v>1467</v>
      </c>
    </row>
    <row r="274" spans="1:7" x14ac:dyDescent="0.25">
      <c r="A274" s="1300">
        <v>1846</v>
      </c>
      <c r="B274" s="1300" t="s">
        <v>1481</v>
      </c>
      <c r="C274" s="1300" t="s">
        <v>1482</v>
      </c>
      <c r="D274" s="1300" t="s">
        <v>1311</v>
      </c>
      <c r="E274" s="1300" t="s">
        <v>504</v>
      </c>
      <c r="F274" s="1300" t="s">
        <v>1312</v>
      </c>
      <c r="G274" s="1300" t="s">
        <v>1467</v>
      </c>
    </row>
    <row r="275" spans="1:7" x14ac:dyDescent="0.25">
      <c r="A275" s="1300">
        <v>1974</v>
      </c>
      <c r="B275" s="1300" t="s">
        <v>2082</v>
      </c>
      <c r="C275" s="1300"/>
      <c r="D275" s="1300" t="s">
        <v>1187</v>
      </c>
      <c r="E275" s="1300" t="s">
        <v>1186</v>
      </c>
      <c r="F275" s="1300" t="s">
        <v>1398</v>
      </c>
      <c r="G275" s="1300" t="s">
        <v>1467</v>
      </c>
    </row>
    <row r="276" spans="1:7" x14ac:dyDescent="0.25">
      <c r="A276" s="1300">
        <v>1332</v>
      </c>
      <c r="B276" s="1300" t="s">
        <v>2436</v>
      </c>
      <c r="C276" s="1300" t="s">
        <v>2415</v>
      </c>
      <c r="D276" s="1300" t="s">
        <v>1303</v>
      </c>
      <c r="E276" s="1300" t="s">
        <v>507</v>
      </c>
      <c r="F276" s="1300" t="s">
        <v>1394</v>
      </c>
      <c r="G276" s="1300" t="s">
        <v>1467</v>
      </c>
    </row>
    <row r="277" spans="1:7" x14ac:dyDescent="0.25">
      <c r="A277" s="1300">
        <v>1572</v>
      </c>
      <c r="B277" s="1300" t="s">
        <v>1252</v>
      </c>
      <c r="C277" s="1300" t="s">
        <v>1253</v>
      </c>
      <c r="D277" s="1300" t="s">
        <v>1303</v>
      </c>
      <c r="E277" s="1300" t="s">
        <v>1242</v>
      </c>
      <c r="F277" s="1300" t="s">
        <v>1320</v>
      </c>
      <c r="G277" s="1300" t="s">
        <v>1467</v>
      </c>
    </row>
    <row r="278" spans="1:7" x14ac:dyDescent="0.25">
      <c r="A278" s="1300">
        <v>1628</v>
      </c>
      <c r="B278" s="1300" t="s">
        <v>1254</v>
      </c>
      <c r="C278" s="1300"/>
      <c r="D278" s="1300" t="s">
        <v>1021</v>
      </c>
      <c r="E278" s="1300" t="s">
        <v>1201</v>
      </c>
      <c r="F278" s="1300" t="s">
        <v>1201</v>
      </c>
      <c r="G278" s="1300" t="s">
        <v>1467</v>
      </c>
    </row>
    <row r="279" spans="1:7" x14ac:dyDescent="0.25">
      <c r="A279" s="1300">
        <v>2020</v>
      </c>
      <c r="B279" s="1300" t="s">
        <v>2083</v>
      </c>
      <c r="C279" s="1300"/>
      <c r="D279" s="1300" t="s">
        <v>1303</v>
      </c>
      <c r="E279" s="1300" t="s">
        <v>1327</v>
      </c>
      <c r="F279" s="1300" t="s">
        <v>2084</v>
      </c>
      <c r="G279" s="1300" t="s">
        <v>1467</v>
      </c>
    </row>
    <row r="280" spans="1:7" x14ac:dyDescent="0.25">
      <c r="A280" s="1300">
        <v>1674</v>
      </c>
      <c r="B280" s="1300" t="s">
        <v>2305</v>
      </c>
      <c r="C280" s="1300" t="s">
        <v>2306</v>
      </c>
      <c r="D280" s="1300" t="s">
        <v>873</v>
      </c>
      <c r="E280" s="1300" t="s">
        <v>512</v>
      </c>
      <c r="F280" s="1300" t="s">
        <v>2277</v>
      </c>
      <c r="G280" s="1300" t="s">
        <v>1467</v>
      </c>
    </row>
    <row r="281" spans="1:7" x14ac:dyDescent="0.25">
      <c r="A281" s="1300">
        <v>2133</v>
      </c>
      <c r="B281" s="1300" t="s">
        <v>2437</v>
      </c>
      <c r="C281" s="1300"/>
      <c r="D281" s="1300" t="s">
        <v>1187</v>
      </c>
      <c r="E281" s="1300" t="s">
        <v>1187</v>
      </c>
      <c r="F281" s="1300" t="s">
        <v>1285</v>
      </c>
      <c r="G281" s="1300" t="s">
        <v>1467</v>
      </c>
    </row>
    <row r="282" spans="1:7" x14ac:dyDescent="0.25">
      <c r="A282" s="1300">
        <v>540</v>
      </c>
      <c r="B282" s="1300" t="s">
        <v>2438</v>
      </c>
      <c r="C282" s="1300" t="s">
        <v>1852</v>
      </c>
      <c r="D282" s="1300" t="s">
        <v>1303</v>
      </c>
      <c r="E282" s="1300" t="s">
        <v>507</v>
      </c>
      <c r="F282" s="1300" t="s">
        <v>1330</v>
      </c>
      <c r="G282" s="1300" t="s">
        <v>1467</v>
      </c>
    </row>
    <row r="283" spans="1:7" x14ac:dyDescent="0.25">
      <c r="A283" s="1300">
        <v>2082</v>
      </c>
      <c r="B283" s="1300" t="s">
        <v>2307</v>
      </c>
      <c r="C283" s="1300" t="s">
        <v>2308</v>
      </c>
      <c r="D283" s="1300" t="s">
        <v>1311</v>
      </c>
      <c r="E283" s="1300" t="s">
        <v>504</v>
      </c>
      <c r="F283" s="1300" t="s">
        <v>1312</v>
      </c>
      <c r="G283" s="1300" t="s">
        <v>1467</v>
      </c>
    </row>
    <row r="284" spans="1:7" x14ac:dyDescent="0.25">
      <c r="A284" s="1300">
        <v>821</v>
      </c>
      <c r="B284" s="1300" t="s">
        <v>2439</v>
      </c>
      <c r="C284" s="1300" t="s">
        <v>1313</v>
      </c>
      <c r="D284" s="1300" t="s">
        <v>1187</v>
      </c>
      <c r="E284" s="1300" t="s">
        <v>1236</v>
      </c>
      <c r="F284" s="1300" t="s">
        <v>1463</v>
      </c>
      <c r="G284" s="1300" t="s">
        <v>1467</v>
      </c>
    </row>
    <row r="285" spans="1:7" x14ac:dyDescent="0.25">
      <c r="A285" s="1300">
        <v>1386</v>
      </c>
      <c r="B285" s="1300" t="s">
        <v>2440</v>
      </c>
      <c r="C285" s="1300" t="s">
        <v>2441</v>
      </c>
      <c r="D285" s="1300" t="s">
        <v>1303</v>
      </c>
      <c r="E285" s="1300" t="s">
        <v>1242</v>
      </c>
      <c r="F285" s="1300" t="s">
        <v>1242</v>
      </c>
      <c r="G285" s="1300" t="s">
        <v>1467</v>
      </c>
    </row>
    <row r="286" spans="1:7" x14ac:dyDescent="0.25">
      <c r="A286" s="1300">
        <v>1008</v>
      </c>
      <c r="B286" s="1300" t="s">
        <v>2442</v>
      </c>
      <c r="C286" s="1300" t="s">
        <v>2443</v>
      </c>
      <c r="D286" s="1300" t="s">
        <v>1303</v>
      </c>
      <c r="E286" s="1300" t="s">
        <v>507</v>
      </c>
      <c r="F286" s="1300" t="s">
        <v>507</v>
      </c>
      <c r="G286" s="1300" t="s">
        <v>1467</v>
      </c>
    </row>
    <row r="287" spans="1:7" x14ac:dyDescent="0.25">
      <c r="A287" s="1300">
        <v>1266</v>
      </c>
      <c r="B287" s="1300" t="s">
        <v>2309</v>
      </c>
      <c r="C287" s="1300" t="s">
        <v>2310</v>
      </c>
      <c r="D287" s="1300" t="s">
        <v>1303</v>
      </c>
      <c r="E287" s="1300" t="s">
        <v>507</v>
      </c>
      <c r="F287" s="1300" t="s">
        <v>507</v>
      </c>
      <c r="G287" s="1300" t="s">
        <v>1467</v>
      </c>
    </row>
    <row r="288" spans="1:7" x14ac:dyDescent="0.25">
      <c r="A288" s="1300">
        <v>1760</v>
      </c>
      <c r="B288" s="1300" t="s">
        <v>1332</v>
      </c>
      <c r="C288" s="1300"/>
      <c r="D288" s="1300" t="s">
        <v>1303</v>
      </c>
      <c r="E288" s="1300" t="s">
        <v>507</v>
      </c>
      <c r="F288" s="1300"/>
      <c r="G288" s="1300" t="s">
        <v>1467</v>
      </c>
    </row>
    <row r="289" spans="1:7" x14ac:dyDescent="0.25">
      <c r="A289" s="1300">
        <v>1994</v>
      </c>
      <c r="B289" s="1300" t="s">
        <v>2085</v>
      </c>
      <c r="C289" s="1300"/>
      <c r="D289" s="1300" t="s">
        <v>1187</v>
      </c>
      <c r="E289" s="1300" t="s">
        <v>1407</v>
      </c>
      <c r="F289" s="1300" t="s">
        <v>1407</v>
      </c>
      <c r="G289" s="1300" t="s">
        <v>1467</v>
      </c>
    </row>
    <row r="290" spans="1:7" x14ac:dyDescent="0.25">
      <c r="A290" s="1300">
        <v>1720</v>
      </c>
      <c r="B290" s="1300" t="s">
        <v>1284</v>
      </c>
      <c r="C290" s="1300"/>
      <c r="D290" s="1300"/>
      <c r="E290" s="1300"/>
      <c r="F290" s="1300"/>
      <c r="G290" s="1300" t="s">
        <v>1467</v>
      </c>
    </row>
    <row r="291" spans="1:7" x14ac:dyDescent="0.25">
      <c r="A291" s="1300">
        <v>1876</v>
      </c>
      <c r="B291" s="1300" t="s">
        <v>1474</v>
      </c>
      <c r="C291" s="1300"/>
      <c r="D291" s="1300" t="s">
        <v>1307</v>
      </c>
      <c r="E291" s="1300" t="s">
        <v>514</v>
      </c>
      <c r="F291" s="1300"/>
      <c r="G291" s="1300" t="s">
        <v>1467</v>
      </c>
    </row>
    <row r="292" spans="1:7" x14ac:dyDescent="0.25">
      <c r="A292" s="1300">
        <v>1883</v>
      </c>
      <c r="B292" s="1300" t="s">
        <v>1483</v>
      </c>
      <c r="C292" s="1300"/>
      <c r="D292" s="1300" t="s">
        <v>1187</v>
      </c>
      <c r="E292" s="1300" t="s">
        <v>1187</v>
      </c>
      <c r="F292" s="1300" t="s">
        <v>1285</v>
      </c>
      <c r="G292" s="1300" t="s">
        <v>1467</v>
      </c>
    </row>
    <row r="293" spans="1:7" x14ac:dyDescent="0.25">
      <c r="A293" s="1300">
        <v>835</v>
      </c>
      <c r="B293" s="1300" t="s">
        <v>2444</v>
      </c>
      <c r="C293" s="1300" t="s">
        <v>2445</v>
      </c>
      <c r="D293" s="1300" t="s">
        <v>1303</v>
      </c>
      <c r="E293" s="1300" t="s">
        <v>1242</v>
      </c>
      <c r="F293" s="1300" t="s">
        <v>1242</v>
      </c>
      <c r="G293" s="1300" t="s">
        <v>1467</v>
      </c>
    </row>
    <row r="294" spans="1:7" x14ac:dyDescent="0.25">
      <c r="A294" s="1300">
        <v>1662</v>
      </c>
      <c r="B294" s="1300" t="s">
        <v>1256</v>
      </c>
      <c r="C294" s="1300"/>
      <c r="D294" s="1300"/>
      <c r="E294" s="1300"/>
      <c r="F294" s="1300"/>
      <c r="G294" s="1300" t="s">
        <v>1467</v>
      </c>
    </row>
    <row r="295" spans="1:7" x14ac:dyDescent="0.25">
      <c r="A295" s="1300">
        <v>1339</v>
      </c>
      <c r="B295" s="1300" t="s">
        <v>2446</v>
      </c>
      <c r="C295" s="1300" t="s">
        <v>1399</v>
      </c>
      <c r="D295" s="1300" t="s">
        <v>1303</v>
      </c>
      <c r="E295" s="1300" t="s">
        <v>507</v>
      </c>
      <c r="F295" s="1300" t="s">
        <v>1394</v>
      </c>
      <c r="G295" s="1300" t="s">
        <v>1467</v>
      </c>
    </row>
    <row r="296" spans="1:7" x14ac:dyDescent="0.25">
      <c r="A296" s="1300">
        <v>1742</v>
      </c>
      <c r="B296" s="1300" t="s">
        <v>2447</v>
      </c>
      <c r="C296" s="1300" t="s">
        <v>1399</v>
      </c>
      <c r="D296" s="1300" t="s">
        <v>1303</v>
      </c>
      <c r="E296" s="1300" t="s">
        <v>507</v>
      </c>
      <c r="F296" s="1300" t="s">
        <v>1394</v>
      </c>
      <c r="G296" s="1300" t="s">
        <v>1467</v>
      </c>
    </row>
    <row r="297" spans="1:7" x14ac:dyDescent="0.25">
      <c r="A297" s="1300">
        <v>1683</v>
      </c>
      <c r="B297" s="1300" t="s">
        <v>2448</v>
      </c>
      <c r="C297" s="1300" t="s">
        <v>2449</v>
      </c>
      <c r="D297" s="1300" t="s">
        <v>1303</v>
      </c>
      <c r="E297" s="1300" t="s">
        <v>507</v>
      </c>
      <c r="F297" s="1300" t="s">
        <v>1330</v>
      </c>
      <c r="G297" s="1300" t="s">
        <v>1467</v>
      </c>
    </row>
    <row r="298" spans="1:7" x14ac:dyDescent="0.25">
      <c r="A298" s="1300">
        <v>883</v>
      </c>
      <c r="B298" s="1300" t="s">
        <v>2450</v>
      </c>
      <c r="C298" s="1300" t="s">
        <v>2451</v>
      </c>
      <c r="D298" s="1300" t="s">
        <v>1187</v>
      </c>
      <c r="E298" s="1300" t="s">
        <v>1186</v>
      </c>
      <c r="F298" s="1300" t="s">
        <v>1186</v>
      </c>
      <c r="G298" s="1300" t="s">
        <v>1467</v>
      </c>
    </row>
    <row r="299" spans="1:7" x14ac:dyDescent="0.25">
      <c r="A299" s="1300">
        <v>1709</v>
      </c>
      <c r="B299" s="1300" t="s">
        <v>2086</v>
      </c>
      <c r="C299" s="1300" t="s">
        <v>2087</v>
      </c>
      <c r="D299" s="1300" t="s">
        <v>1187</v>
      </c>
      <c r="E299" s="1300" t="s">
        <v>1214</v>
      </c>
      <c r="F299" s="1300" t="s">
        <v>1214</v>
      </c>
      <c r="G299" s="1300" t="s">
        <v>1467</v>
      </c>
    </row>
    <row r="300" spans="1:7" x14ac:dyDescent="0.25">
      <c r="A300" s="1300">
        <v>1675</v>
      </c>
      <c r="B300" s="1300" t="s">
        <v>2163</v>
      </c>
      <c r="C300" s="1300" t="s">
        <v>2452</v>
      </c>
      <c r="D300" s="1300" t="s">
        <v>1187</v>
      </c>
      <c r="E300" s="1300" t="s">
        <v>1186</v>
      </c>
      <c r="F300" s="1300" t="s">
        <v>1398</v>
      </c>
      <c r="G300" s="1300" t="s">
        <v>1467</v>
      </c>
    </row>
    <row r="301" spans="1:7" x14ac:dyDescent="0.25">
      <c r="A301" s="1300">
        <v>1652</v>
      </c>
      <c r="B301" s="1300" t="s">
        <v>1390</v>
      </c>
      <c r="C301" s="1300"/>
      <c r="D301" s="1300" t="s">
        <v>1307</v>
      </c>
      <c r="E301" s="1300" t="s">
        <v>1299</v>
      </c>
      <c r="F301" s="1300" t="s">
        <v>1299</v>
      </c>
      <c r="G301" s="1300" t="s">
        <v>1467</v>
      </c>
    </row>
    <row r="302" spans="1:7" x14ac:dyDescent="0.25">
      <c r="A302" s="1300">
        <v>1758</v>
      </c>
      <c r="B302" s="1300" t="s">
        <v>1406</v>
      </c>
      <c r="C302" s="1300"/>
      <c r="D302" s="1300" t="s">
        <v>1187</v>
      </c>
      <c r="E302" s="1300" t="s">
        <v>1407</v>
      </c>
      <c r="F302" s="1300" t="s">
        <v>1407</v>
      </c>
      <c r="G302" s="1300" t="s">
        <v>1467</v>
      </c>
    </row>
    <row r="303" spans="1:7" x14ac:dyDescent="0.25">
      <c r="A303" s="1300">
        <v>1849</v>
      </c>
      <c r="B303" s="1300" t="s">
        <v>1461</v>
      </c>
      <c r="C303" s="1300" t="s">
        <v>1462</v>
      </c>
      <c r="D303" s="1300" t="s">
        <v>1187</v>
      </c>
      <c r="E303" s="1300" t="s">
        <v>1236</v>
      </c>
      <c r="F303" s="1300" t="s">
        <v>1463</v>
      </c>
      <c r="G303" s="1300" t="s">
        <v>1467</v>
      </c>
    </row>
    <row r="304" spans="1:7" x14ac:dyDescent="0.25">
      <c r="A304" s="1300">
        <v>1817</v>
      </c>
      <c r="B304" s="1300" t="s">
        <v>1423</v>
      </c>
      <c r="C304" s="1300" t="s">
        <v>1424</v>
      </c>
      <c r="D304" s="1300" t="s">
        <v>1187</v>
      </c>
      <c r="E304" s="1300" t="s">
        <v>1214</v>
      </c>
      <c r="F304" s="1300" t="s">
        <v>1425</v>
      </c>
      <c r="G304" s="1300" t="s">
        <v>1467</v>
      </c>
    </row>
    <row r="305" spans="1:7" x14ac:dyDescent="0.25">
      <c r="A305" s="1300">
        <v>1056</v>
      </c>
      <c r="B305" s="1300" t="s">
        <v>2164</v>
      </c>
      <c r="C305" s="1300" t="s">
        <v>2165</v>
      </c>
      <c r="D305" s="1300" t="s">
        <v>1187</v>
      </c>
      <c r="E305" s="1300" t="s">
        <v>1186</v>
      </c>
      <c r="F305" s="1300" t="s">
        <v>1310</v>
      </c>
      <c r="G305" s="1300" t="s">
        <v>1467</v>
      </c>
    </row>
    <row r="306" spans="1:7" x14ac:dyDescent="0.25">
      <c r="A306" s="1300">
        <v>1042</v>
      </c>
      <c r="B306" s="1300" t="s">
        <v>2312</v>
      </c>
      <c r="C306" s="1300" t="s">
        <v>2313</v>
      </c>
      <c r="D306" s="1300" t="s">
        <v>1021</v>
      </c>
      <c r="E306" s="1300" t="s">
        <v>1201</v>
      </c>
      <c r="F306" s="1300" t="s">
        <v>1290</v>
      </c>
      <c r="G306" s="1300" t="s">
        <v>1467</v>
      </c>
    </row>
    <row r="307" spans="1:7" x14ac:dyDescent="0.25">
      <c r="A307" s="1300">
        <v>2033</v>
      </c>
      <c r="B307" s="1300" t="s">
        <v>2314</v>
      </c>
      <c r="C307" s="1300"/>
      <c r="D307" s="1300" t="s">
        <v>1187</v>
      </c>
      <c r="E307" s="1300" t="s">
        <v>1236</v>
      </c>
      <c r="F307" s="1300" t="s">
        <v>2031</v>
      </c>
      <c r="G307" s="1300" t="s">
        <v>1467</v>
      </c>
    </row>
    <row r="308" spans="1:7" x14ac:dyDescent="0.25">
      <c r="A308" s="1300">
        <v>2058</v>
      </c>
      <c r="B308" s="1300" t="s">
        <v>2315</v>
      </c>
      <c r="C308" s="1300"/>
      <c r="D308" s="1300" t="s">
        <v>1307</v>
      </c>
      <c r="E308" s="1300" t="s">
        <v>514</v>
      </c>
      <c r="F308" s="1300" t="s">
        <v>1320</v>
      </c>
      <c r="G308" s="1300" t="s">
        <v>1467</v>
      </c>
    </row>
    <row r="309" spans="1:7" x14ac:dyDescent="0.25">
      <c r="A309" s="1300">
        <v>1582</v>
      </c>
      <c r="B309" s="1300" t="s">
        <v>1257</v>
      </c>
      <c r="C309" s="1300"/>
      <c r="D309" s="1300" t="s">
        <v>506</v>
      </c>
      <c r="E309" s="1300" t="s">
        <v>506</v>
      </c>
      <c r="F309" s="1300" t="s">
        <v>1321</v>
      </c>
      <c r="G309" s="1300" t="s">
        <v>1467</v>
      </c>
    </row>
    <row r="310" spans="1:7" x14ac:dyDescent="0.25">
      <c r="A310" s="1300">
        <v>1514</v>
      </c>
      <c r="B310" s="1300" t="s">
        <v>1663</v>
      </c>
      <c r="C310" s="1300"/>
      <c r="D310" s="1300"/>
      <c r="E310" s="1300"/>
      <c r="F310" s="1300"/>
      <c r="G310" s="1300" t="s">
        <v>1467</v>
      </c>
    </row>
    <row r="311" spans="1:7" x14ac:dyDescent="0.25">
      <c r="A311" s="1300">
        <v>1929</v>
      </c>
      <c r="B311" s="1300" t="s">
        <v>2089</v>
      </c>
      <c r="C311" s="1300" t="s">
        <v>2090</v>
      </c>
      <c r="D311" s="1300" t="s">
        <v>1187</v>
      </c>
      <c r="E311" s="1300" t="s">
        <v>1207</v>
      </c>
      <c r="F311" s="1300" t="s">
        <v>2023</v>
      </c>
      <c r="G311" s="1300" t="s">
        <v>1467</v>
      </c>
    </row>
    <row r="312" spans="1:7" x14ac:dyDescent="0.25">
      <c r="A312" s="1300">
        <v>1737</v>
      </c>
      <c r="B312" s="1300" t="s">
        <v>1322</v>
      </c>
      <c r="C312" s="1300"/>
      <c r="D312" s="1300" t="s">
        <v>1187</v>
      </c>
      <c r="E312" s="1300" t="s">
        <v>1187</v>
      </c>
      <c r="F312" s="1300" t="s">
        <v>1285</v>
      </c>
      <c r="G312" s="1300" t="s">
        <v>1467</v>
      </c>
    </row>
    <row r="313" spans="1:7" x14ac:dyDescent="0.25">
      <c r="A313" s="1300">
        <v>1891</v>
      </c>
      <c r="B313" s="1300" t="s">
        <v>1664</v>
      </c>
      <c r="C313" s="1300"/>
      <c r="D313" s="1300" t="s">
        <v>1303</v>
      </c>
      <c r="E313" s="1300" t="s">
        <v>507</v>
      </c>
      <c r="F313" s="1300" t="s">
        <v>507</v>
      </c>
      <c r="G313" s="1300" t="s">
        <v>1467</v>
      </c>
    </row>
    <row r="314" spans="1:7" x14ac:dyDescent="0.25">
      <c r="A314" s="1300">
        <v>1273</v>
      </c>
      <c r="B314" s="1300" t="s">
        <v>2316</v>
      </c>
      <c r="C314" s="1300" t="s">
        <v>1963</v>
      </c>
      <c r="D314" s="1300" t="s">
        <v>1187</v>
      </c>
      <c r="E314" s="1300" t="s">
        <v>1236</v>
      </c>
      <c r="F314" s="1300" t="s">
        <v>1311</v>
      </c>
      <c r="G314" s="1300" t="s">
        <v>1467</v>
      </c>
    </row>
    <row r="315" spans="1:7" x14ac:dyDescent="0.25">
      <c r="A315" s="1300">
        <v>2071</v>
      </c>
      <c r="B315" s="1300" t="s">
        <v>2317</v>
      </c>
      <c r="C315" s="1300"/>
      <c r="D315" s="1300" t="s">
        <v>1187</v>
      </c>
      <c r="E315" s="1300" t="s">
        <v>1186</v>
      </c>
      <c r="F315" s="1300" t="s">
        <v>1398</v>
      </c>
      <c r="G315" s="1300" t="s">
        <v>1467</v>
      </c>
    </row>
    <row r="316" spans="1:7" x14ac:dyDescent="0.25">
      <c r="A316" s="1300">
        <v>634</v>
      </c>
      <c r="B316" s="1300" t="s">
        <v>2453</v>
      </c>
      <c r="C316" s="1300" t="s">
        <v>2454</v>
      </c>
      <c r="D316" s="1300" t="s">
        <v>1303</v>
      </c>
      <c r="E316" s="1300" t="s">
        <v>507</v>
      </c>
      <c r="F316" s="1300" t="s">
        <v>507</v>
      </c>
      <c r="G316" s="1300" t="s">
        <v>1467</v>
      </c>
    </row>
    <row r="317" spans="1:7" x14ac:dyDescent="0.25">
      <c r="A317" s="1300">
        <v>791</v>
      </c>
      <c r="B317" s="1300" t="s">
        <v>2318</v>
      </c>
      <c r="C317" s="1300" t="s">
        <v>2319</v>
      </c>
      <c r="D317" s="1300" t="s">
        <v>873</v>
      </c>
      <c r="E317" s="1300" t="s">
        <v>873</v>
      </c>
      <c r="F317" s="1300" t="s">
        <v>1316</v>
      </c>
      <c r="G317" s="1300" t="s">
        <v>1467</v>
      </c>
    </row>
    <row r="318" spans="1:7" x14ac:dyDescent="0.25">
      <c r="A318" s="1300">
        <v>1943</v>
      </c>
      <c r="B318" s="1300" t="s">
        <v>2166</v>
      </c>
      <c r="C318" s="1300" t="s">
        <v>2155</v>
      </c>
      <c r="D318" s="1300" t="s">
        <v>506</v>
      </c>
      <c r="E318" s="1300" t="s">
        <v>506</v>
      </c>
      <c r="F318" s="1300" t="s">
        <v>2156</v>
      </c>
      <c r="G318" s="1300" t="s">
        <v>1467</v>
      </c>
    </row>
    <row r="319" spans="1:7" x14ac:dyDescent="0.25">
      <c r="A319" s="1300">
        <v>1620</v>
      </c>
      <c r="B319" s="1300" t="s">
        <v>2320</v>
      </c>
      <c r="C319" s="1300" t="s">
        <v>2321</v>
      </c>
      <c r="D319" s="1300" t="s">
        <v>1187</v>
      </c>
      <c r="E319" s="1300" t="s">
        <v>1187</v>
      </c>
      <c r="F319" s="1300" t="s">
        <v>1475</v>
      </c>
      <c r="G319" s="1300" t="s">
        <v>1467</v>
      </c>
    </row>
    <row r="320" spans="1:7" x14ac:dyDescent="0.25">
      <c r="A320" s="1300">
        <v>1068</v>
      </c>
      <c r="B320" s="1300" t="s">
        <v>2455</v>
      </c>
      <c r="C320" s="1300" t="s">
        <v>2354</v>
      </c>
      <c r="D320" s="1300" t="s">
        <v>1303</v>
      </c>
      <c r="E320" s="1300" t="s">
        <v>1242</v>
      </c>
      <c r="F320" s="1300" t="s">
        <v>1320</v>
      </c>
      <c r="G320" s="1300" t="s">
        <v>1467</v>
      </c>
    </row>
    <row r="321" spans="1:7" x14ac:dyDescent="0.25">
      <c r="A321" s="1300">
        <v>1418</v>
      </c>
      <c r="B321" s="1300" t="s">
        <v>2456</v>
      </c>
      <c r="C321" s="1300" t="s">
        <v>2457</v>
      </c>
      <c r="D321" s="1300" t="s">
        <v>1303</v>
      </c>
      <c r="E321" s="1300" t="s">
        <v>1327</v>
      </c>
      <c r="F321" s="1300" t="s">
        <v>2084</v>
      </c>
      <c r="G321" s="1300" t="s">
        <v>1467</v>
      </c>
    </row>
    <row r="322" spans="1:7" x14ac:dyDescent="0.25">
      <c r="A322" s="1300">
        <v>1759</v>
      </c>
      <c r="B322" s="1300" t="s">
        <v>1333</v>
      </c>
      <c r="C322" s="1300"/>
      <c r="D322" s="1300" t="s">
        <v>1303</v>
      </c>
      <c r="E322" s="1300" t="s">
        <v>507</v>
      </c>
      <c r="F322" s="1300"/>
      <c r="G322" s="1300" t="s">
        <v>1467</v>
      </c>
    </row>
    <row r="323" spans="1:7" x14ac:dyDescent="0.25">
      <c r="A323" s="1300">
        <v>1539</v>
      </c>
      <c r="B323" s="1300" t="s">
        <v>1258</v>
      </c>
      <c r="C323" s="1300" t="s">
        <v>1259</v>
      </c>
      <c r="D323" s="1300" t="s">
        <v>1187</v>
      </c>
      <c r="E323" s="1300" t="s">
        <v>1236</v>
      </c>
      <c r="F323" s="1300" t="s">
        <v>1305</v>
      </c>
      <c r="G323" s="1300" t="s">
        <v>1467</v>
      </c>
    </row>
    <row r="324" spans="1:7" x14ac:dyDescent="0.25">
      <c r="A324" s="1300">
        <v>1537</v>
      </c>
      <c r="B324" s="1300" t="s">
        <v>1260</v>
      </c>
      <c r="C324" s="1300"/>
      <c r="D324" s="1300"/>
      <c r="E324" s="1300"/>
      <c r="F324" s="1300"/>
      <c r="G324" s="1300" t="s">
        <v>1467</v>
      </c>
    </row>
    <row r="325" spans="1:7" x14ac:dyDescent="0.25">
      <c r="A325" s="1300">
        <v>2074</v>
      </c>
      <c r="B325" s="1300" t="s">
        <v>2322</v>
      </c>
      <c r="C325" s="1300"/>
      <c r="D325" s="1300" t="s">
        <v>1187</v>
      </c>
      <c r="E325" s="1300" t="s">
        <v>1236</v>
      </c>
      <c r="F325" s="1300" t="s">
        <v>1305</v>
      </c>
      <c r="G325" s="1300" t="s">
        <v>1467</v>
      </c>
    </row>
    <row r="326" spans="1:7" x14ac:dyDescent="0.25">
      <c r="A326" s="1300">
        <v>1555</v>
      </c>
      <c r="B326" s="1300" t="s">
        <v>2323</v>
      </c>
      <c r="C326" s="1300" t="s">
        <v>1848</v>
      </c>
      <c r="D326" s="1300" t="s">
        <v>873</v>
      </c>
      <c r="E326" s="1300" t="s">
        <v>873</v>
      </c>
      <c r="F326" s="1300" t="s">
        <v>1301</v>
      </c>
      <c r="G326" s="1300" t="s">
        <v>1467</v>
      </c>
    </row>
    <row r="327" spans="1:7" x14ac:dyDescent="0.25">
      <c r="A327" s="1300">
        <v>1550</v>
      </c>
      <c r="B327" s="1300" t="s">
        <v>1261</v>
      </c>
      <c r="C327" s="1300"/>
      <c r="D327" s="1300" t="s">
        <v>1187</v>
      </c>
      <c r="E327" s="1300" t="s">
        <v>1186</v>
      </c>
      <c r="F327" s="1300" t="s">
        <v>1186</v>
      </c>
      <c r="G327" s="1300" t="s">
        <v>1467</v>
      </c>
    </row>
    <row r="328" spans="1:7" x14ac:dyDescent="0.25">
      <c r="A328" s="1300">
        <v>1587</v>
      </c>
      <c r="B328" s="1300" t="s">
        <v>1262</v>
      </c>
      <c r="C328" s="1300"/>
      <c r="D328" s="1300" t="s">
        <v>506</v>
      </c>
      <c r="E328" s="1300" t="s">
        <v>506</v>
      </c>
      <c r="F328" s="1300" t="s">
        <v>1321</v>
      </c>
      <c r="G328" s="1300" t="s">
        <v>1467</v>
      </c>
    </row>
    <row r="329" spans="1:7" x14ac:dyDescent="0.25">
      <c r="A329" s="1300">
        <v>1481</v>
      </c>
      <c r="B329" s="1300" t="s">
        <v>1263</v>
      </c>
      <c r="C329" s="1300"/>
      <c r="D329" s="1300"/>
      <c r="E329" s="1300"/>
      <c r="F329" s="1300"/>
      <c r="G329" s="1300" t="s">
        <v>1467</v>
      </c>
    </row>
    <row r="330" spans="1:7" x14ac:dyDescent="0.25">
      <c r="A330" s="1300">
        <v>1815</v>
      </c>
      <c r="B330" s="1300" t="s">
        <v>1452</v>
      </c>
      <c r="C330" s="1300" t="s">
        <v>1453</v>
      </c>
      <c r="D330" s="1300" t="s">
        <v>1311</v>
      </c>
      <c r="E330" s="1300" t="s">
        <v>1454</v>
      </c>
      <c r="F330" s="1300" t="s">
        <v>1454</v>
      </c>
      <c r="G330" s="1300" t="s">
        <v>1467</v>
      </c>
    </row>
    <row r="331" spans="1:7" x14ac:dyDescent="0.25">
      <c r="A331" s="1300">
        <v>759</v>
      </c>
      <c r="B331" s="1300" t="s">
        <v>1264</v>
      </c>
      <c r="C331" s="1300" t="s">
        <v>1265</v>
      </c>
      <c r="D331" s="1300" t="s">
        <v>1187</v>
      </c>
      <c r="E331" s="1300" t="s">
        <v>1187</v>
      </c>
      <c r="F331" s="1300" t="s">
        <v>1323</v>
      </c>
      <c r="G331" s="1300" t="s">
        <v>1467</v>
      </c>
    </row>
    <row r="332" spans="1:7" x14ac:dyDescent="0.25">
      <c r="A332" s="1300">
        <v>532</v>
      </c>
      <c r="B332" s="1300" t="s">
        <v>2324</v>
      </c>
      <c r="C332" s="1300" t="s">
        <v>2325</v>
      </c>
      <c r="D332" s="1300" t="s">
        <v>1307</v>
      </c>
      <c r="E332" s="1300" t="s">
        <v>514</v>
      </c>
      <c r="F332" s="1300" t="s">
        <v>514</v>
      </c>
      <c r="G332" s="1300" t="s">
        <v>1467</v>
      </c>
    </row>
    <row r="333" spans="1:7" x14ac:dyDescent="0.25">
      <c r="A333" s="1300">
        <v>2128</v>
      </c>
      <c r="B333" s="1300" t="s">
        <v>2458</v>
      </c>
      <c r="C333" s="1300"/>
      <c r="D333" s="1300" t="s">
        <v>1187</v>
      </c>
      <c r="E333" s="1300" t="s">
        <v>1407</v>
      </c>
      <c r="F333" s="1300" t="s">
        <v>1407</v>
      </c>
      <c r="G333" s="1300" t="s">
        <v>1467</v>
      </c>
    </row>
    <row r="334" spans="1:7" x14ac:dyDescent="0.25">
      <c r="A334" s="1300">
        <v>74</v>
      </c>
      <c r="B334" s="1300" t="s">
        <v>2326</v>
      </c>
      <c r="C334" s="1300" t="s">
        <v>2327</v>
      </c>
      <c r="D334" s="1300" t="s">
        <v>1311</v>
      </c>
      <c r="E334" s="1300" t="s">
        <v>504</v>
      </c>
      <c r="F334" s="1300" t="s">
        <v>504</v>
      </c>
      <c r="G334" s="1300" t="s">
        <v>1467</v>
      </c>
    </row>
    <row r="335" spans="1:7" x14ac:dyDescent="0.25">
      <c r="A335" s="1300">
        <v>1788</v>
      </c>
      <c r="B335" s="1300" t="s">
        <v>2459</v>
      </c>
      <c r="C335" s="1300" t="s">
        <v>2460</v>
      </c>
      <c r="D335" s="1300" t="s">
        <v>1187</v>
      </c>
      <c r="E335" s="1300" t="s">
        <v>1187</v>
      </c>
      <c r="F335" s="1300" t="s">
        <v>1323</v>
      </c>
      <c r="G335" s="1300" t="s">
        <v>1467</v>
      </c>
    </row>
    <row r="336" spans="1:7" x14ac:dyDescent="0.25">
      <c r="A336" s="1300">
        <v>1967</v>
      </c>
      <c r="B336" s="1300" t="s">
        <v>1832</v>
      </c>
      <c r="C336" s="1300"/>
      <c r="D336" s="1300" t="s">
        <v>1187</v>
      </c>
      <c r="E336" s="1300" t="s">
        <v>1186</v>
      </c>
      <c r="F336" s="1300" t="s">
        <v>2091</v>
      </c>
      <c r="G336" s="1300" t="s">
        <v>1467</v>
      </c>
    </row>
    <row r="337" spans="1:8" x14ac:dyDescent="0.25">
      <c r="A337" s="1300">
        <v>1939</v>
      </c>
      <c r="B337" s="1300" t="s">
        <v>1699</v>
      </c>
      <c r="C337" s="1300"/>
      <c r="D337" s="1300" t="s">
        <v>1187</v>
      </c>
      <c r="E337" s="1300" t="s">
        <v>1187</v>
      </c>
      <c r="F337" s="1300" t="s">
        <v>1285</v>
      </c>
      <c r="G337" s="1300" t="s">
        <v>1467</v>
      </c>
    </row>
    <row r="338" spans="1:8" x14ac:dyDescent="0.25">
      <c r="A338" s="1300">
        <v>2031</v>
      </c>
      <c r="B338" s="1300" t="s">
        <v>2328</v>
      </c>
      <c r="C338" s="1300"/>
      <c r="D338" s="1300" t="s">
        <v>1303</v>
      </c>
      <c r="E338" s="1300" t="s">
        <v>1242</v>
      </c>
      <c r="F338" s="1300" t="s">
        <v>2329</v>
      </c>
      <c r="G338" s="1300" t="s">
        <v>1467</v>
      </c>
    </row>
    <row r="339" spans="1:8" x14ac:dyDescent="0.25">
      <c r="A339" s="1300">
        <v>1950</v>
      </c>
      <c r="B339" s="1300" t="s">
        <v>2330</v>
      </c>
      <c r="C339" s="1300" t="s">
        <v>1971</v>
      </c>
      <c r="D339" s="1300" t="s">
        <v>1311</v>
      </c>
      <c r="E339" s="1300" t="s">
        <v>504</v>
      </c>
      <c r="F339" s="1300" t="s">
        <v>1312</v>
      </c>
      <c r="G339" s="1300" t="s">
        <v>1467</v>
      </c>
    </row>
    <row r="340" spans="1:8" x14ac:dyDescent="0.25">
      <c r="A340" s="1300">
        <v>1482</v>
      </c>
      <c r="B340" s="1300" t="s">
        <v>2331</v>
      </c>
      <c r="C340" s="1300"/>
      <c r="D340" s="1300" t="s">
        <v>1187</v>
      </c>
      <c r="E340" s="1300" t="s">
        <v>1236</v>
      </c>
      <c r="F340" s="1300"/>
      <c r="G340" s="1300" t="s">
        <v>1467</v>
      </c>
    </row>
    <row r="341" spans="1:8" x14ac:dyDescent="0.25">
      <c r="A341" s="1300">
        <v>2066</v>
      </c>
      <c r="B341" s="1300" t="s">
        <v>2332</v>
      </c>
      <c r="C341" s="1300"/>
      <c r="D341" s="1300" t="s">
        <v>1187</v>
      </c>
      <c r="E341" s="1300" t="s">
        <v>1255</v>
      </c>
      <c r="F341" s="1300" t="s">
        <v>1255</v>
      </c>
      <c r="G341" s="1300" t="s">
        <v>1467</v>
      </c>
    </row>
    <row r="342" spans="1:8" x14ac:dyDescent="0.25">
      <c r="A342" s="1300">
        <v>1560</v>
      </c>
      <c r="B342" s="1300" t="s">
        <v>1266</v>
      </c>
      <c r="C342" s="1300"/>
      <c r="D342" s="1300"/>
      <c r="E342" s="1300"/>
      <c r="F342" s="1300"/>
      <c r="G342" s="1300" t="s">
        <v>1467</v>
      </c>
    </row>
    <row r="343" spans="1:8" x14ac:dyDescent="0.25">
      <c r="A343" s="1300">
        <v>1879</v>
      </c>
      <c r="B343" s="1300" t="s">
        <v>1829</v>
      </c>
      <c r="C343" s="1300" t="s">
        <v>1830</v>
      </c>
      <c r="D343" s="1300" t="s">
        <v>1187</v>
      </c>
      <c r="E343" s="1300" t="s">
        <v>1214</v>
      </c>
      <c r="F343" s="1300" t="s">
        <v>1831</v>
      </c>
      <c r="G343" s="1300" t="s">
        <v>1467</v>
      </c>
    </row>
    <row r="344" spans="1:8" x14ac:dyDescent="0.25">
      <c r="A344" s="1300">
        <v>1852</v>
      </c>
      <c r="B344" s="1300" t="s">
        <v>1484</v>
      </c>
      <c r="C344" s="1300" t="s">
        <v>1485</v>
      </c>
      <c r="D344" s="1300" t="s">
        <v>1187</v>
      </c>
      <c r="E344" s="1300" t="s">
        <v>1186</v>
      </c>
      <c r="F344" s="1300" t="s">
        <v>1398</v>
      </c>
      <c r="G344" s="1300" t="s">
        <v>1467</v>
      </c>
    </row>
    <row r="345" spans="1:8" x14ac:dyDescent="0.25">
      <c r="A345" s="1300">
        <v>1999</v>
      </c>
      <c r="B345" s="1300" t="s">
        <v>2092</v>
      </c>
      <c r="C345" s="1300"/>
      <c r="D345" s="1300" t="s">
        <v>1187</v>
      </c>
      <c r="E345" s="1300" t="s">
        <v>1187</v>
      </c>
      <c r="F345" s="1300" t="s">
        <v>1285</v>
      </c>
      <c r="G345" s="1300" t="s">
        <v>1467</v>
      </c>
    </row>
    <row r="346" spans="1:8" x14ac:dyDescent="0.25">
      <c r="A346" s="1300">
        <v>1900</v>
      </c>
      <c r="B346" s="1300" t="s">
        <v>2335</v>
      </c>
      <c r="C346" s="1300" t="s">
        <v>1313</v>
      </c>
      <c r="D346" s="1300" t="s">
        <v>1311</v>
      </c>
      <c r="E346" s="1300" t="s">
        <v>504</v>
      </c>
      <c r="F346" s="1300" t="s">
        <v>1312</v>
      </c>
      <c r="G346" s="1300" t="s">
        <v>1467</v>
      </c>
    </row>
    <row r="347" spans="1:8" x14ac:dyDescent="0.25">
      <c r="A347" s="1300">
        <v>2034</v>
      </c>
      <c r="B347" s="1300" t="s">
        <v>2336</v>
      </c>
      <c r="C347" s="1300"/>
      <c r="D347" s="1300" t="s">
        <v>1311</v>
      </c>
      <c r="E347" s="1300" t="s">
        <v>504</v>
      </c>
      <c r="F347" s="1300" t="s">
        <v>2248</v>
      </c>
      <c r="G347" s="1300" t="s">
        <v>1467</v>
      </c>
    </row>
    <row r="348" spans="1:8" x14ac:dyDescent="0.25">
      <c r="A348" s="1300">
        <v>1747</v>
      </c>
      <c r="B348" s="1300" t="s">
        <v>1486</v>
      </c>
      <c r="C348" s="1300"/>
      <c r="D348" s="1300" t="s">
        <v>1187</v>
      </c>
      <c r="E348" s="1300" t="s">
        <v>1186</v>
      </c>
      <c r="F348" s="1300" t="s">
        <v>1310</v>
      </c>
      <c r="G348" s="1300" t="s">
        <v>1467</v>
      </c>
    </row>
    <row r="349" spans="1:8" x14ac:dyDescent="0.25">
      <c r="A349" s="1300">
        <v>1695</v>
      </c>
      <c r="B349" s="1300" t="s">
        <v>1267</v>
      </c>
      <c r="C349" s="1300"/>
      <c r="D349" s="1300" t="s">
        <v>1187</v>
      </c>
      <c r="E349" s="1300" t="s">
        <v>1186</v>
      </c>
      <c r="F349" s="1300" t="s">
        <v>1310</v>
      </c>
      <c r="G349" s="1300" t="s">
        <v>1467</v>
      </c>
    </row>
    <row r="350" spans="1:8" x14ac:dyDescent="0.25">
      <c r="A350" s="1300">
        <v>603</v>
      </c>
      <c r="B350" s="1300" t="s">
        <v>2333</v>
      </c>
      <c r="C350" s="1300" t="s">
        <v>2334</v>
      </c>
      <c r="D350" s="1300" t="s">
        <v>873</v>
      </c>
      <c r="E350" s="1300" t="s">
        <v>873</v>
      </c>
      <c r="F350" s="1300" t="s">
        <v>1316</v>
      </c>
      <c r="G350" s="1300" t="s">
        <v>1467</v>
      </c>
    </row>
    <row r="351" spans="1:8" ht="21" customHeight="1" x14ac:dyDescent="0.25">
      <c r="A351" s="1300">
        <v>1694</v>
      </c>
      <c r="B351" s="1300" t="s">
        <v>1268</v>
      </c>
      <c r="C351" s="1300"/>
      <c r="D351" s="1300" t="s">
        <v>1187</v>
      </c>
      <c r="E351" s="1300" t="s">
        <v>1186</v>
      </c>
      <c r="F351" s="1300" t="s">
        <v>1310</v>
      </c>
      <c r="G351" s="1300" t="s">
        <v>1467</v>
      </c>
    </row>
    <row r="352" spans="1:8" ht="15" customHeight="1" x14ac:dyDescent="0.25">
      <c r="B352" s="2130" t="s">
        <v>875</v>
      </c>
      <c r="C352" s="2131"/>
      <c r="D352" s="2131"/>
      <c r="E352" s="2131"/>
      <c r="F352" s="2131"/>
      <c r="G352" s="2132"/>
      <c r="H352" s="1301"/>
    </row>
  </sheetData>
  <sheetProtection algorithmName="SHA-512" hashValue="AUhWA9Wtr7ClkOU+QvPmTuK3hXUSA49arCxLtf/pRW1umjmZHInIyl9ypa9pq+z611ciBH3xR37dfiyKalV4KQ==" saltValue="xOTGt9Ve81CQwkFTp19okg==" spinCount="100000" sheet="1" objects="1" scenarios="1" autoFilter="0"/>
  <mergeCells count="2">
    <mergeCell ref="A2:G2"/>
    <mergeCell ref="B352:G352"/>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2"/>
  <dimension ref="A1:C28"/>
  <sheetViews>
    <sheetView workbookViewId="0">
      <selection sqref="A1:C1"/>
    </sheetView>
  </sheetViews>
  <sheetFormatPr baseColWidth="10" defaultRowHeight="15" x14ac:dyDescent="0.25"/>
  <cols>
    <col min="1" max="1" width="36.42578125" bestFit="1" customWidth="1"/>
    <col min="2" max="2" width="44" bestFit="1" customWidth="1"/>
    <col min="3" max="3" width="32.7109375" bestFit="1" customWidth="1"/>
  </cols>
  <sheetData>
    <row r="1" spans="1:3" x14ac:dyDescent="0.25">
      <c r="A1" s="2133" t="s">
        <v>1608</v>
      </c>
      <c r="B1" s="2134"/>
      <c r="C1" s="2135"/>
    </row>
    <row r="2" spans="1:3" x14ac:dyDescent="0.25">
      <c r="A2" s="1086" t="s">
        <v>1609</v>
      </c>
      <c r="B2" s="1087" t="s">
        <v>1610</v>
      </c>
      <c r="C2" s="1088" t="s">
        <v>1611</v>
      </c>
    </row>
    <row r="3" spans="1:3" x14ac:dyDescent="0.25">
      <c r="A3" s="1089" t="s">
        <v>1612</v>
      </c>
      <c r="B3" s="1089" t="s">
        <v>1613</v>
      </c>
      <c r="C3" s="1089" t="s">
        <v>1614</v>
      </c>
    </row>
    <row r="4" spans="1:3" x14ac:dyDescent="0.25">
      <c r="A4" s="1089" t="s">
        <v>1615</v>
      </c>
      <c r="B4" s="1089" t="s">
        <v>1616</v>
      </c>
      <c r="C4" s="1089" t="s">
        <v>1614</v>
      </c>
    </row>
    <row r="5" spans="1:3" x14ac:dyDescent="0.25">
      <c r="A5" s="1089" t="s">
        <v>1617</v>
      </c>
      <c r="B5" s="1089" t="s">
        <v>1618</v>
      </c>
      <c r="C5" s="1089" t="s">
        <v>1614</v>
      </c>
    </row>
    <row r="6" spans="1:3" x14ac:dyDescent="0.25">
      <c r="A6" s="1089" t="s">
        <v>1619</v>
      </c>
      <c r="B6" s="1089" t="s">
        <v>1620</v>
      </c>
      <c r="C6" s="1089" t="s">
        <v>1614</v>
      </c>
    </row>
    <row r="7" spans="1:3" x14ac:dyDescent="0.25">
      <c r="A7" s="1089" t="s">
        <v>1621</v>
      </c>
      <c r="B7" s="1089"/>
      <c r="C7" s="1089" t="s">
        <v>1614</v>
      </c>
    </row>
    <row r="8" spans="1:3" x14ac:dyDescent="0.25">
      <c r="A8" s="1089" t="s">
        <v>1622</v>
      </c>
      <c r="B8" s="1089" t="s">
        <v>1623</v>
      </c>
      <c r="C8" s="1089" t="s">
        <v>1614</v>
      </c>
    </row>
    <row r="9" spans="1:3" x14ac:dyDescent="0.25">
      <c r="A9" s="1089" t="s">
        <v>1624</v>
      </c>
      <c r="B9" s="1089" t="s">
        <v>1625</v>
      </c>
      <c r="C9" s="1089" t="s">
        <v>1614</v>
      </c>
    </row>
    <row r="10" spans="1:3" x14ac:dyDescent="0.25">
      <c r="A10" s="1089" t="s">
        <v>1626</v>
      </c>
      <c r="B10" s="1089" t="s">
        <v>1627</v>
      </c>
      <c r="C10" s="1089" t="s">
        <v>1628</v>
      </c>
    </row>
    <row r="11" spans="1:3" x14ac:dyDescent="0.25">
      <c r="A11" s="1089" t="s">
        <v>1629</v>
      </c>
      <c r="B11" s="1089" t="s">
        <v>1630</v>
      </c>
      <c r="C11" s="1089" t="s">
        <v>1614</v>
      </c>
    </row>
    <row r="12" spans="1:3" x14ac:dyDescent="0.25">
      <c r="A12" s="1089" t="s">
        <v>1631</v>
      </c>
      <c r="B12" s="1089"/>
      <c r="C12" s="1089" t="s">
        <v>1614</v>
      </c>
    </row>
    <row r="13" spans="1:3" x14ac:dyDescent="0.25">
      <c r="A13" s="1089" t="s">
        <v>1632</v>
      </c>
      <c r="B13" s="1089" t="s">
        <v>1633</v>
      </c>
      <c r="C13" s="1089" t="s">
        <v>1614</v>
      </c>
    </row>
    <row r="14" spans="1:3" x14ac:dyDescent="0.25">
      <c r="A14" s="1089" t="s">
        <v>1634</v>
      </c>
      <c r="B14" s="1089" t="s">
        <v>1635</v>
      </c>
      <c r="C14" s="1089" t="s">
        <v>1614</v>
      </c>
    </row>
    <row r="15" spans="1:3" x14ac:dyDescent="0.25">
      <c r="A15" s="1089" t="s">
        <v>1636</v>
      </c>
      <c r="B15" s="1089" t="s">
        <v>1637</v>
      </c>
      <c r="C15" s="1089" t="s">
        <v>1614</v>
      </c>
    </row>
    <row r="16" spans="1:3" x14ac:dyDescent="0.25">
      <c r="A16" s="1089" t="s">
        <v>1638</v>
      </c>
      <c r="B16" s="1089" t="s">
        <v>1639</v>
      </c>
      <c r="C16" s="1089" t="s">
        <v>1614</v>
      </c>
    </row>
    <row r="17" spans="1:3" x14ac:dyDescent="0.25">
      <c r="A17" s="1090" t="s">
        <v>1640</v>
      </c>
      <c r="B17" s="1090" t="s">
        <v>1641</v>
      </c>
      <c r="C17" s="1091" t="s">
        <v>1642</v>
      </c>
    </row>
    <row r="18" spans="1:3" x14ac:dyDescent="0.25">
      <c r="A18" s="1090" t="s">
        <v>1643</v>
      </c>
      <c r="B18" s="1090" t="s">
        <v>1644</v>
      </c>
      <c r="C18" s="1091" t="s">
        <v>1642</v>
      </c>
    </row>
    <row r="19" spans="1:3" x14ac:dyDescent="0.25">
      <c r="A19" s="1090" t="s">
        <v>1645</v>
      </c>
      <c r="B19" s="1090" t="s">
        <v>1646</v>
      </c>
      <c r="C19" s="1091" t="s">
        <v>1642</v>
      </c>
    </row>
    <row r="20" spans="1:3" x14ac:dyDescent="0.25">
      <c r="A20" s="1090" t="s">
        <v>1647</v>
      </c>
      <c r="B20" s="1090" t="s">
        <v>1648</v>
      </c>
      <c r="C20" s="1091" t="s">
        <v>1642</v>
      </c>
    </row>
    <row r="21" spans="1:3" x14ac:dyDescent="0.25">
      <c r="A21" s="1090" t="s">
        <v>1649</v>
      </c>
      <c r="B21" s="1090" t="s">
        <v>1650</v>
      </c>
      <c r="C21" s="1091" t="s">
        <v>1642</v>
      </c>
    </row>
    <row r="22" spans="1:3" x14ac:dyDescent="0.25">
      <c r="A22" s="956" t="s">
        <v>1651</v>
      </c>
      <c r="B22" s="1089"/>
      <c r="C22" s="1091" t="s">
        <v>1652</v>
      </c>
    </row>
    <row r="23" spans="1:3" x14ac:dyDescent="0.25">
      <c r="A23" s="956" t="s">
        <v>1653</v>
      </c>
      <c r="B23" s="1089"/>
      <c r="C23" s="1091" t="s">
        <v>1652</v>
      </c>
    </row>
    <row r="24" spans="1:3" x14ac:dyDescent="0.25">
      <c r="A24" s="956" t="s">
        <v>1654</v>
      </c>
      <c r="B24" s="1089"/>
      <c r="C24" s="1091" t="s">
        <v>1652</v>
      </c>
    </row>
    <row r="25" spans="1:3" x14ac:dyDescent="0.25">
      <c r="A25" s="956" t="s">
        <v>1655</v>
      </c>
      <c r="B25" s="1089"/>
      <c r="C25" s="1091" t="s">
        <v>1652</v>
      </c>
    </row>
    <row r="26" spans="1:3" x14ac:dyDescent="0.25">
      <c r="A26" s="956" t="s">
        <v>1656</v>
      </c>
      <c r="B26" s="1089"/>
      <c r="C26" s="1091" t="s">
        <v>1652</v>
      </c>
    </row>
    <row r="27" spans="1:3" x14ac:dyDescent="0.25">
      <c r="A27" s="956" t="s">
        <v>1657</v>
      </c>
      <c r="B27" s="1089"/>
      <c r="C27" s="1091" t="s">
        <v>1652</v>
      </c>
    </row>
    <row r="28" spans="1:3" x14ac:dyDescent="0.25">
      <c r="A28" s="956" t="s">
        <v>1658</v>
      </c>
      <c r="B28" s="1089"/>
      <c r="C28" s="1091" t="s">
        <v>1659</v>
      </c>
    </row>
  </sheetData>
  <sheetProtection algorithmName="SHA-512" hashValue="S8g9SJiv1tN5gfwP9qR1YOT957MI3nB9OWE46TipSe5xZVEg5ePj+vbUoQgi/QDaca4jQjOU8piFj4NxFvZQiw==" saltValue="1Qsn4HcOxwtl7dDMmqKrzg==" spinCount="100000" sheet="1" objects="1" scenarios="1"/>
  <mergeCells count="1">
    <mergeCell ref="A1:C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4:L40"/>
  <sheetViews>
    <sheetView workbookViewId="0">
      <selection activeCell="A9" sqref="A9:H9"/>
    </sheetView>
  </sheetViews>
  <sheetFormatPr baseColWidth="10" defaultRowHeight="12" customHeight="1" x14ac:dyDescent="0.25"/>
  <cols>
    <col min="1" max="1" width="2" style="894" customWidth="1"/>
    <col min="2" max="2" width="2.140625" style="893" customWidth="1"/>
    <col min="3" max="3" width="0.7109375" style="894" customWidth="1"/>
    <col min="4" max="9" width="11.42578125" style="894"/>
    <col min="10" max="10" width="20.85546875" style="894" customWidth="1"/>
    <col min="11" max="256" width="11.42578125" style="894"/>
    <col min="257" max="257" width="2" style="894" customWidth="1"/>
    <col min="258" max="258" width="2.140625" style="894" customWidth="1"/>
    <col min="259" max="259" width="0.7109375" style="894" customWidth="1"/>
    <col min="260" max="265" width="11.42578125" style="894"/>
    <col min="266" max="266" width="20.85546875" style="894" customWidth="1"/>
    <col min="267" max="512" width="11.42578125" style="894"/>
    <col min="513" max="513" width="2" style="894" customWidth="1"/>
    <col min="514" max="514" width="2.140625" style="894" customWidth="1"/>
    <col min="515" max="515" width="0.7109375" style="894" customWidth="1"/>
    <col min="516" max="521" width="11.42578125" style="894"/>
    <col min="522" max="522" width="20.85546875" style="894" customWidth="1"/>
    <col min="523" max="768" width="11.42578125" style="894"/>
    <col min="769" max="769" width="2" style="894" customWidth="1"/>
    <col min="770" max="770" width="2.140625" style="894" customWidth="1"/>
    <col min="771" max="771" width="0.7109375" style="894" customWidth="1"/>
    <col min="772" max="777" width="11.42578125" style="894"/>
    <col min="778" max="778" width="20.85546875" style="894" customWidth="1"/>
    <col min="779" max="1024" width="11.42578125" style="894"/>
    <col min="1025" max="1025" width="2" style="894" customWidth="1"/>
    <col min="1026" max="1026" width="2.140625" style="894" customWidth="1"/>
    <col min="1027" max="1027" width="0.7109375" style="894" customWidth="1"/>
    <col min="1028" max="1033" width="11.42578125" style="894"/>
    <col min="1034" max="1034" width="20.85546875" style="894" customWidth="1"/>
    <col min="1035" max="1280" width="11.42578125" style="894"/>
    <col min="1281" max="1281" width="2" style="894" customWidth="1"/>
    <col min="1282" max="1282" width="2.140625" style="894" customWidth="1"/>
    <col min="1283" max="1283" width="0.7109375" style="894" customWidth="1"/>
    <col min="1284" max="1289" width="11.42578125" style="894"/>
    <col min="1290" max="1290" width="20.85546875" style="894" customWidth="1"/>
    <col min="1291" max="1536" width="11.42578125" style="894"/>
    <col min="1537" max="1537" width="2" style="894" customWidth="1"/>
    <col min="1538" max="1538" width="2.140625" style="894" customWidth="1"/>
    <col min="1539" max="1539" width="0.7109375" style="894" customWidth="1"/>
    <col min="1540" max="1545" width="11.42578125" style="894"/>
    <col min="1546" max="1546" width="20.85546875" style="894" customWidth="1"/>
    <col min="1547" max="1792" width="11.42578125" style="894"/>
    <col min="1793" max="1793" width="2" style="894" customWidth="1"/>
    <col min="1794" max="1794" width="2.140625" style="894" customWidth="1"/>
    <col min="1795" max="1795" width="0.7109375" style="894" customWidth="1"/>
    <col min="1796" max="1801" width="11.42578125" style="894"/>
    <col min="1802" max="1802" width="20.85546875" style="894" customWidth="1"/>
    <col min="1803" max="2048" width="11.42578125" style="894"/>
    <col min="2049" max="2049" width="2" style="894" customWidth="1"/>
    <col min="2050" max="2050" width="2.140625" style="894" customWidth="1"/>
    <col min="2051" max="2051" width="0.7109375" style="894" customWidth="1"/>
    <col min="2052" max="2057" width="11.42578125" style="894"/>
    <col min="2058" max="2058" width="20.85546875" style="894" customWidth="1"/>
    <col min="2059" max="2304" width="11.42578125" style="894"/>
    <col min="2305" max="2305" width="2" style="894" customWidth="1"/>
    <col min="2306" max="2306" width="2.140625" style="894" customWidth="1"/>
    <col min="2307" max="2307" width="0.7109375" style="894" customWidth="1"/>
    <col min="2308" max="2313" width="11.42578125" style="894"/>
    <col min="2314" max="2314" width="20.85546875" style="894" customWidth="1"/>
    <col min="2315" max="2560" width="11.42578125" style="894"/>
    <col min="2561" max="2561" width="2" style="894" customWidth="1"/>
    <col min="2562" max="2562" width="2.140625" style="894" customWidth="1"/>
    <col min="2563" max="2563" width="0.7109375" style="894" customWidth="1"/>
    <col min="2564" max="2569" width="11.42578125" style="894"/>
    <col min="2570" max="2570" width="20.85546875" style="894" customWidth="1"/>
    <col min="2571" max="2816" width="11.42578125" style="894"/>
    <col min="2817" max="2817" width="2" style="894" customWidth="1"/>
    <col min="2818" max="2818" width="2.140625" style="894" customWidth="1"/>
    <col min="2819" max="2819" width="0.7109375" style="894" customWidth="1"/>
    <col min="2820" max="2825" width="11.42578125" style="894"/>
    <col min="2826" max="2826" width="20.85546875" style="894" customWidth="1"/>
    <col min="2827" max="3072" width="11.42578125" style="894"/>
    <col min="3073" max="3073" width="2" style="894" customWidth="1"/>
    <col min="3074" max="3074" width="2.140625" style="894" customWidth="1"/>
    <col min="3075" max="3075" width="0.7109375" style="894" customWidth="1"/>
    <col min="3076" max="3081" width="11.42578125" style="894"/>
    <col min="3082" max="3082" width="20.85546875" style="894" customWidth="1"/>
    <col min="3083" max="3328" width="11.42578125" style="894"/>
    <col min="3329" max="3329" width="2" style="894" customWidth="1"/>
    <col min="3330" max="3330" width="2.140625" style="894" customWidth="1"/>
    <col min="3331" max="3331" width="0.7109375" style="894" customWidth="1"/>
    <col min="3332" max="3337" width="11.42578125" style="894"/>
    <col min="3338" max="3338" width="20.85546875" style="894" customWidth="1"/>
    <col min="3339" max="3584" width="11.42578125" style="894"/>
    <col min="3585" max="3585" width="2" style="894" customWidth="1"/>
    <col min="3586" max="3586" width="2.140625" style="894" customWidth="1"/>
    <col min="3587" max="3587" width="0.7109375" style="894" customWidth="1"/>
    <col min="3588" max="3593" width="11.42578125" style="894"/>
    <col min="3594" max="3594" width="20.85546875" style="894" customWidth="1"/>
    <col min="3595" max="3840" width="11.42578125" style="894"/>
    <col min="3841" max="3841" width="2" style="894" customWidth="1"/>
    <col min="3842" max="3842" width="2.140625" style="894" customWidth="1"/>
    <col min="3843" max="3843" width="0.7109375" style="894" customWidth="1"/>
    <col min="3844" max="3849" width="11.42578125" style="894"/>
    <col min="3850" max="3850" width="20.85546875" style="894" customWidth="1"/>
    <col min="3851" max="4096" width="11.42578125" style="894"/>
    <col min="4097" max="4097" width="2" style="894" customWidth="1"/>
    <col min="4098" max="4098" width="2.140625" style="894" customWidth="1"/>
    <col min="4099" max="4099" width="0.7109375" style="894" customWidth="1"/>
    <col min="4100" max="4105" width="11.42578125" style="894"/>
    <col min="4106" max="4106" width="20.85546875" style="894" customWidth="1"/>
    <col min="4107" max="4352" width="11.42578125" style="894"/>
    <col min="4353" max="4353" width="2" style="894" customWidth="1"/>
    <col min="4354" max="4354" width="2.140625" style="894" customWidth="1"/>
    <col min="4355" max="4355" width="0.7109375" style="894" customWidth="1"/>
    <col min="4356" max="4361" width="11.42578125" style="894"/>
    <col min="4362" max="4362" width="20.85546875" style="894" customWidth="1"/>
    <col min="4363" max="4608" width="11.42578125" style="894"/>
    <col min="4609" max="4609" width="2" style="894" customWidth="1"/>
    <col min="4610" max="4610" width="2.140625" style="894" customWidth="1"/>
    <col min="4611" max="4611" width="0.7109375" style="894" customWidth="1"/>
    <col min="4612" max="4617" width="11.42578125" style="894"/>
    <col min="4618" max="4618" width="20.85546875" style="894" customWidth="1"/>
    <col min="4619" max="4864" width="11.42578125" style="894"/>
    <col min="4865" max="4865" width="2" style="894" customWidth="1"/>
    <col min="4866" max="4866" width="2.140625" style="894" customWidth="1"/>
    <col min="4867" max="4867" width="0.7109375" style="894" customWidth="1"/>
    <col min="4868" max="4873" width="11.42578125" style="894"/>
    <col min="4874" max="4874" width="20.85546875" style="894" customWidth="1"/>
    <col min="4875" max="5120" width="11.42578125" style="894"/>
    <col min="5121" max="5121" width="2" style="894" customWidth="1"/>
    <col min="5122" max="5122" width="2.140625" style="894" customWidth="1"/>
    <col min="5123" max="5123" width="0.7109375" style="894" customWidth="1"/>
    <col min="5124" max="5129" width="11.42578125" style="894"/>
    <col min="5130" max="5130" width="20.85546875" style="894" customWidth="1"/>
    <col min="5131" max="5376" width="11.42578125" style="894"/>
    <col min="5377" max="5377" width="2" style="894" customWidth="1"/>
    <col min="5378" max="5378" width="2.140625" style="894" customWidth="1"/>
    <col min="5379" max="5379" width="0.7109375" style="894" customWidth="1"/>
    <col min="5380" max="5385" width="11.42578125" style="894"/>
    <col min="5386" max="5386" width="20.85546875" style="894" customWidth="1"/>
    <col min="5387" max="5632" width="11.42578125" style="894"/>
    <col min="5633" max="5633" width="2" style="894" customWidth="1"/>
    <col min="5634" max="5634" width="2.140625" style="894" customWidth="1"/>
    <col min="5635" max="5635" width="0.7109375" style="894" customWidth="1"/>
    <col min="5636" max="5641" width="11.42578125" style="894"/>
    <col min="5642" max="5642" width="20.85546875" style="894" customWidth="1"/>
    <col min="5643" max="5888" width="11.42578125" style="894"/>
    <col min="5889" max="5889" width="2" style="894" customWidth="1"/>
    <col min="5890" max="5890" width="2.140625" style="894" customWidth="1"/>
    <col min="5891" max="5891" width="0.7109375" style="894" customWidth="1"/>
    <col min="5892" max="5897" width="11.42578125" style="894"/>
    <col min="5898" max="5898" width="20.85546875" style="894" customWidth="1"/>
    <col min="5899" max="6144" width="11.42578125" style="894"/>
    <col min="6145" max="6145" width="2" style="894" customWidth="1"/>
    <col min="6146" max="6146" width="2.140625" style="894" customWidth="1"/>
    <col min="6147" max="6147" width="0.7109375" style="894" customWidth="1"/>
    <col min="6148" max="6153" width="11.42578125" style="894"/>
    <col min="6154" max="6154" width="20.85546875" style="894" customWidth="1"/>
    <col min="6155" max="6400" width="11.42578125" style="894"/>
    <col min="6401" max="6401" width="2" style="894" customWidth="1"/>
    <col min="6402" max="6402" width="2.140625" style="894" customWidth="1"/>
    <col min="6403" max="6403" width="0.7109375" style="894" customWidth="1"/>
    <col min="6404" max="6409" width="11.42578125" style="894"/>
    <col min="6410" max="6410" width="20.85546875" style="894" customWidth="1"/>
    <col min="6411" max="6656" width="11.42578125" style="894"/>
    <col min="6657" max="6657" width="2" style="894" customWidth="1"/>
    <col min="6658" max="6658" width="2.140625" style="894" customWidth="1"/>
    <col min="6659" max="6659" width="0.7109375" style="894" customWidth="1"/>
    <col min="6660" max="6665" width="11.42578125" style="894"/>
    <col min="6666" max="6666" width="20.85546875" style="894" customWidth="1"/>
    <col min="6667" max="6912" width="11.42578125" style="894"/>
    <col min="6913" max="6913" width="2" style="894" customWidth="1"/>
    <col min="6914" max="6914" width="2.140625" style="894" customWidth="1"/>
    <col min="6915" max="6915" width="0.7109375" style="894" customWidth="1"/>
    <col min="6916" max="6921" width="11.42578125" style="894"/>
    <col min="6922" max="6922" width="20.85546875" style="894" customWidth="1"/>
    <col min="6923" max="7168" width="11.42578125" style="894"/>
    <col min="7169" max="7169" width="2" style="894" customWidth="1"/>
    <col min="7170" max="7170" width="2.140625" style="894" customWidth="1"/>
    <col min="7171" max="7171" width="0.7109375" style="894" customWidth="1"/>
    <col min="7172" max="7177" width="11.42578125" style="894"/>
    <col min="7178" max="7178" width="20.85546875" style="894" customWidth="1"/>
    <col min="7179" max="7424" width="11.42578125" style="894"/>
    <col min="7425" max="7425" width="2" style="894" customWidth="1"/>
    <col min="7426" max="7426" width="2.140625" style="894" customWidth="1"/>
    <col min="7427" max="7427" width="0.7109375" style="894" customWidth="1"/>
    <col min="7428" max="7433" width="11.42578125" style="894"/>
    <col min="7434" max="7434" width="20.85546875" style="894" customWidth="1"/>
    <col min="7435" max="7680" width="11.42578125" style="894"/>
    <col min="7681" max="7681" width="2" style="894" customWidth="1"/>
    <col min="7682" max="7682" width="2.140625" style="894" customWidth="1"/>
    <col min="7683" max="7683" width="0.7109375" style="894" customWidth="1"/>
    <col min="7684" max="7689" width="11.42578125" style="894"/>
    <col min="7690" max="7690" width="20.85546875" style="894" customWidth="1"/>
    <col min="7691" max="7936" width="11.42578125" style="894"/>
    <col min="7937" max="7937" width="2" style="894" customWidth="1"/>
    <col min="7938" max="7938" width="2.140625" style="894" customWidth="1"/>
    <col min="7939" max="7939" width="0.7109375" style="894" customWidth="1"/>
    <col min="7940" max="7945" width="11.42578125" style="894"/>
    <col min="7946" max="7946" width="20.85546875" style="894" customWidth="1"/>
    <col min="7947" max="8192" width="11.42578125" style="894"/>
    <col min="8193" max="8193" width="2" style="894" customWidth="1"/>
    <col min="8194" max="8194" width="2.140625" style="894" customWidth="1"/>
    <col min="8195" max="8195" width="0.7109375" style="894" customWidth="1"/>
    <col min="8196" max="8201" width="11.42578125" style="894"/>
    <col min="8202" max="8202" width="20.85546875" style="894" customWidth="1"/>
    <col min="8203" max="8448" width="11.42578125" style="894"/>
    <col min="8449" max="8449" width="2" style="894" customWidth="1"/>
    <col min="8450" max="8450" width="2.140625" style="894" customWidth="1"/>
    <col min="8451" max="8451" width="0.7109375" style="894" customWidth="1"/>
    <col min="8452" max="8457" width="11.42578125" style="894"/>
    <col min="8458" max="8458" width="20.85546875" style="894" customWidth="1"/>
    <col min="8459" max="8704" width="11.42578125" style="894"/>
    <col min="8705" max="8705" width="2" style="894" customWidth="1"/>
    <col min="8706" max="8706" width="2.140625" style="894" customWidth="1"/>
    <col min="8707" max="8707" width="0.7109375" style="894" customWidth="1"/>
    <col min="8708" max="8713" width="11.42578125" style="894"/>
    <col min="8714" max="8714" width="20.85546875" style="894" customWidth="1"/>
    <col min="8715" max="8960" width="11.42578125" style="894"/>
    <col min="8961" max="8961" width="2" style="894" customWidth="1"/>
    <col min="8962" max="8962" width="2.140625" style="894" customWidth="1"/>
    <col min="8963" max="8963" width="0.7109375" style="894" customWidth="1"/>
    <col min="8964" max="8969" width="11.42578125" style="894"/>
    <col min="8970" max="8970" width="20.85546875" style="894" customWidth="1"/>
    <col min="8971" max="9216" width="11.42578125" style="894"/>
    <col min="9217" max="9217" width="2" style="894" customWidth="1"/>
    <col min="9218" max="9218" width="2.140625" style="894" customWidth="1"/>
    <col min="9219" max="9219" width="0.7109375" style="894" customWidth="1"/>
    <col min="9220" max="9225" width="11.42578125" style="894"/>
    <col min="9226" max="9226" width="20.85546875" style="894" customWidth="1"/>
    <col min="9227" max="9472" width="11.42578125" style="894"/>
    <col min="9473" max="9473" width="2" style="894" customWidth="1"/>
    <col min="9474" max="9474" width="2.140625" style="894" customWidth="1"/>
    <col min="9475" max="9475" width="0.7109375" style="894" customWidth="1"/>
    <col min="9476" max="9481" width="11.42578125" style="894"/>
    <col min="9482" max="9482" width="20.85546875" style="894" customWidth="1"/>
    <col min="9483" max="9728" width="11.42578125" style="894"/>
    <col min="9729" max="9729" width="2" style="894" customWidth="1"/>
    <col min="9730" max="9730" width="2.140625" style="894" customWidth="1"/>
    <col min="9731" max="9731" width="0.7109375" style="894" customWidth="1"/>
    <col min="9732" max="9737" width="11.42578125" style="894"/>
    <col min="9738" max="9738" width="20.85546875" style="894" customWidth="1"/>
    <col min="9739" max="9984" width="11.42578125" style="894"/>
    <col min="9985" max="9985" width="2" style="894" customWidth="1"/>
    <col min="9986" max="9986" width="2.140625" style="894" customWidth="1"/>
    <col min="9987" max="9987" width="0.7109375" style="894" customWidth="1"/>
    <col min="9988" max="9993" width="11.42578125" style="894"/>
    <col min="9994" max="9994" width="20.85546875" style="894" customWidth="1"/>
    <col min="9995" max="10240" width="11.42578125" style="894"/>
    <col min="10241" max="10241" width="2" style="894" customWidth="1"/>
    <col min="10242" max="10242" width="2.140625" style="894" customWidth="1"/>
    <col min="10243" max="10243" width="0.7109375" style="894" customWidth="1"/>
    <col min="10244" max="10249" width="11.42578125" style="894"/>
    <col min="10250" max="10250" width="20.85546875" style="894" customWidth="1"/>
    <col min="10251" max="10496" width="11.42578125" style="894"/>
    <col min="10497" max="10497" width="2" style="894" customWidth="1"/>
    <col min="10498" max="10498" width="2.140625" style="894" customWidth="1"/>
    <col min="10499" max="10499" width="0.7109375" style="894" customWidth="1"/>
    <col min="10500" max="10505" width="11.42578125" style="894"/>
    <col min="10506" max="10506" width="20.85546875" style="894" customWidth="1"/>
    <col min="10507" max="10752" width="11.42578125" style="894"/>
    <col min="10753" max="10753" width="2" style="894" customWidth="1"/>
    <col min="10754" max="10754" width="2.140625" style="894" customWidth="1"/>
    <col min="10755" max="10755" width="0.7109375" style="894" customWidth="1"/>
    <col min="10756" max="10761" width="11.42578125" style="894"/>
    <col min="10762" max="10762" width="20.85546875" style="894" customWidth="1"/>
    <col min="10763" max="11008" width="11.42578125" style="894"/>
    <col min="11009" max="11009" width="2" style="894" customWidth="1"/>
    <col min="11010" max="11010" width="2.140625" style="894" customWidth="1"/>
    <col min="11011" max="11011" width="0.7109375" style="894" customWidth="1"/>
    <col min="11012" max="11017" width="11.42578125" style="894"/>
    <col min="11018" max="11018" width="20.85546875" style="894" customWidth="1"/>
    <col min="11019" max="11264" width="11.42578125" style="894"/>
    <col min="11265" max="11265" width="2" style="894" customWidth="1"/>
    <col min="11266" max="11266" width="2.140625" style="894" customWidth="1"/>
    <col min="11267" max="11267" width="0.7109375" style="894" customWidth="1"/>
    <col min="11268" max="11273" width="11.42578125" style="894"/>
    <col min="11274" max="11274" width="20.85546875" style="894" customWidth="1"/>
    <col min="11275" max="11520" width="11.42578125" style="894"/>
    <col min="11521" max="11521" width="2" style="894" customWidth="1"/>
    <col min="11522" max="11522" width="2.140625" style="894" customWidth="1"/>
    <col min="11523" max="11523" width="0.7109375" style="894" customWidth="1"/>
    <col min="11524" max="11529" width="11.42578125" style="894"/>
    <col min="11530" max="11530" width="20.85546875" style="894" customWidth="1"/>
    <col min="11531" max="11776" width="11.42578125" style="894"/>
    <col min="11777" max="11777" width="2" style="894" customWidth="1"/>
    <col min="11778" max="11778" width="2.140625" style="894" customWidth="1"/>
    <col min="11779" max="11779" width="0.7109375" style="894" customWidth="1"/>
    <col min="11780" max="11785" width="11.42578125" style="894"/>
    <col min="11786" max="11786" width="20.85546875" style="894" customWidth="1"/>
    <col min="11787" max="12032" width="11.42578125" style="894"/>
    <col min="12033" max="12033" width="2" style="894" customWidth="1"/>
    <col min="12034" max="12034" width="2.140625" style="894" customWidth="1"/>
    <col min="12035" max="12035" width="0.7109375" style="894" customWidth="1"/>
    <col min="12036" max="12041" width="11.42578125" style="894"/>
    <col min="12042" max="12042" width="20.85546875" style="894" customWidth="1"/>
    <col min="12043" max="12288" width="11.42578125" style="894"/>
    <col min="12289" max="12289" width="2" style="894" customWidth="1"/>
    <col min="12290" max="12290" width="2.140625" style="894" customWidth="1"/>
    <col min="12291" max="12291" width="0.7109375" style="894" customWidth="1"/>
    <col min="12292" max="12297" width="11.42578125" style="894"/>
    <col min="12298" max="12298" width="20.85546875" style="894" customWidth="1"/>
    <col min="12299" max="12544" width="11.42578125" style="894"/>
    <col min="12545" max="12545" width="2" style="894" customWidth="1"/>
    <col min="12546" max="12546" width="2.140625" style="894" customWidth="1"/>
    <col min="12547" max="12547" width="0.7109375" style="894" customWidth="1"/>
    <col min="12548" max="12553" width="11.42578125" style="894"/>
    <col min="12554" max="12554" width="20.85546875" style="894" customWidth="1"/>
    <col min="12555" max="12800" width="11.42578125" style="894"/>
    <col min="12801" max="12801" width="2" style="894" customWidth="1"/>
    <col min="12802" max="12802" width="2.140625" style="894" customWidth="1"/>
    <col min="12803" max="12803" width="0.7109375" style="894" customWidth="1"/>
    <col min="12804" max="12809" width="11.42578125" style="894"/>
    <col min="12810" max="12810" width="20.85546875" style="894" customWidth="1"/>
    <col min="12811" max="13056" width="11.42578125" style="894"/>
    <col min="13057" max="13057" width="2" style="894" customWidth="1"/>
    <col min="13058" max="13058" width="2.140625" style="894" customWidth="1"/>
    <col min="13059" max="13059" width="0.7109375" style="894" customWidth="1"/>
    <col min="13060" max="13065" width="11.42578125" style="894"/>
    <col min="13066" max="13066" width="20.85546875" style="894" customWidth="1"/>
    <col min="13067" max="13312" width="11.42578125" style="894"/>
    <col min="13313" max="13313" width="2" style="894" customWidth="1"/>
    <col min="13314" max="13314" width="2.140625" style="894" customWidth="1"/>
    <col min="13315" max="13315" width="0.7109375" style="894" customWidth="1"/>
    <col min="13316" max="13321" width="11.42578125" style="894"/>
    <col min="13322" max="13322" width="20.85546875" style="894" customWidth="1"/>
    <col min="13323" max="13568" width="11.42578125" style="894"/>
    <col min="13569" max="13569" width="2" style="894" customWidth="1"/>
    <col min="13570" max="13570" width="2.140625" style="894" customWidth="1"/>
    <col min="13571" max="13571" width="0.7109375" style="894" customWidth="1"/>
    <col min="13572" max="13577" width="11.42578125" style="894"/>
    <col min="13578" max="13578" width="20.85546875" style="894" customWidth="1"/>
    <col min="13579" max="13824" width="11.42578125" style="894"/>
    <col min="13825" max="13825" width="2" style="894" customWidth="1"/>
    <col min="13826" max="13826" width="2.140625" style="894" customWidth="1"/>
    <col min="13827" max="13827" width="0.7109375" style="894" customWidth="1"/>
    <col min="13828" max="13833" width="11.42578125" style="894"/>
    <col min="13834" max="13834" width="20.85546875" style="894" customWidth="1"/>
    <col min="13835" max="14080" width="11.42578125" style="894"/>
    <col min="14081" max="14081" width="2" style="894" customWidth="1"/>
    <col min="14082" max="14082" width="2.140625" style="894" customWidth="1"/>
    <col min="14083" max="14083" width="0.7109375" style="894" customWidth="1"/>
    <col min="14084" max="14089" width="11.42578125" style="894"/>
    <col min="14090" max="14090" width="20.85546875" style="894" customWidth="1"/>
    <col min="14091" max="14336" width="11.42578125" style="894"/>
    <col min="14337" max="14337" width="2" style="894" customWidth="1"/>
    <col min="14338" max="14338" width="2.140625" style="894" customWidth="1"/>
    <col min="14339" max="14339" width="0.7109375" style="894" customWidth="1"/>
    <col min="14340" max="14345" width="11.42578125" style="894"/>
    <col min="14346" max="14346" width="20.85546875" style="894" customWidth="1"/>
    <col min="14347" max="14592" width="11.42578125" style="894"/>
    <col min="14593" max="14593" width="2" style="894" customWidth="1"/>
    <col min="14594" max="14594" width="2.140625" style="894" customWidth="1"/>
    <col min="14595" max="14595" width="0.7109375" style="894" customWidth="1"/>
    <col min="14596" max="14601" width="11.42578125" style="894"/>
    <col min="14602" max="14602" width="20.85546875" style="894" customWidth="1"/>
    <col min="14603" max="14848" width="11.42578125" style="894"/>
    <col min="14849" max="14849" width="2" style="894" customWidth="1"/>
    <col min="14850" max="14850" width="2.140625" style="894" customWidth="1"/>
    <col min="14851" max="14851" width="0.7109375" style="894" customWidth="1"/>
    <col min="14852" max="14857" width="11.42578125" style="894"/>
    <col min="14858" max="14858" width="20.85546875" style="894" customWidth="1"/>
    <col min="14859" max="15104" width="11.42578125" style="894"/>
    <col min="15105" max="15105" width="2" style="894" customWidth="1"/>
    <col min="15106" max="15106" width="2.140625" style="894" customWidth="1"/>
    <col min="15107" max="15107" width="0.7109375" style="894" customWidth="1"/>
    <col min="15108" max="15113" width="11.42578125" style="894"/>
    <col min="15114" max="15114" width="20.85546875" style="894" customWidth="1"/>
    <col min="15115" max="15360" width="11.42578125" style="894"/>
    <col min="15361" max="15361" width="2" style="894" customWidth="1"/>
    <col min="15362" max="15362" width="2.140625" style="894" customWidth="1"/>
    <col min="15363" max="15363" width="0.7109375" style="894" customWidth="1"/>
    <col min="15364" max="15369" width="11.42578125" style="894"/>
    <col min="15370" max="15370" width="20.85546875" style="894" customWidth="1"/>
    <col min="15371" max="15616" width="11.42578125" style="894"/>
    <col min="15617" max="15617" width="2" style="894" customWidth="1"/>
    <col min="15618" max="15618" width="2.140625" style="894" customWidth="1"/>
    <col min="15619" max="15619" width="0.7109375" style="894" customWidth="1"/>
    <col min="15620" max="15625" width="11.42578125" style="894"/>
    <col min="15626" max="15626" width="20.85546875" style="894" customWidth="1"/>
    <col min="15627" max="15872" width="11.42578125" style="894"/>
    <col min="15873" max="15873" width="2" style="894" customWidth="1"/>
    <col min="15874" max="15874" width="2.140625" style="894" customWidth="1"/>
    <col min="15875" max="15875" width="0.7109375" style="894" customWidth="1"/>
    <col min="15876" max="15881" width="11.42578125" style="894"/>
    <col min="15882" max="15882" width="20.85546875" style="894" customWidth="1"/>
    <col min="15883" max="16128" width="11.42578125" style="894"/>
    <col min="16129" max="16129" width="2" style="894" customWidth="1"/>
    <col min="16130" max="16130" width="2.140625" style="894" customWidth="1"/>
    <col min="16131" max="16131" width="0.7109375" style="894" customWidth="1"/>
    <col min="16132" max="16137" width="11.42578125" style="894"/>
    <col min="16138" max="16138" width="20.85546875" style="894" customWidth="1"/>
    <col min="16139" max="16384" width="11.42578125" style="894"/>
  </cols>
  <sheetData>
    <row r="4" spans="1:12" ht="12" customHeight="1" x14ac:dyDescent="0.25">
      <c r="A4" s="892"/>
      <c r="C4" s="892"/>
      <c r="D4" s="892"/>
      <c r="E4" s="892"/>
      <c r="F4" s="892"/>
      <c r="G4" s="892"/>
      <c r="H4" s="892"/>
      <c r="I4" s="892"/>
      <c r="J4" s="892"/>
      <c r="K4" s="892"/>
    </row>
    <row r="5" spans="1:12" ht="15.75" x14ac:dyDescent="0.25">
      <c r="A5" s="2142" t="s">
        <v>1045</v>
      </c>
      <c r="B5" s="2142"/>
      <c r="C5" s="2142"/>
      <c r="D5" s="2142"/>
      <c r="E5" s="2142"/>
      <c r="F5" s="2142"/>
      <c r="G5" s="2142"/>
      <c r="H5" s="2142"/>
      <c r="I5" s="2142"/>
      <c r="J5" s="2142"/>
      <c r="K5" s="892"/>
    </row>
    <row r="6" spans="1:12" ht="12" customHeight="1" x14ac:dyDescent="0.25">
      <c r="A6" s="2143" t="s">
        <v>9</v>
      </c>
      <c r="B6" s="2143"/>
      <c r="C6" s="2143"/>
      <c r="D6" s="2143"/>
      <c r="E6" s="2143"/>
      <c r="F6" s="2143"/>
      <c r="G6" s="2143"/>
      <c r="H6" s="2143"/>
      <c r="I6" s="2143"/>
      <c r="J6" s="2143"/>
      <c r="K6" s="892"/>
    </row>
    <row r="7" spans="1:12" ht="5.25" customHeight="1" x14ac:dyDescent="0.25"/>
    <row r="8" spans="1:12" ht="5.25" customHeight="1" x14ac:dyDescent="0.25">
      <c r="A8" s="895"/>
      <c r="B8" s="896"/>
      <c r="C8" s="895"/>
      <c r="D8" s="897"/>
      <c r="E8" s="897"/>
      <c r="F8" s="897"/>
      <c r="G8" s="897"/>
      <c r="H8" s="897"/>
      <c r="I8" s="897"/>
      <c r="J8" s="897"/>
    </row>
    <row r="9" spans="1:12" ht="13.5" customHeight="1" x14ac:dyDescent="0.25">
      <c r="A9" s="2144" t="s">
        <v>1046</v>
      </c>
      <c r="B9" s="2145"/>
      <c r="C9" s="2145"/>
      <c r="D9" s="2145"/>
      <c r="E9" s="2145"/>
      <c r="F9" s="2145"/>
      <c r="G9" s="2145"/>
      <c r="H9" s="2145"/>
    </row>
    <row r="10" spans="1:12" ht="15" x14ac:dyDescent="0.25">
      <c r="A10" s="898"/>
      <c r="B10" s="899"/>
      <c r="C10" s="895"/>
      <c r="D10" s="2141" t="s">
        <v>1047</v>
      </c>
      <c r="E10" s="2141"/>
      <c r="F10" s="2141"/>
      <c r="G10" s="2141"/>
      <c r="H10" s="2141"/>
      <c r="I10" s="2141"/>
      <c r="J10" s="2141"/>
    </row>
    <row r="11" spans="1:12" ht="13.5" customHeight="1" x14ac:dyDescent="0.25">
      <c r="A11" s="900"/>
      <c r="B11" s="901"/>
      <c r="C11" s="900"/>
      <c r="D11" s="2141" t="s">
        <v>1048</v>
      </c>
      <c r="E11" s="2141"/>
      <c r="F11" s="2141"/>
      <c r="G11" s="2141"/>
      <c r="H11" s="2141"/>
      <c r="I11" s="2141"/>
      <c r="J11" s="2141"/>
    </row>
    <row r="12" spans="1:12" ht="13.5" customHeight="1" x14ac:dyDescent="0.25">
      <c r="A12" s="900"/>
      <c r="B12" s="901"/>
      <c r="C12" s="900"/>
      <c r="D12" s="2141" t="s">
        <v>1049</v>
      </c>
      <c r="E12" s="2141"/>
      <c r="F12" s="2141"/>
      <c r="G12" s="2141"/>
      <c r="H12" s="2141"/>
      <c r="I12" s="2141"/>
      <c r="J12" s="2141"/>
    </row>
    <row r="13" spans="1:12" ht="15" x14ac:dyDescent="0.25">
      <c r="A13" s="900"/>
      <c r="B13" s="901"/>
      <c r="C13" s="900"/>
      <c r="D13" s="2141" t="s">
        <v>1050</v>
      </c>
      <c r="E13" s="2141"/>
      <c r="F13" s="2141"/>
      <c r="G13" s="2141"/>
      <c r="H13" s="2141"/>
      <c r="I13" s="2141"/>
      <c r="J13" s="2141"/>
    </row>
    <row r="14" spans="1:12" ht="15" x14ac:dyDescent="0.25">
      <c r="A14" s="900"/>
      <c r="B14" s="901"/>
      <c r="C14" s="900"/>
      <c r="D14" s="2141" t="s">
        <v>1051</v>
      </c>
      <c r="E14" s="2141"/>
      <c r="F14" s="2141"/>
      <c r="G14" s="2141"/>
      <c r="H14" s="2141"/>
      <c r="I14" s="2141"/>
      <c r="J14" s="2141"/>
    </row>
    <row r="15" spans="1:12" ht="13.5" customHeight="1" x14ac:dyDescent="0.25">
      <c r="A15" s="900"/>
      <c r="B15" s="901"/>
      <c r="C15" s="900"/>
      <c r="D15" s="2146" t="s">
        <v>1052</v>
      </c>
      <c r="E15" s="2146"/>
      <c r="F15" s="2146"/>
      <c r="G15" s="2146"/>
      <c r="H15" s="2146"/>
      <c r="I15" s="2146"/>
      <c r="J15" s="2146"/>
      <c r="K15" s="892"/>
    </row>
    <row r="16" spans="1:12" ht="13.5" customHeight="1" x14ac:dyDescent="0.25">
      <c r="A16" s="900"/>
      <c r="B16" s="901"/>
      <c r="C16" s="900"/>
      <c r="D16" s="2146"/>
      <c r="E16" s="2146"/>
      <c r="F16" s="2146"/>
      <c r="G16" s="2146"/>
      <c r="H16" s="2146"/>
      <c r="I16" s="2146"/>
      <c r="J16" s="2146"/>
      <c r="K16" s="902"/>
      <c r="L16" s="902"/>
    </row>
    <row r="17" spans="1:12" ht="13.5" customHeight="1" x14ac:dyDescent="0.25">
      <c r="A17" s="900"/>
      <c r="B17" s="901"/>
      <c r="C17" s="900"/>
      <c r="D17" s="2146" t="s">
        <v>1053</v>
      </c>
      <c r="E17" s="2146"/>
      <c r="F17" s="2146"/>
      <c r="G17" s="2146"/>
      <c r="H17" s="2146"/>
      <c r="I17" s="2146"/>
      <c r="J17" s="903"/>
      <c r="K17" s="902"/>
      <c r="L17" s="902"/>
    </row>
    <row r="18" spans="1:12" ht="13.5" customHeight="1" x14ac:dyDescent="0.25">
      <c r="A18" s="900"/>
      <c r="B18" s="901"/>
      <c r="C18" s="900"/>
      <c r="D18" s="2141" t="s">
        <v>1054</v>
      </c>
      <c r="E18" s="2141"/>
      <c r="F18" s="2141"/>
      <c r="G18" s="2141"/>
      <c r="H18" s="2141"/>
      <c r="I18" s="2141"/>
      <c r="J18" s="2141"/>
    </row>
    <row r="19" spans="1:12" s="906" customFormat="1" ht="13.5" customHeight="1" x14ac:dyDescent="0.25">
      <c r="A19" s="904"/>
      <c r="B19" s="905"/>
      <c r="C19" s="904"/>
      <c r="D19" s="2141"/>
      <c r="E19" s="2141"/>
      <c r="F19" s="2141"/>
      <c r="G19" s="2141"/>
      <c r="H19" s="2141"/>
      <c r="I19" s="2141"/>
      <c r="J19" s="2141"/>
    </row>
    <row r="20" spans="1:12" s="906" customFormat="1" ht="13.5" customHeight="1" x14ac:dyDescent="0.25">
      <c r="A20" s="904"/>
      <c r="B20" s="905"/>
      <c r="C20" s="904"/>
      <c r="D20" s="2141" t="s">
        <v>1055</v>
      </c>
      <c r="E20" s="2141"/>
      <c r="F20" s="2141"/>
      <c r="G20" s="2141"/>
      <c r="H20" s="2141"/>
      <c r="I20" s="2141"/>
      <c r="J20" s="2141"/>
      <c r="K20" s="907"/>
    </row>
    <row r="21" spans="1:12" s="906" customFormat="1" ht="12" customHeight="1" x14ac:dyDescent="0.25">
      <c r="A21" s="904"/>
      <c r="B21" s="905"/>
      <c r="C21" s="904"/>
      <c r="D21" s="2141"/>
      <c r="E21" s="2141"/>
      <c r="F21" s="2141"/>
      <c r="G21" s="2141"/>
      <c r="H21" s="2141"/>
      <c r="I21" s="2141"/>
      <c r="J21" s="2141"/>
    </row>
    <row r="22" spans="1:12" s="906" customFormat="1" ht="14.25" customHeight="1" x14ac:dyDescent="0.25">
      <c r="A22" s="904"/>
      <c r="B22" s="905"/>
      <c r="C22" s="904"/>
      <c r="D22" s="1024" t="s">
        <v>1363</v>
      </c>
      <c r="E22" s="908"/>
      <c r="F22" s="908"/>
      <c r="G22" s="908"/>
      <c r="H22" s="908"/>
      <c r="I22" s="908"/>
      <c r="J22" s="908"/>
    </row>
    <row r="23" spans="1:12" ht="14.25" customHeight="1" x14ac:dyDescent="0.25">
      <c r="A23" s="895"/>
      <c r="B23" s="896"/>
      <c r="C23" s="895"/>
      <c r="D23" s="2138"/>
      <c r="E23" s="2138"/>
      <c r="F23" s="2138"/>
      <c r="G23" s="2138"/>
      <c r="H23" s="2138"/>
      <c r="I23" s="2138"/>
      <c r="J23" s="908"/>
      <c r="K23" s="909"/>
    </row>
    <row r="24" spans="1:12" ht="12.75" customHeight="1" x14ac:dyDescent="0.25">
      <c r="A24" s="2139" t="s">
        <v>1056</v>
      </c>
      <c r="B24" s="2139"/>
      <c r="C24" s="2139"/>
      <c r="D24" s="2139"/>
      <c r="E24" s="2139"/>
      <c r="F24" s="2139"/>
      <c r="G24" s="2139"/>
      <c r="H24" s="2139"/>
    </row>
    <row r="25" spans="1:12" ht="6.75" customHeight="1" x14ac:dyDescent="0.25">
      <c r="A25" s="910"/>
      <c r="B25" s="911"/>
      <c r="C25" s="910"/>
      <c r="D25" s="910"/>
      <c r="E25" s="910"/>
      <c r="F25" s="910"/>
      <c r="G25" s="910"/>
      <c r="H25" s="910"/>
    </row>
    <row r="26" spans="1:12" ht="13.5" customHeight="1" x14ac:dyDescent="0.25">
      <c r="D26" s="912" t="s">
        <v>1362</v>
      </c>
      <c r="E26" s="913"/>
      <c r="F26" s="913"/>
      <c r="G26" s="914"/>
      <c r="H26" s="914"/>
      <c r="I26" s="914"/>
      <c r="J26" s="914"/>
    </row>
    <row r="27" spans="1:12" ht="15" x14ac:dyDescent="0.25">
      <c r="A27" s="900"/>
      <c r="B27" s="901"/>
      <c r="C27" s="900"/>
      <c r="D27" s="2140" t="s">
        <v>1050</v>
      </c>
      <c r="E27" s="2140"/>
      <c r="F27" s="2140"/>
      <c r="G27" s="2140"/>
      <c r="H27" s="2140"/>
      <c r="I27" s="2140"/>
      <c r="J27" s="2140"/>
    </row>
    <row r="28" spans="1:12" ht="15" x14ac:dyDescent="0.25">
      <c r="A28" s="900"/>
      <c r="B28" s="901"/>
      <c r="C28" s="900"/>
      <c r="D28" s="2140" t="s">
        <v>1051</v>
      </c>
      <c r="E28" s="2140"/>
      <c r="F28" s="2140"/>
      <c r="G28" s="2140"/>
      <c r="H28" s="2140"/>
      <c r="I28" s="2140"/>
      <c r="J28" s="2140"/>
    </row>
    <row r="29" spans="1:12" ht="11.25" customHeight="1" x14ac:dyDescent="0.25">
      <c r="D29" s="915"/>
      <c r="E29" s="916"/>
      <c r="F29" s="906"/>
    </row>
    <row r="30" spans="1:12" ht="13.5" customHeight="1" x14ac:dyDescent="0.25">
      <c r="A30" s="917"/>
      <c r="B30" s="918"/>
      <c r="D30" s="910"/>
    </row>
    <row r="31" spans="1:12" ht="3.75" customHeight="1" x14ac:dyDescent="0.25">
      <c r="A31" s="917"/>
      <c r="B31" s="918"/>
      <c r="D31" s="919"/>
    </row>
    <row r="32" spans="1:12" ht="13.5" customHeight="1" x14ac:dyDescent="0.25">
      <c r="A32" s="917"/>
      <c r="B32" s="918"/>
      <c r="D32" s="910"/>
    </row>
    <row r="33" spans="1:10" ht="13.5" customHeight="1" x14ac:dyDescent="0.25">
      <c r="A33" s="917"/>
      <c r="B33" s="918"/>
      <c r="D33" s="919"/>
    </row>
    <row r="34" spans="1:10" ht="13.5" customHeight="1" x14ac:dyDescent="0.25">
      <c r="A34" s="917"/>
      <c r="B34" s="918"/>
      <c r="D34" s="919"/>
    </row>
    <row r="35" spans="1:10" ht="13.5" customHeight="1" x14ac:dyDescent="0.25">
      <c r="D35" s="919"/>
    </row>
    <row r="36" spans="1:10" ht="13.5" customHeight="1" x14ac:dyDescent="0.25">
      <c r="A36" s="920" t="s">
        <v>1057</v>
      </c>
      <c r="B36" s="918"/>
      <c r="C36" s="919"/>
      <c r="D36" s="919"/>
      <c r="E36" s="921" t="str">
        <f>'1.Hoja_de_Cotización'!H8</f>
        <v xml:space="preserve">Yahaira De La Cruz </v>
      </c>
      <c r="F36" s="48"/>
    </row>
    <row r="37" spans="1:10" ht="13.5" customHeight="1" x14ac:dyDescent="0.25">
      <c r="A37" s="922" t="s">
        <v>462</v>
      </c>
      <c r="B37" s="923"/>
      <c r="C37" s="48"/>
      <c r="D37" s="48"/>
      <c r="E37" s="921" t="str">
        <f>'1.Hoja_de_Cotización'!H12</f>
        <v>CAPITAL HUMANO</v>
      </c>
      <c r="F37" s="48"/>
    </row>
    <row r="38" spans="1:10" ht="13.5" customHeight="1" x14ac:dyDescent="0.25">
      <c r="A38" s="922" t="s">
        <v>1058</v>
      </c>
      <c r="E38" s="2136"/>
      <c r="F38" s="2136"/>
      <c r="H38" s="2137" t="s">
        <v>1059</v>
      </c>
      <c r="I38" s="2137"/>
      <c r="J38" s="2137"/>
    </row>
    <row r="39" spans="1:10" ht="13.5" customHeight="1" x14ac:dyDescent="0.25"/>
    <row r="40" spans="1:10" ht="13.5" customHeight="1" x14ac:dyDescent="0.25"/>
  </sheetData>
  <mergeCells count="18">
    <mergeCell ref="D20:J21"/>
    <mergeCell ref="A5:J5"/>
    <mergeCell ref="A6:J6"/>
    <mergeCell ref="A9:H9"/>
    <mergeCell ref="D10:J10"/>
    <mergeCell ref="D11:J11"/>
    <mergeCell ref="D12:J12"/>
    <mergeCell ref="D13:J13"/>
    <mergeCell ref="D14:J14"/>
    <mergeCell ref="D15:J16"/>
    <mergeCell ref="D17:I17"/>
    <mergeCell ref="D18:J19"/>
    <mergeCell ref="E38:F38"/>
    <mergeCell ref="H38:J38"/>
    <mergeCell ref="D23:I23"/>
    <mergeCell ref="A24:H24"/>
    <mergeCell ref="D27:J27"/>
    <mergeCell ref="D28:J28"/>
  </mergeCells>
  <pageMargins left="0.70866141732283472" right="0.11811023622047245" top="0.74803149606299213" bottom="0.74803149606299213" header="0.31496062992125984" footer="0.31496062992125984"/>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J47"/>
  <sheetViews>
    <sheetView showGridLines="0" workbookViewId="0">
      <selection activeCell="A9" sqref="A9:H9"/>
    </sheetView>
  </sheetViews>
  <sheetFormatPr baseColWidth="10" defaultRowHeight="15" x14ac:dyDescent="0.25"/>
  <cols>
    <col min="1" max="1" width="1.5703125" customWidth="1"/>
    <col min="2" max="2" width="5.42578125" customWidth="1"/>
    <col min="3" max="3" width="11.42578125" hidden="1" customWidth="1"/>
  </cols>
  <sheetData>
    <row r="1" spans="1:10" x14ac:dyDescent="0.25">
      <c r="A1" s="894"/>
      <c r="B1" s="893"/>
      <c r="C1" s="894"/>
      <c r="D1" s="894"/>
      <c r="E1" s="894"/>
      <c r="F1" s="894"/>
      <c r="G1" s="894"/>
      <c r="H1" s="894"/>
      <c r="I1" s="894"/>
      <c r="J1" s="894"/>
    </row>
    <row r="2" spans="1:10" x14ac:dyDescent="0.25">
      <c r="A2" s="894"/>
      <c r="B2" s="893"/>
      <c r="C2" s="894"/>
      <c r="D2" s="894"/>
      <c r="E2" s="894"/>
      <c r="F2" s="894"/>
      <c r="G2" s="894"/>
      <c r="H2" s="894"/>
      <c r="I2" s="894"/>
      <c r="J2" s="894"/>
    </row>
    <row r="3" spans="1:10" x14ac:dyDescent="0.25">
      <c r="A3" s="894"/>
      <c r="B3" s="893"/>
      <c r="C3" s="894"/>
      <c r="D3" s="894"/>
      <c r="E3" s="894"/>
      <c r="F3" s="894"/>
      <c r="G3" s="894"/>
      <c r="H3" s="894"/>
      <c r="I3" s="894"/>
      <c r="J3" s="894"/>
    </row>
    <row r="4" spans="1:10" x14ac:dyDescent="0.25">
      <c r="A4" s="892"/>
      <c r="B4" s="893"/>
      <c r="C4" s="892"/>
      <c r="D4" s="892"/>
      <c r="E4" s="892"/>
      <c r="F4" s="892"/>
      <c r="G4" s="892"/>
      <c r="H4" s="892"/>
      <c r="I4" s="892"/>
      <c r="J4" s="892"/>
    </row>
    <row r="5" spans="1:10" ht="15.75" x14ac:dyDescent="0.25">
      <c r="A5" s="2142" t="s">
        <v>1045</v>
      </c>
      <c r="B5" s="2142"/>
      <c r="C5" s="2142"/>
      <c r="D5" s="2142"/>
      <c r="E5" s="2142"/>
      <c r="F5" s="2142"/>
      <c r="G5" s="2142"/>
      <c r="H5" s="2142"/>
      <c r="I5" s="2142"/>
      <c r="J5" s="2142"/>
    </row>
    <row r="6" spans="1:10" x14ac:dyDescent="0.25">
      <c r="A6" s="2143" t="s">
        <v>1060</v>
      </c>
      <c r="B6" s="2143"/>
      <c r="C6" s="2143"/>
      <c r="D6" s="2143"/>
      <c r="E6" s="2143"/>
      <c r="F6" s="2143"/>
      <c r="G6" s="2143"/>
      <c r="H6" s="2143"/>
      <c r="I6" s="2143"/>
      <c r="J6" s="2143"/>
    </row>
    <row r="7" spans="1:10" x14ac:dyDescent="0.25">
      <c r="A7" s="894"/>
      <c r="B7" s="893"/>
      <c r="C7" s="894"/>
      <c r="D7" s="894"/>
      <c r="E7" s="894"/>
      <c r="F7" s="894"/>
      <c r="G7" s="894"/>
      <c r="H7" s="894"/>
      <c r="I7" s="894"/>
      <c r="J7" s="894"/>
    </row>
    <row r="8" spans="1:10" x14ac:dyDescent="0.25">
      <c r="A8" s="895"/>
      <c r="B8" s="896"/>
      <c r="C8" s="895"/>
      <c r="D8" s="897"/>
      <c r="E8" s="897"/>
      <c r="F8" s="897"/>
      <c r="G8" s="897"/>
      <c r="H8" s="897"/>
      <c r="I8" s="897"/>
      <c r="J8" s="897"/>
    </row>
    <row r="9" spans="1:10" x14ac:dyDescent="0.25">
      <c r="A9" s="2144" t="s">
        <v>1046</v>
      </c>
      <c r="B9" s="2151"/>
      <c r="C9" s="2151"/>
      <c r="D9" s="2151"/>
      <c r="E9" s="2151"/>
      <c r="F9" s="2151"/>
      <c r="G9" s="2151"/>
      <c r="H9" s="2151"/>
      <c r="I9" s="924"/>
      <c r="J9" s="924"/>
    </row>
    <row r="10" spans="1:10" x14ac:dyDescent="0.25">
      <c r="A10" s="898"/>
      <c r="B10" s="899"/>
      <c r="C10" s="895"/>
      <c r="D10" s="2140" t="s">
        <v>1047</v>
      </c>
      <c r="E10" s="2140"/>
      <c r="F10" s="2140"/>
      <c r="G10" s="2140"/>
      <c r="H10" s="2140"/>
      <c r="I10" s="2140"/>
      <c r="J10" s="2140"/>
    </row>
    <row r="11" spans="1:10" x14ac:dyDescent="0.25">
      <c r="A11" s="925"/>
      <c r="B11" s="926"/>
      <c r="C11" s="925"/>
      <c r="D11" s="2140" t="s">
        <v>1048</v>
      </c>
      <c r="E11" s="2140"/>
      <c r="F11" s="2140"/>
      <c r="G11" s="2140"/>
      <c r="H11" s="2140"/>
      <c r="I11" s="2140"/>
      <c r="J11" s="2140"/>
    </row>
    <row r="12" spans="1:10" x14ac:dyDescent="0.25">
      <c r="A12" s="925"/>
      <c r="B12" s="926"/>
      <c r="C12" s="925"/>
      <c r="D12" s="2140" t="s">
        <v>1049</v>
      </c>
      <c r="E12" s="2140"/>
      <c r="F12" s="2140"/>
      <c r="G12" s="2140"/>
      <c r="H12" s="2140"/>
      <c r="I12" s="2140"/>
      <c r="J12" s="2140"/>
    </row>
    <row r="13" spans="1:10" x14ac:dyDescent="0.25">
      <c r="A13" s="925"/>
      <c r="B13" s="926"/>
      <c r="C13" s="925"/>
      <c r="D13" s="2140" t="s">
        <v>1050</v>
      </c>
      <c r="E13" s="2140"/>
      <c r="F13" s="2140"/>
      <c r="G13" s="2140"/>
      <c r="H13" s="2140"/>
      <c r="I13" s="2140"/>
      <c r="J13" s="2140"/>
    </row>
    <row r="14" spans="1:10" x14ac:dyDescent="0.25">
      <c r="A14" s="925"/>
      <c r="B14" s="926"/>
      <c r="C14" s="925"/>
      <c r="D14" s="2140" t="s">
        <v>1051</v>
      </c>
      <c r="E14" s="2140"/>
      <c r="F14" s="2140"/>
      <c r="G14" s="2140"/>
      <c r="H14" s="2140"/>
      <c r="I14" s="2140"/>
      <c r="J14" s="2140"/>
    </row>
    <row r="15" spans="1:10" x14ac:dyDescent="0.25">
      <c r="A15" s="925"/>
      <c r="B15" s="926"/>
      <c r="C15" s="925"/>
      <c r="D15" s="2140" t="s">
        <v>1052</v>
      </c>
      <c r="E15" s="2140"/>
      <c r="F15" s="2140"/>
      <c r="G15" s="2140"/>
      <c r="H15" s="2140"/>
      <c r="I15" s="2140"/>
      <c r="J15" s="2140"/>
    </row>
    <row r="16" spans="1:10" x14ac:dyDescent="0.25">
      <c r="A16" s="925"/>
      <c r="B16" s="926"/>
      <c r="C16" s="925"/>
      <c r="D16" s="2140"/>
      <c r="E16" s="2140"/>
      <c r="F16" s="2140"/>
      <c r="G16" s="2140"/>
      <c r="H16" s="2140"/>
      <c r="I16" s="2140"/>
      <c r="J16" s="2140"/>
    </row>
    <row r="17" spans="1:10" x14ac:dyDescent="0.25">
      <c r="A17" s="925"/>
      <c r="B17" s="926"/>
      <c r="C17" s="925"/>
      <c r="D17" s="2140" t="s">
        <v>1053</v>
      </c>
      <c r="E17" s="2140"/>
      <c r="F17" s="2140"/>
      <c r="G17" s="2140"/>
      <c r="H17" s="2140"/>
      <c r="I17" s="2140"/>
      <c r="J17" s="927"/>
    </row>
    <row r="18" spans="1:10" x14ac:dyDescent="0.25">
      <c r="A18" s="925"/>
      <c r="B18" s="926"/>
      <c r="C18" s="925"/>
      <c r="D18" s="2140" t="s">
        <v>1054</v>
      </c>
      <c r="E18" s="2140"/>
      <c r="F18" s="2140"/>
      <c r="G18" s="2140"/>
      <c r="H18" s="2140"/>
      <c r="I18" s="2140"/>
      <c r="J18" s="2140"/>
    </row>
    <row r="19" spans="1:10" x14ac:dyDescent="0.25">
      <c r="A19" s="928"/>
      <c r="B19" s="929"/>
      <c r="C19" s="928"/>
      <c r="D19" s="2140"/>
      <c r="E19" s="2140"/>
      <c r="F19" s="2140"/>
      <c r="G19" s="2140"/>
      <c r="H19" s="2140"/>
      <c r="I19" s="2140"/>
      <c r="J19" s="2140"/>
    </row>
    <row r="20" spans="1:10" x14ac:dyDescent="0.25">
      <c r="A20" s="928"/>
      <c r="B20" s="929"/>
      <c r="C20" s="928"/>
      <c r="D20" s="2140" t="s">
        <v>1055</v>
      </c>
      <c r="E20" s="2140"/>
      <c r="F20" s="2140"/>
      <c r="G20" s="2140"/>
      <c r="H20" s="2140"/>
      <c r="I20" s="2140"/>
      <c r="J20" s="2140"/>
    </row>
    <row r="21" spans="1:10" x14ac:dyDescent="0.25">
      <c r="A21" s="928"/>
      <c r="B21" s="929"/>
      <c r="C21" s="928"/>
      <c r="D21" s="2140"/>
      <c r="E21" s="2140"/>
      <c r="F21" s="2140"/>
      <c r="G21" s="2140"/>
      <c r="H21" s="2140"/>
      <c r="I21" s="2140"/>
      <c r="J21" s="2140"/>
    </row>
    <row r="22" spans="1:10" x14ac:dyDescent="0.25">
      <c r="A22" s="895"/>
      <c r="B22" s="896"/>
      <c r="C22" s="895"/>
      <c r="D22" s="2149" t="s">
        <v>1061</v>
      </c>
      <c r="E22" s="2149"/>
      <c r="F22" s="2149"/>
      <c r="G22" s="2149"/>
      <c r="H22" s="2149"/>
      <c r="I22" s="2149"/>
      <c r="J22" s="2149"/>
    </row>
    <row r="23" spans="1:10" x14ac:dyDescent="0.25">
      <c r="A23" s="895"/>
      <c r="B23" s="896"/>
      <c r="C23" s="895"/>
      <c r="D23" s="2149" t="s">
        <v>1062</v>
      </c>
      <c r="E23" s="2149"/>
      <c r="F23" s="2149"/>
      <c r="G23" s="2149"/>
      <c r="H23" s="2149"/>
      <c r="I23" s="2149"/>
      <c r="J23" s="2149"/>
    </row>
    <row r="24" spans="1:10" x14ac:dyDescent="0.25">
      <c r="A24" s="895"/>
      <c r="B24" s="896"/>
      <c r="C24" s="895"/>
      <c r="D24" s="2141" t="s">
        <v>1363</v>
      </c>
      <c r="E24" s="2141"/>
      <c r="F24" s="2141"/>
      <c r="G24" s="2141"/>
      <c r="H24" s="2141"/>
      <c r="I24" s="2141"/>
      <c r="J24" s="908"/>
    </row>
    <row r="25" spans="1:10" x14ac:dyDescent="0.25">
      <c r="A25" s="895"/>
      <c r="B25" s="896"/>
      <c r="C25" s="895"/>
      <c r="D25" s="930"/>
      <c r="E25" s="930"/>
      <c r="F25" s="930"/>
      <c r="G25" s="930"/>
      <c r="H25" s="930"/>
      <c r="I25" s="930"/>
      <c r="J25" s="908"/>
    </row>
    <row r="26" spans="1:10" x14ac:dyDescent="0.25">
      <c r="A26" s="2139" t="s">
        <v>1056</v>
      </c>
      <c r="B26" s="2139"/>
      <c r="C26" s="2139"/>
      <c r="D26" s="2139"/>
      <c r="E26" s="2139"/>
      <c r="F26" s="2139"/>
      <c r="G26" s="2139"/>
      <c r="H26" s="2139"/>
      <c r="I26" s="924"/>
      <c r="J26" s="924"/>
    </row>
    <row r="27" spans="1:10" x14ac:dyDescent="0.25">
      <c r="A27" s="910"/>
      <c r="B27" s="911"/>
      <c r="C27" s="910"/>
      <c r="D27" s="910"/>
      <c r="E27" s="910"/>
      <c r="F27" s="910"/>
      <c r="G27" s="910"/>
      <c r="H27" s="910"/>
      <c r="I27" s="924"/>
      <c r="J27" s="924"/>
    </row>
    <row r="28" spans="1:10" x14ac:dyDescent="0.25">
      <c r="A28" s="924"/>
      <c r="B28" s="931"/>
      <c r="C28" s="924"/>
      <c r="D28" s="2150" t="s">
        <v>1068</v>
      </c>
      <c r="E28" s="2150"/>
      <c r="F28" s="2150"/>
      <c r="G28" s="2150"/>
      <c r="H28" s="2150"/>
      <c r="I28" s="2150"/>
      <c r="J28" s="2150"/>
    </row>
    <row r="29" spans="1:10" x14ac:dyDescent="0.25">
      <c r="A29" s="925"/>
      <c r="B29" s="926"/>
      <c r="C29" s="925"/>
      <c r="D29" s="2140" t="s">
        <v>1050</v>
      </c>
      <c r="E29" s="2140"/>
      <c r="F29" s="2140"/>
      <c r="G29" s="2140"/>
      <c r="H29" s="2140"/>
      <c r="I29" s="2140"/>
      <c r="J29" s="2140"/>
    </row>
    <row r="30" spans="1:10" x14ac:dyDescent="0.25">
      <c r="A30" s="925"/>
      <c r="B30" s="926"/>
      <c r="C30" s="925"/>
      <c r="D30" s="2140" t="s">
        <v>1051</v>
      </c>
      <c r="E30" s="2140"/>
      <c r="F30" s="2140"/>
      <c r="G30" s="2140"/>
      <c r="H30" s="2140"/>
      <c r="I30" s="2140"/>
      <c r="J30" s="2140"/>
    </row>
    <row r="31" spans="1:10" x14ac:dyDescent="0.25">
      <c r="A31" s="925"/>
      <c r="B31" s="918"/>
      <c r="C31" s="924"/>
      <c r="D31" s="1255" t="s">
        <v>2205</v>
      </c>
      <c r="E31" s="924"/>
      <c r="F31" s="924"/>
      <c r="G31" s="924"/>
      <c r="H31" s="924"/>
      <c r="I31" s="924"/>
      <c r="J31" s="924"/>
    </row>
    <row r="32" spans="1:10" x14ac:dyDescent="0.25">
      <c r="A32" s="925"/>
      <c r="B32" s="918"/>
      <c r="C32" s="924"/>
      <c r="D32" s="2140" t="s">
        <v>2199</v>
      </c>
      <c r="E32" s="2140"/>
      <c r="F32" s="2140"/>
      <c r="G32" s="2140"/>
      <c r="H32" s="2140"/>
      <c r="I32" s="2140"/>
      <c r="J32" s="2140"/>
    </row>
    <row r="33" spans="1:10" x14ac:dyDescent="0.25">
      <c r="A33" s="925"/>
      <c r="B33" s="918"/>
      <c r="C33" s="924"/>
      <c r="D33" s="2140" t="s">
        <v>2200</v>
      </c>
      <c r="E33" s="2140"/>
      <c r="F33" s="2140"/>
      <c r="G33" s="2140"/>
      <c r="H33" s="2140"/>
      <c r="I33" s="2140"/>
      <c r="J33" s="2140"/>
    </row>
    <row r="34" spans="1:10" x14ac:dyDescent="0.25">
      <c r="A34" s="925"/>
      <c r="B34" s="918"/>
      <c r="C34" s="924"/>
      <c r="D34" s="2140" t="s">
        <v>2201</v>
      </c>
      <c r="E34" s="2140"/>
      <c r="F34" s="2140"/>
      <c r="G34" s="2140"/>
      <c r="H34" s="2140"/>
      <c r="I34" s="2140"/>
      <c r="J34" s="2140"/>
    </row>
    <row r="35" spans="1:10" x14ac:dyDescent="0.25">
      <c r="A35" s="925"/>
      <c r="B35" s="918"/>
      <c r="C35" s="924"/>
      <c r="D35" s="2140" t="s">
        <v>2202</v>
      </c>
      <c r="E35" s="2140"/>
      <c r="F35" s="2140"/>
      <c r="G35" s="2140"/>
      <c r="H35" s="2140"/>
      <c r="I35" s="2140"/>
      <c r="J35" s="2140"/>
    </row>
    <row r="36" spans="1:10" x14ac:dyDescent="0.25">
      <c r="A36" s="924"/>
      <c r="B36" s="931"/>
      <c r="C36" s="924"/>
      <c r="D36" s="912"/>
      <c r="E36" s="913"/>
      <c r="F36" s="913"/>
      <c r="G36" s="914"/>
      <c r="H36" s="914"/>
      <c r="I36" s="914"/>
      <c r="J36" s="914"/>
    </row>
    <row r="37" spans="1:10" x14ac:dyDescent="0.25">
      <c r="A37" s="2147" t="s">
        <v>1063</v>
      </c>
      <c r="B37" s="2147"/>
      <c r="C37" s="2147"/>
      <c r="D37" s="2147"/>
      <c r="E37" s="2147"/>
      <c r="F37" s="2147"/>
      <c r="G37" s="924"/>
      <c r="H37" s="924"/>
      <c r="I37" s="924"/>
      <c r="J37" s="924"/>
    </row>
    <row r="38" spans="1:10" x14ac:dyDescent="0.25">
      <c r="A38" s="917"/>
      <c r="B38" s="918"/>
      <c r="C38" s="924"/>
      <c r="D38" s="2140" t="s">
        <v>2208</v>
      </c>
      <c r="E38" s="2140"/>
      <c r="F38" s="2140"/>
      <c r="G38" s="2140"/>
      <c r="H38" s="2140"/>
      <c r="I38" s="2140"/>
      <c r="J38" s="2140"/>
    </row>
    <row r="39" spans="1:10" x14ac:dyDescent="0.25">
      <c r="A39" s="917"/>
      <c r="B39" s="918"/>
      <c r="C39" s="924"/>
      <c r="D39" s="919" t="s">
        <v>1064</v>
      </c>
      <c r="E39" s="924"/>
      <c r="F39" s="924"/>
      <c r="G39" s="924"/>
      <c r="H39" s="924"/>
      <c r="I39" s="924"/>
      <c r="J39" s="924"/>
    </row>
    <row r="40" spans="1:10" ht="37.5" customHeight="1" x14ac:dyDescent="0.25">
      <c r="A40" s="917"/>
      <c r="B40" s="918"/>
      <c r="C40" s="924"/>
      <c r="D40" s="2148" t="s">
        <v>2209</v>
      </c>
      <c r="E40" s="2148"/>
      <c r="F40" s="2148"/>
      <c r="G40" s="2148"/>
      <c r="H40" s="2148"/>
      <c r="I40" s="2148"/>
      <c r="J40" s="2148"/>
    </row>
    <row r="41" spans="1:10" ht="15" customHeight="1" x14ac:dyDescent="0.25">
      <c r="A41" s="917"/>
      <c r="B41" s="918"/>
      <c r="C41" s="924"/>
    </row>
    <row r="42" spans="1:10" x14ac:dyDescent="0.25">
      <c r="A42" s="917"/>
      <c r="B42" s="918"/>
      <c r="C42" s="924"/>
    </row>
    <row r="43" spans="1:10" x14ac:dyDescent="0.25">
      <c r="A43" s="924"/>
      <c r="B43" s="931"/>
      <c r="C43" s="924"/>
      <c r="D43" s="919"/>
      <c r="E43" s="924"/>
      <c r="F43" s="924"/>
      <c r="G43" s="924"/>
      <c r="H43" s="924"/>
      <c r="I43" s="924"/>
      <c r="J43" s="924"/>
    </row>
    <row r="44" spans="1:10" x14ac:dyDescent="0.25">
      <c r="A44" s="924"/>
      <c r="B44" s="931"/>
      <c r="C44" s="924"/>
      <c r="D44" s="919"/>
      <c r="E44" s="924"/>
      <c r="F44" s="924"/>
      <c r="G44" s="924"/>
      <c r="H44" s="924"/>
      <c r="I44" s="924"/>
      <c r="J44" s="924"/>
    </row>
    <row r="45" spans="1:10" x14ac:dyDescent="0.25">
      <c r="A45" s="920" t="s">
        <v>1057</v>
      </c>
      <c r="B45" s="918"/>
      <c r="C45" s="919"/>
      <c r="D45" s="919"/>
      <c r="E45" s="921" t="str">
        <f>'1.Hoja_de_Cotización'!H8</f>
        <v xml:space="preserve">Yahaira De La Cruz </v>
      </c>
      <c r="F45" s="933"/>
      <c r="G45" s="924"/>
      <c r="H45" s="924"/>
      <c r="I45" s="924"/>
      <c r="J45" s="924"/>
    </row>
    <row r="46" spans="1:10" x14ac:dyDescent="0.25">
      <c r="A46" s="922" t="s">
        <v>462</v>
      </c>
      <c r="B46" s="934"/>
      <c r="C46" s="933"/>
      <c r="D46" s="933"/>
      <c r="E46" s="935" t="str">
        <f>'1.Hoja_de_Cotización'!H12</f>
        <v>CAPITAL HUMANO</v>
      </c>
      <c r="F46" s="933"/>
      <c r="G46" s="924"/>
      <c r="H46" s="924"/>
      <c r="I46" s="924"/>
      <c r="J46" s="924"/>
    </row>
    <row r="47" spans="1:10" x14ac:dyDescent="0.25">
      <c r="A47" s="922" t="s">
        <v>1058</v>
      </c>
      <c r="B47" s="931"/>
      <c r="C47" s="924"/>
      <c r="D47" s="924"/>
      <c r="E47" s="936"/>
      <c r="F47" s="924"/>
      <c r="G47" s="924"/>
      <c r="H47" s="2137" t="s">
        <v>1059</v>
      </c>
      <c r="I47" s="2137"/>
      <c r="J47" s="2137"/>
    </row>
  </sheetData>
  <mergeCells count="27">
    <mergeCell ref="D12:J12"/>
    <mergeCell ref="A5:J5"/>
    <mergeCell ref="A6:J6"/>
    <mergeCell ref="A9:H9"/>
    <mergeCell ref="D10:J10"/>
    <mergeCell ref="D11:J11"/>
    <mergeCell ref="D29:J29"/>
    <mergeCell ref="D13:J13"/>
    <mergeCell ref="D14:J14"/>
    <mergeCell ref="D15:J16"/>
    <mergeCell ref="D17:I17"/>
    <mergeCell ref="D18:J19"/>
    <mergeCell ref="D20:J21"/>
    <mergeCell ref="D22:J22"/>
    <mergeCell ref="D23:J23"/>
    <mergeCell ref="D24:I24"/>
    <mergeCell ref="A26:H26"/>
    <mergeCell ref="D28:J28"/>
    <mergeCell ref="D30:J30"/>
    <mergeCell ref="A37:F37"/>
    <mergeCell ref="D38:J38"/>
    <mergeCell ref="H47:J47"/>
    <mergeCell ref="D40:J40"/>
    <mergeCell ref="D32:J32"/>
    <mergeCell ref="D33:J33"/>
    <mergeCell ref="D34:J34"/>
    <mergeCell ref="D35:J35"/>
  </mergeCell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K50"/>
  <sheetViews>
    <sheetView showGridLines="0" workbookViewId="0">
      <selection activeCell="A8" sqref="A8:H8"/>
    </sheetView>
  </sheetViews>
  <sheetFormatPr baseColWidth="10" defaultRowHeight="15" x14ac:dyDescent="0.25"/>
  <cols>
    <col min="1" max="1" width="1.85546875" customWidth="1"/>
    <col min="2" max="2" width="3.28515625" customWidth="1"/>
    <col min="3" max="3" width="11.42578125" hidden="1" customWidth="1"/>
  </cols>
  <sheetData>
    <row r="1" spans="1:11" x14ac:dyDescent="0.25">
      <c r="A1" s="894"/>
      <c r="B1" s="893"/>
      <c r="C1" s="894"/>
      <c r="D1" s="894"/>
      <c r="E1" s="894"/>
      <c r="F1" s="894"/>
      <c r="G1" s="894"/>
      <c r="H1" s="894"/>
      <c r="I1" s="894"/>
      <c r="J1" s="894"/>
      <c r="K1" s="894"/>
    </row>
    <row r="2" spans="1:11" x14ac:dyDescent="0.25">
      <c r="A2" s="894"/>
      <c r="B2" s="893"/>
      <c r="C2" s="894"/>
      <c r="D2" s="894"/>
      <c r="E2" s="894"/>
      <c r="F2" s="894"/>
      <c r="G2" s="894"/>
      <c r="H2" s="894"/>
      <c r="I2" s="894"/>
      <c r="J2" s="894"/>
      <c r="K2" s="894"/>
    </row>
    <row r="3" spans="1:11" x14ac:dyDescent="0.25">
      <c r="A3" s="894"/>
      <c r="B3" s="893"/>
      <c r="C3" s="894"/>
      <c r="D3" s="894"/>
      <c r="E3" s="894"/>
      <c r="F3" s="894"/>
      <c r="G3" s="894"/>
      <c r="H3" s="894"/>
      <c r="I3" s="894"/>
      <c r="J3" s="894"/>
      <c r="K3" s="894"/>
    </row>
    <row r="4" spans="1:11" x14ac:dyDescent="0.25">
      <c r="A4" s="892"/>
      <c r="B4" s="893"/>
      <c r="C4" s="892"/>
      <c r="D4" s="892"/>
      <c r="E4" s="892"/>
      <c r="F4" s="892"/>
      <c r="G4" s="892"/>
      <c r="H4" s="892"/>
      <c r="I4" s="892"/>
      <c r="J4" s="892"/>
      <c r="K4" s="892"/>
    </row>
    <row r="5" spans="1:11" ht="15.75" x14ac:dyDescent="0.25">
      <c r="A5" s="2142" t="s">
        <v>1045</v>
      </c>
      <c r="B5" s="2142"/>
      <c r="C5" s="2142"/>
      <c r="D5" s="2142"/>
      <c r="E5" s="2142"/>
      <c r="F5" s="2142"/>
      <c r="G5" s="2142"/>
      <c r="H5" s="2142"/>
      <c r="I5" s="2142"/>
      <c r="J5" s="2142"/>
      <c r="K5" s="892"/>
    </row>
    <row r="6" spans="1:11" x14ac:dyDescent="0.25">
      <c r="A6" s="2143" t="s">
        <v>1066</v>
      </c>
      <c r="B6" s="2143"/>
      <c r="C6" s="2143"/>
      <c r="D6" s="2143"/>
      <c r="E6" s="2143"/>
      <c r="F6" s="2143"/>
      <c r="G6" s="2143"/>
      <c r="H6" s="2143"/>
      <c r="I6" s="2143"/>
      <c r="J6" s="2143"/>
      <c r="K6" s="892"/>
    </row>
    <row r="7" spans="1:11" x14ac:dyDescent="0.25">
      <c r="A7" s="895"/>
      <c r="B7" s="896"/>
      <c r="C7" s="895"/>
      <c r="D7" s="938"/>
      <c r="E7" s="938"/>
      <c r="F7" s="938"/>
      <c r="G7" s="938"/>
      <c r="H7" s="938"/>
      <c r="I7" s="938"/>
      <c r="J7" s="938"/>
      <c r="K7" s="894"/>
    </row>
    <row r="8" spans="1:11" x14ac:dyDescent="0.25">
      <c r="A8" s="2144" t="s">
        <v>1046</v>
      </c>
      <c r="B8" s="2155"/>
      <c r="C8" s="2155"/>
      <c r="D8" s="2155"/>
      <c r="E8" s="2155"/>
      <c r="F8" s="2155"/>
      <c r="G8" s="2155"/>
      <c r="H8" s="2155"/>
      <c r="I8" s="939"/>
      <c r="J8" s="939"/>
      <c r="K8" s="894"/>
    </row>
    <row r="9" spans="1:11" x14ac:dyDescent="0.25">
      <c r="A9" s="898"/>
      <c r="B9" s="899"/>
      <c r="C9" s="895"/>
      <c r="D9" s="2140" t="s">
        <v>1047</v>
      </c>
      <c r="E9" s="2140"/>
      <c r="F9" s="2140"/>
      <c r="G9" s="2140"/>
      <c r="H9" s="2140"/>
      <c r="I9" s="2140"/>
      <c r="J9" s="2140"/>
      <c r="K9" s="894"/>
    </row>
    <row r="10" spans="1:11" x14ac:dyDescent="0.25">
      <c r="A10" s="925"/>
      <c r="B10" s="926"/>
      <c r="C10" s="925"/>
      <c r="D10" s="2140" t="s">
        <v>1048</v>
      </c>
      <c r="E10" s="2140"/>
      <c r="F10" s="2140"/>
      <c r="G10" s="2140"/>
      <c r="H10" s="2140"/>
      <c r="I10" s="2140"/>
      <c r="J10" s="2140"/>
      <c r="K10" s="894"/>
    </row>
    <row r="11" spans="1:11" x14ac:dyDescent="0.25">
      <c r="A11" s="925"/>
      <c r="B11" s="926"/>
      <c r="C11" s="925"/>
      <c r="D11" s="2140" t="s">
        <v>1049</v>
      </c>
      <c r="E11" s="2140"/>
      <c r="F11" s="2140"/>
      <c r="G11" s="2140"/>
      <c r="H11" s="2140"/>
      <c r="I11" s="2140"/>
      <c r="J11" s="2140"/>
      <c r="K11" s="894"/>
    </row>
    <row r="12" spans="1:11" x14ac:dyDescent="0.25">
      <c r="A12" s="925"/>
      <c r="B12" s="926"/>
      <c r="C12" s="925"/>
      <c r="D12" s="2140" t="s">
        <v>1050</v>
      </c>
      <c r="E12" s="2140"/>
      <c r="F12" s="2140"/>
      <c r="G12" s="2140"/>
      <c r="H12" s="2140"/>
      <c r="I12" s="2140"/>
      <c r="J12" s="2140"/>
      <c r="K12" s="894"/>
    </row>
    <row r="13" spans="1:11" x14ac:dyDescent="0.25">
      <c r="A13" s="925"/>
      <c r="B13" s="926"/>
      <c r="C13" s="925"/>
      <c r="D13" s="2140" t="s">
        <v>1051</v>
      </c>
      <c r="E13" s="2140"/>
      <c r="F13" s="2140"/>
      <c r="G13" s="2140"/>
      <c r="H13" s="2140"/>
      <c r="I13" s="2140"/>
      <c r="J13" s="2140"/>
      <c r="K13" s="894"/>
    </row>
    <row r="14" spans="1:11" x14ac:dyDescent="0.25">
      <c r="A14" s="925"/>
      <c r="B14" s="926"/>
      <c r="C14" s="925"/>
      <c r="D14" s="2140" t="s">
        <v>1052</v>
      </c>
      <c r="E14" s="2140"/>
      <c r="F14" s="2140"/>
      <c r="G14" s="2140"/>
      <c r="H14" s="2140"/>
      <c r="I14" s="2140"/>
      <c r="J14" s="2140"/>
      <c r="K14" s="892"/>
    </row>
    <row r="15" spans="1:11" x14ac:dyDescent="0.25">
      <c r="A15" s="925"/>
      <c r="B15" s="926"/>
      <c r="C15" s="925"/>
      <c r="D15" s="2140"/>
      <c r="E15" s="2140"/>
      <c r="F15" s="2140"/>
      <c r="G15" s="2140"/>
      <c r="H15" s="2140"/>
      <c r="I15" s="2140"/>
      <c r="J15" s="2140"/>
      <c r="K15" s="902"/>
    </row>
    <row r="16" spans="1:11" x14ac:dyDescent="0.25">
      <c r="A16" s="925"/>
      <c r="B16" s="926"/>
      <c r="C16" s="925"/>
      <c r="D16" s="2140" t="s">
        <v>1053</v>
      </c>
      <c r="E16" s="2140"/>
      <c r="F16" s="2140"/>
      <c r="G16" s="2140"/>
      <c r="H16" s="2140"/>
      <c r="I16" s="2140"/>
      <c r="J16" s="927"/>
      <c r="K16" s="902"/>
    </row>
    <row r="17" spans="1:11" x14ac:dyDescent="0.25">
      <c r="A17" s="925"/>
      <c r="B17" s="926"/>
      <c r="C17" s="925"/>
      <c r="D17" s="2140" t="s">
        <v>1054</v>
      </c>
      <c r="E17" s="2140"/>
      <c r="F17" s="2140"/>
      <c r="G17" s="2140"/>
      <c r="H17" s="2140"/>
      <c r="I17" s="2140"/>
      <c r="J17" s="2140"/>
      <c r="K17" s="894"/>
    </row>
    <row r="18" spans="1:11" x14ac:dyDescent="0.25">
      <c r="A18" s="928"/>
      <c r="B18" s="929"/>
      <c r="C18" s="928"/>
      <c r="D18" s="2140"/>
      <c r="E18" s="2140"/>
      <c r="F18" s="2140"/>
      <c r="G18" s="2140"/>
      <c r="H18" s="2140"/>
      <c r="I18" s="2140"/>
      <c r="J18" s="2140"/>
      <c r="K18" s="906"/>
    </row>
    <row r="19" spans="1:11" x14ac:dyDescent="0.25">
      <c r="A19" s="928"/>
      <c r="B19" s="929"/>
      <c r="C19" s="928"/>
      <c r="D19" s="2140" t="s">
        <v>1055</v>
      </c>
      <c r="E19" s="2140"/>
      <c r="F19" s="2140"/>
      <c r="G19" s="2140"/>
      <c r="H19" s="2140"/>
      <c r="I19" s="2140"/>
      <c r="J19" s="2140"/>
      <c r="K19" s="907"/>
    </row>
    <row r="20" spans="1:11" x14ac:dyDescent="0.25">
      <c r="A20" s="928"/>
      <c r="B20" s="929"/>
      <c r="C20" s="928"/>
      <c r="D20" s="2140"/>
      <c r="E20" s="2140"/>
      <c r="F20" s="2140"/>
      <c r="G20" s="2140"/>
      <c r="H20" s="2140"/>
      <c r="I20" s="2140"/>
      <c r="J20" s="2140"/>
      <c r="K20" s="906"/>
    </row>
    <row r="21" spans="1:11" x14ac:dyDescent="0.25">
      <c r="A21" s="895"/>
      <c r="B21" s="896"/>
      <c r="C21" s="895"/>
      <c r="D21" s="2153" t="s">
        <v>1061</v>
      </c>
      <c r="E21" s="2153"/>
      <c r="F21" s="2153"/>
      <c r="G21" s="2153"/>
      <c r="H21" s="2153"/>
      <c r="I21" s="2153"/>
      <c r="J21" s="2153"/>
      <c r="K21" s="909"/>
    </row>
    <row r="22" spans="1:11" x14ac:dyDescent="0.25">
      <c r="A22" s="895"/>
      <c r="B22" s="896"/>
      <c r="C22" s="895"/>
      <c r="D22" s="2153" t="s">
        <v>1067</v>
      </c>
      <c r="E22" s="2153"/>
      <c r="F22" s="2153"/>
      <c r="G22" s="2153"/>
      <c r="H22" s="2153"/>
      <c r="I22" s="2153"/>
      <c r="J22" s="2153"/>
      <c r="K22" s="909"/>
    </row>
    <row r="23" spans="1:11" x14ac:dyDescent="0.25">
      <c r="A23" s="895"/>
      <c r="B23" s="896"/>
      <c r="C23" s="895"/>
      <c r="D23" s="2154"/>
      <c r="E23" s="2153"/>
      <c r="F23" s="2153"/>
      <c r="G23" s="2153"/>
      <c r="H23" s="2153"/>
      <c r="I23" s="2153"/>
      <c r="J23" s="940"/>
      <c r="K23" s="909"/>
    </row>
    <row r="24" spans="1:11" x14ac:dyDescent="0.25">
      <c r="A24" s="2139" t="s">
        <v>1056</v>
      </c>
      <c r="B24" s="2139"/>
      <c r="C24" s="2139"/>
      <c r="D24" s="2139"/>
      <c r="E24" s="2139"/>
      <c r="F24" s="2139"/>
      <c r="G24" s="2139"/>
      <c r="H24" s="2139"/>
      <c r="I24" s="924"/>
      <c r="J24" s="924"/>
      <c r="K24" s="894"/>
    </row>
    <row r="25" spans="1:11" x14ac:dyDescent="0.25">
      <c r="A25" s="910"/>
      <c r="B25" s="911"/>
      <c r="C25" s="910"/>
      <c r="D25" s="910"/>
      <c r="E25" s="910"/>
      <c r="F25" s="910"/>
      <c r="G25" s="910"/>
      <c r="H25" s="910"/>
      <c r="I25" s="924"/>
      <c r="J25" s="924"/>
      <c r="K25" s="894"/>
    </row>
    <row r="26" spans="1:11" x14ac:dyDescent="0.25">
      <c r="A26" s="924"/>
      <c r="B26" s="931"/>
      <c r="C26" s="924"/>
      <c r="D26" s="2150" t="s">
        <v>1068</v>
      </c>
      <c r="E26" s="2150"/>
      <c r="F26" s="2150"/>
      <c r="G26" s="2150"/>
      <c r="H26" s="2150"/>
      <c r="I26" s="2150"/>
      <c r="J26" s="2150"/>
      <c r="K26" s="894"/>
    </row>
    <row r="27" spans="1:11" x14ac:dyDescent="0.25">
      <c r="A27" s="924"/>
      <c r="B27" s="931"/>
      <c r="C27" s="924"/>
      <c r="D27" s="941" t="s">
        <v>1069</v>
      </c>
      <c r="E27" s="913"/>
      <c r="F27" s="913"/>
      <c r="G27" s="914"/>
      <c r="H27" s="914"/>
      <c r="I27" s="914"/>
      <c r="J27" s="914"/>
      <c r="K27" s="894"/>
    </row>
    <row r="28" spans="1:11" x14ac:dyDescent="0.25">
      <c r="A28" s="924"/>
      <c r="B28" s="931"/>
      <c r="C28" s="924"/>
      <c r="D28" s="2152" t="s">
        <v>1070</v>
      </c>
      <c r="E28" s="2152"/>
      <c r="F28" s="2152"/>
      <c r="G28" s="2152"/>
      <c r="H28" s="2152"/>
      <c r="I28" s="2152"/>
      <c r="J28" s="914"/>
      <c r="K28" s="894"/>
    </row>
    <row r="29" spans="1:11" x14ac:dyDescent="0.25">
      <c r="A29" s="925"/>
      <c r="B29" s="926"/>
      <c r="C29" s="925"/>
      <c r="D29" s="2140" t="s">
        <v>1050</v>
      </c>
      <c r="E29" s="2140"/>
      <c r="F29" s="2140"/>
      <c r="G29" s="2140"/>
      <c r="H29" s="2140"/>
      <c r="I29" s="2140"/>
      <c r="J29" s="2140"/>
      <c r="K29" s="894"/>
    </row>
    <row r="30" spans="1:11" x14ac:dyDescent="0.25">
      <c r="A30" s="925"/>
      <c r="B30" s="926"/>
      <c r="C30" s="925"/>
      <c r="D30" s="2140" t="s">
        <v>1051</v>
      </c>
      <c r="E30" s="2140"/>
      <c r="F30" s="2140"/>
      <c r="G30" s="2140"/>
      <c r="H30" s="2140"/>
      <c r="I30" s="2140"/>
      <c r="J30" s="2140"/>
      <c r="K30" s="894"/>
    </row>
    <row r="31" spans="1:11" x14ac:dyDescent="0.25">
      <c r="A31" s="924"/>
      <c r="B31" s="931"/>
      <c r="C31" s="924"/>
      <c r="D31" s="877" t="s">
        <v>1071</v>
      </c>
      <c r="E31" s="913"/>
      <c r="F31" s="913"/>
      <c r="G31" s="914"/>
      <c r="H31" s="914"/>
      <c r="I31" s="914"/>
      <c r="J31" s="914"/>
      <c r="K31" s="894"/>
    </row>
    <row r="32" spans="1:11" x14ac:dyDescent="0.25">
      <c r="A32" s="924"/>
      <c r="B32" s="931"/>
      <c r="C32" s="924"/>
      <c r="D32" s="877" t="s">
        <v>1072</v>
      </c>
      <c r="E32" s="913"/>
      <c r="F32" s="913"/>
      <c r="G32" s="914"/>
      <c r="H32" s="914"/>
      <c r="I32" s="914"/>
      <c r="J32" s="914"/>
      <c r="K32" s="894"/>
    </row>
    <row r="33" spans="1:11" x14ac:dyDescent="0.25">
      <c r="A33" s="924"/>
      <c r="B33" s="931"/>
      <c r="C33" s="924"/>
      <c r="D33" s="877" t="s">
        <v>1073</v>
      </c>
      <c r="E33" s="913"/>
      <c r="F33" s="913"/>
      <c r="G33" s="914"/>
      <c r="H33" s="914"/>
      <c r="I33" s="914"/>
      <c r="J33" s="914"/>
      <c r="K33" s="894"/>
    </row>
    <row r="34" spans="1:11" x14ac:dyDescent="0.25">
      <c r="A34" s="924"/>
      <c r="B34" s="931"/>
      <c r="C34" s="924"/>
      <c r="D34" s="877" t="s">
        <v>1074</v>
      </c>
      <c r="E34" s="913"/>
      <c r="F34" s="913"/>
      <c r="G34" s="914"/>
      <c r="H34" s="914"/>
      <c r="I34" s="914"/>
      <c r="J34" s="914"/>
      <c r="K34" s="894"/>
    </row>
    <row r="35" spans="1:11" x14ac:dyDescent="0.25">
      <c r="A35" s="924"/>
      <c r="B35" s="931"/>
      <c r="C35" s="924"/>
      <c r="D35" s="941" t="s">
        <v>1075</v>
      </c>
      <c r="E35" s="941"/>
      <c r="F35" s="941"/>
      <c r="G35" s="941"/>
      <c r="H35" s="941"/>
      <c r="I35" s="914"/>
      <c r="J35" s="914"/>
      <c r="K35" s="894"/>
    </row>
    <row r="36" spans="1:11" x14ac:dyDescent="0.25">
      <c r="A36" s="924"/>
      <c r="B36" s="931"/>
      <c r="C36" s="924"/>
      <c r="D36" s="912"/>
      <c r="E36" s="913"/>
      <c r="F36" s="913"/>
      <c r="G36" s="914"/>
      <c r="H36" s="914"/>
      <c r="I36" s="914"/>
      <c r="J36" s="914"/>
      <c r="K36" s="894"/>
    </row>
    <row r="37" spans="1:11" x14ac:dyDescent="0.25">
      <c r="A37" s="2147" t="s">
        <v>1063</v>
      </c>
      <c r="B37" s="2147"/>
      <c r="C37" s="2147"/>
      <c r="D37" s="2147"/>
      <c r="E37" s="2147"/>
      <c r="F37" s="2147"/>
      <c r="G37" s="924"/>
      <c r="H37" s="924"/>
      <c r="I37" s="924"/>
      <c r="J37" s="924"/>
      <c r="K37" s="894"/>
    </row>
    <row r="38" spans="1:11" x14ac:dyDescent="0.25">
      <c r="A38" s="917"/>
      <c r="B38" s="918"/>
      <c r="C38" s="924"/>
      <c r="D38" s="2140" t="s">
        <v>1076</v>
      </c>
      <c r="E38" s="2140"/>
      <c r="F38" s="2140"/>
      <c r="G38" s="2140"/>
      <c r="H38" s="2140"/>
      <c r="I38" s="2140"/>
      <c r="J38" s="2140"/>
      <c r="K38" s="894"/>
    </row>
    <row r="39" spans="1:11" x14ac:dyDescent="0.25">
      <c r="A39" s="917"/>
      <c r="B39" s="918"/>
      <c r="C39" s="924"/>
      <c r="D39" s="919" t="s">
        <v>1064</v>
      </c>
      <c r="E39" s="924"/>
      <c r="F39" s="924"/>
      <c r="G39" s="924"/>
      <c r="H39" s="924"/>
      <c r="I39" s="924"/>
      <c r="J39" s="924"/>
      <c r="K39" s="894"/>
    </row>
    <row r="40" spans="1:11" ht="27" customHeight="1" x14ac:dyDescent="0.25">
      <c r="A40" s="917"/>
      <c r="B40" s="918"/>
      <c r="C40" s="924"/>
      <c r="D40" s="2148" t="s">
        <v>1077</v>
      </c>
      <c r="E40" s="2148"/>
      <c r="F40" s="2148"/>
      <c r="G40" s="2148"/>
      <c r="H40" s="2148"/>
      <c r="I40" s="2148"/>
      <c r="J40" s="2148"/>
      <c r="K40" s="894"/>
    </row>
    <row r="41" spans="1:11" x14ac:dyDescent="0.25">
      <c r="A41" s="917"/>
      <c r="B41" s="918"/>
      <c r="C41" s="924"/>
      <c r="D41" s="932" t="s">
        <v>1065</v>
      </c>
      <c r="E41" s="924"/>
      <c r="F41" s="924"/>
      <c r="G41" s="924"/>
      <c r="H41" s="924"/>
      <c r="I41" s="924"/>
      <c r="J41" s="924"/>
      <c r="K41" s="894"/>
    </row>
    <row r="42" spans="1:11" x14ac:dyDescent="0.25">
      <c r="A42" s="917"/>
      <c r="B42" s="918"/>
      <c r="C42" s="924"/>
      <c r="D42" s="1255" t="s">
        <v>2205</v>
      </c>
      <c r="E42" s="924"/>
      <c r="F42" s="924"/>
      <c r="G42" s="924"/>
      <c r="H42" s="924"/>
      <c r="I42" s="924"/>
      <c r="J42" s="924"/>
      <c r="K42" s="894"/>
    </row>
    <row r="43" spans="1:11" x14ac:dyDescent="0.25">
      <c r="A43" s="917"/>
      <c r="B43" s="918"/>
      <c r="C43" s="924"/>
      <c r="D43" s="2140" t="s">
        <v>2199</v>
      </c>
      <c r="E43" s="2140"/>
      <c r="F43" s="2140"/>
      <c r="G43" s="2140"/>
      <c r="H43" s="2140"/>
      <c r="I43" s="2140"/>
      <c r="J43" s="2140"/>
      <c r="K43" s="894"/>
    </row>
    <row r="44" spans="1:11" x14ac:dyDescent="0.25">
      <c r="A44" s="917"/>
      <c r="B44" s="918"/>
      <c r="C44" s="924"/>
      <c r="D44" s="2140" t="s">
        <v>2200</v>
      </c>
      <c r="E44" s="2140"/>
      <c r="F44" s="2140"/>
      <c r="G44" s="2140"/>
      <c r="H44" s="2140"/>
      <c r="I44" s="2140"/>
      <c r="J44" s="2140"/>
      <c r="K44" s="894"/>
    </row>
    <row r="45" spans="1:11" x14ac:dyDescent="0.25">
      <c r="A45" s="917"/>
      <c r="B45" s="918"/>
      <c r="C45" s="924"/>
      <c r="D45" s="2140" t="s">
        <v>2201</v>
      </c>
      <c r="E45" s="2140"/>
      <c r="F45" s="2140"/>
      <c r="G45" s="2140"/>
      <c r="H45" s="2140"/>
      <c r="I45" s="2140"/>
      <c r="J45" s="2140"/>
      <c r="K45" s="894"/>
    </row>
    <row r="46" spans="1:11" x14ac:dyDescent="0.25">
      <c r="A46" s="917"/>
      <c r="B46" s="918"/>
      <c r="C46" s="924"/>
      <c r="D46" s="2140" t="s">
        <v>2202</v>
      </c>
      <c r="E46" s="2140"/>
      <c r="F46" s="2140"/>
      <c r="G46" s="2140"/>
      <c r="H46" s="2140"/>
      <c r="I46" s="2140"/>
      <c r="J46" s="2140"/>
      <c r="K46" s="894"/>
    </row>
    <row r="47" spans="1:11" x14ac:dyDescent="0.25">
      <c r="A47" s="924"/>
      <c r="B47" s="931"/>
      <c r="C47" s="924"/>
      <c r="D47" s="919"/>
      <c r="E47" s="924"/>
      <c r="F47" s="924"/>
      <c r="G47" s="924"/>
      <c r="H47" s="924"/>
      <c r="I47" s="924"/>
      <c r="J47" s="924"/>
      <c r="K47" s="894"/>
    </row>
    <row r="48" spans="1:11" x14ac:dyDescent="0.25">
      <c r="A48" s="920" t="s">
        <v>1057</v>
      </c>
      <c r="B48" s="918"/>
      <c r="C48" s="919"/>
      <c r="D48" s="919"/>
      <c r="E48" s="921" t="str">
        <f>'1.Hoja_de_Cotización'!H8</f>
        <v xml:space="preserve">Yahaira De La Cruz </v>
      </c>
      <c r="F48" s="933"/>
      <c r="G48" s="924"/>
      <c r="H48" s="924"/>
      <c r="I48" s="924"/>
      <c r="J48" s="924"/>
      <c r="K48" s="894"/>
    </row>
    <row r="49" spans="1:11" x14ac:dyDescent="0.25">
      <c r="A49" s="922" t="s">
        <v>462</v>
      </c>
      <c r="B49" s="934"/>
      <c r="C49" s="933"/>
      <c r="D49" s="933"/>
      <c r="E49" s="935" t="str">
        <f>'1.Hoja_de_Cotización'!H12</f>
        <v>CAPITAL HUMANO</v>
      </c>
      <c r="F49" s="933"/>
      <c r="G49" s="924"/>
      <c r="H49" s="924"/>
      <c r="I49" s="924"/>
      <c r="J49" s="924"/>
      <c r="K49" s="894"/>
    </row>
    <row r="50" spans="1:11" x14ac:dyDescent="0.25">
      <c r="A50" s="922" t="s">
        <v>1058</v>
      </c>
      <c r="B50" s="931"/>
      <c r="C50" s="924"/>
      <c r="D50" s="924"/>
      <c r="E50" s="936"/>
      <c r="F50" s="924"/>
      <c r="G50" s="924"/>
      <c r="H50" s="2137" t="s">
        <v>1059</v>
      </c>
      <c r="I50" s="2137"/>
      <c r="J50" s="2137"/>
      <c r="K50" s="894"/>
    </row>
  </sheetData>
  <mergeCells count="28">
    <mergeCell ref="D11:J11"/>
    <mergeCell ref="A5:J5"/>
    <mergeCell ref="A6:J6"/>
    <mergeCell ref="A8:H8"/>
    <mergeCell ref="D9:J9"/>
    <mergeCell ref="D10:J10"/>
    <mergeCell ref="D28:I28"/>
    <mergeCell ref="D12:J12"/>
    <mergeCell ref="D13:J13"/>
    <mergeCell ref="D14:J15"/>
    <mergeCell ref="D16:I16"/>
    <mergeCell ref="D17:J18"/>
    <mergeCell ref="D19:J20"/>
    <mergeCell ref="D21:J21"/>
    <mergeCell ref="D22:J22"/>
    <mergeCell ref="D23:I23"/>
    <mergeCell ref="A24:H24"/>
    <mergeCell ref="D26:J26"/>
    <mergeCell ref="D29:J29"/>
    <mergeCell ref="D30:J30"/>
    <mergeCell ref="A37:F37"/>
    <mergeCell ref="D38:J38"/>
    <mergeCell ref="H50:J50"/>
    <mergeCell ref="D40:J40"/>
    <mergeCell ref="D43:J43"/>
    <mergeCell ref="D44:J44"/>
    <mergeCell ref="D45:J45"/>
    <mergeCell ref="D46:J46"/>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pageSetUpPr fitToPage="1"/>
  </sheetPr>
  <dimension ref="A1:X152"/>
  <sheetViews>
    <sheetView showGridLines="0" zoomScale="80" zoomScaleNormal="80" workbookViewId="0">
      <selection activeCell="F17" sqref="F17"/>
    </sheetView>
  </sheetViews>
  <sheetFormatPr baseColWidth="10" defaultColWidth="11.42578125" defaultRowHeight="15" x14ac:dyDescent="0.25"/>
  <cols>
    <col min="1" max="1" width="2.28515625" style="642" customWidth="1"/>
    <col min="2" max="2" width="25.42578125" style="642" customWidth="1"/>
    <col min="3" max="3" width="19.85546875" style="642" customWidth="1"/>
    <col min="4" max="4" width="20.28515625" style="642" customWidth="1"/>
    <col min="5" max="5" width="11.42578125" style="642" customWidth="1"/>
    <col min="6" max="6" width="21.85546875" style="642" customWidth="1"/>
    <col min="7" max="7" width="24.42578125" style="642" customWidth="1"/>
    <col min="8" max="8" width="18.85546875" style="642" customWidth="1"/>
    <col min="9" max="9" width="14.140625" style="642" customWidth="1"/>
    <col min="10" max="12" width="11.42578125" style="642"/>
    <col min="13" max="13" width="12.7109375" style="642" bestFit="1" customWidth="1"/>
    <col min="14" max="14" width="11.42578125" style="642"/>
    <col min="15" max="15" width="20.42578125" style="642" customWidth="1"/>
    <col min="16" max="16" width="14.140625" style="642" customWidth="1"/>
    <col min="17" max="17" width="26.7109375" style="643" hidden="1" customWidth="1"/>
    <col min="18" max="18" width="11.7109375" style="643" customWidth="1"/>
    <col min="19" max="19" width="16.140625" style="643" customWidth="1"/>
    <col min="20" max="20" width="15.5703125" style="642" customWidth="1"/>
    <col min="21" max="21" width="16.140625" style="642" customWidth="1"/>
    <col min="22" max="22" width="12" style="642" customWidth="1"/>
    <col min="23" max="23" width="19" style="642" customWidth="1"/>
    <col min="24" max="24" width="18.7109375" style="642" customWidth="1"/>
    <col min="25" max="32" width="11.42578125" style="642" customWidth="1"/>
    <col min="33" max="16384" width="11.42578125" style="642"/>
  </cols>
  <sheetData>
    <row r="1" spans="1:24" ht="18" customHeight="1" x14ac:dyDescent="0.25">
      <c r="A1" s="642" t="s">
        <v>962</v>
      </c>
      <c r="Q1" s="164" t="s">
        <v>5</v>
      </c>
      <c r="R1" s="165">
        <f>IF(ISBLANK(C16),"",VLOOKUP(C16,combo_finalidad,2,0))</f>
        <v>3</v>
      </c>
      <c r="W1" s="642" t="s">
        <v>937</v>
      </c>
    </row>
    <row r="2" spans="1:24" ht="12" customHeight="1" x14ac:dyDescent="0.25">
      <c r="K2" s="642">
        <f>calculadora!E7</f>
        <v>0</v>
      </c>
      <c r="Q2" s="164" t="s">
        <v>69</v>
      </c>
      <c r="R2" s="165">
        <f>IF(ISBLANK(C18),"",VLOOKUP(C18,combo_tipoPrestamo,2,FALSE))</f>
        <v>2</v>
      </c>
      <c r="W2" s="642" t="s">
        <v>978</v>
      </c>
      <c r="X2" s="642">
        <f>IF(C67="",0,VLOOKUP(C67,combo_tipocliente,2,0))</f>
        <v>0</v>
      </c>
    </row>
    <row r="3" spans="1:24" ht="17.25" customHeight="1" x14ac:dyDescent="0.25">
      <c r="Q3" s="164" t="s">
        <v>71</v>
      </c>
      <c r="R3" s="165">
        <f>IF(ISBLANK(G20),"",VLOOKUP(G20,combo_tipoTrámite,2,FALSE))</f>
        <v>1</v>
      </c>
      <c r="W3" s="642" t="s">
        <v>979</v>
      </c>
      <c r="X3" s="642">
        <f>IF(E67="",0,VLOOKUP(E67,combo_tipocliente,2,0))</f>
        <v>0</v>
      </c>
    </row>
    <row r="4" spans="1:24" ht="17.25" customHeight="1" x14ac:dyDescent="0.3">
      <c r="B4" s="1493" t="s">
        <v>0</v>
      </c>
      <c r="C4" s="1493"/>
      <c r="D4" s="1493"/>
      <c r="E4" s="1493"/>
      <c r="F4" s="1493"/>
      <c r="G4" s="1493"/>
      <c r="H4" s="1493"/>
      <c r="I4" s="1493"/>
      <c r="Q4" s="164" t="s">
        <v>14</v>
      </c>
      <c r="R4" s="165">
        <f>IF(ISBLANK(C22),"",VLOOKUP(C22,combo_antiguedad,2,FALSE))</f>
        <v>1</v>
      </c>
      <c r="W4" s="642" t="s">
        <v>980</v>
      </c>
      <c r="X4" s="642">
        <f>IF(G67="",0,VLOOKUP(G67,combo_tipocliente,2,0))</f>
        <v>0</v>
      </c>
    </row>
    <row r="5" spans="1:24" ht="8.25" customHeight="1" x14ac:dyDescent="0.25">
      <c r="Q5" s="164" t="s">
        <v>72</v>
      </c>
      <c r="R5" s="165">
        <f>IF(ISBLANK(C24),"",VLOOKUP(C24,combo_garantía,2,FALSE))</f>
        <v>1</v>
      </c>
      <c r="W5" s="642" t="s">
        <v>981</v>
      </c>
      <c r="X5" s="642">
        <f>IF(H67="",0,VLOOKUP(H67,combo_tipocliente,2,0))</f>
        <v>0</v>
      </c>
    </row>
    <row r="6" spans="1:24" x14ac:dyDescent="0.25">
      <c r="B6" s="748" t="s">
        <v>1</v>
      </c>
      <c r="C6" s="751">
        <f ca="1">TODAY()</f>
        <v>43816</v>
      </c>
      <c r="Q6" s="164" t="s">
        <v>70</v>
      </c>
      <c r="R6" s="166" t="str">
        <f>IF(OR(R1=1,R1=3,R1=5),"SI","NO")</f>
        <v>SI</v>
      </c>
    </row>
    <row r="7" spans="1:24" ht="12" customHeight="1" x14ac:dyDescent="0.25">
      <c r="Q7" s="164" t="s">
        <v>2</v>
      </c>
      <c r="R7" s="166">
        <f>IF(ISBLANK(C8),"",VLOOKUP(C8,combo_prog,2,FALSE))</f>
        <v>3</v>
      </c>
      <c r="T7" s="646" t="str">
        <f>C8</f>
        <v>EXCEPCIONES (en tasa de interés, comisión mensual, etc)</v>
      </c>
    </row>
    <row r="8" spans="1:24" ht="14.25" customHeight="1" x14ac:dyDescent="0.25">
      <c r="B8" s="748" t="s">
        <v>2</v>
      </c>
      <c r="C8" s="1498" t="s">
        <v>1269</v>
      </c>
      <c r="D8" s="1499"/>
      <c r="E8" s="1414"/>
      <c r="F8" s="762"/>
      <c r="G8" s="764" t="s">
        <v>754</v>
      </c>
      <c r="H8" s="1494" t="s">
        <v>2487</v>
      </c>
      <c r="I8" s="1495"/>
      <c r="J8" s="762"/>
      <c r="K8" s="701"/>
      <c r="L8" s="762"/>
      <c r="Q8" s="164" t="s">
        <v>217</v>
      </c>
      <c r="R8" s="166">
        <f>IF(ISBLANK(H94),"",VLOOKUP(H94,combo_fideicomiso,2,FALSE))</f>
        <v>1</v>
      </c>
    </row>
    <row r="9" spans="1:24" ht="14.25" customHeight="1" x14ac:dyDescent="0.25">
      <c r="B9" s="644"/>
      <c r="C9" s="763"/>
      <c r="D9" s="649"/>
      <c r="E9" s="647"/>
      <c r="G9" s="644"/>
      <c r="H9" s="705"/>
      <c r="I9" s="706"/>
      <c r="K9" s="762"/>
      <c r="Q9" s="167" t="s">
        <v>109</v>
      </c>
      <c r="R9" s="168">
        <f>IF(AND(R14=1,R7=4),1,IF(ISBLANK(G28),"",VLOOKUP(G28,combo_hace_escritura,2,FALSE)))</f>
        <v>1</v>
      </c>
      <c r="S9" s="643" t="s">
        <v>965</v>
      </c>
    </row>
    <row r="10" spans="1:24" ht="18.75" customHeight="1" x14ac:dyDescent="0.25">
      <c r="B10" s="748" t="s">
        <v>931</v>
      </c>
      <c r="C10" s="1510" t="s">
        <v>969</v>
      </c>
      <c r="D10" s="1511"/>
      <c r="E10" s="195" t="str">
        <f>VLOOKUP(C10,politica_comb_2,3,0)</f>
        <v>A</v>
      </c>
      <c r="F10" s="650"/>
      <c r="G10" s="748" t="s">
        <v>487</v>
      </c>
      <c r="H10" s="1500" t="s">
        <v>37</v>
      </c>
      <c r="I10" s="1501"/>
      <c r="K10" s="701"/>
      <c r="Q10" s="643" t="s">
        <v>676</v>
      </c>
      <c r="R10" s="643">
        <f>IF(AND(R14=1,R7=4),1,IF(ISBLANK(C96),"",VLOOKUP(C96,combo_renovación,2,FALSE)))</f>
        <v>2</v>
      </c>
      <c r="T10" s="642">
        <f>IF(ISBLANK(C96),"",VLOOKUP(C96,combo_renovación,2,FALSE))</f>
        <v>2</v>
      </c>
    </row>
    <row r="11" spans="1:24" x14ac:dyDescent="0.25">
      <c r="G11" s="643"/>
      <c r="H11" s="643"/>
      <c r="I11" s="643"/>
    </row>
    <row r="12" spans="1:24" x14ac:dyDescent="0.25">
      <c r="B12" s="644"/>
      <c r="C12" s="738"/>
      <c r="G12" s="748" t="s">
        <v>3</v>
      </c>
      <c r="H12" s="1496" t="s">
        <v>671</v>
      </c>
      <c r="I12" s="1497"/>
      <c r="L12" s="762"/>
    </row>
    <row r="13" spans="1:24" ht="6.75" customHeight="1" x14ac:dyDescent="0.25">
      <c r="B13" s="644"/>
      <c r="C13" s="651"/>
    </row>
    <row r="14" spans="1:24" ht="15" customHeight="1" x14ac:dyDescent="0.25">
      <c r="B14" s="1468" t="s">
        <v>43</v>
      </c>
      <c r="C14" s="1468"/>
      <c r="D14" s="1468"/>
      <c r="E14" s="1468"/>
      <c r="F14" s="1468"/>
      <c r="G14" s="1468"/>
      <c r="H14" s="1468"/>
      <c r="I14" s="1468"/>
      <c r="Q14" s="643" t="s">
        <v>918</v>
      </c>
      <c r="R14" s="643">
        <f>IF(ISBLANK(I44),"",VLOOKUP(I44,combo_gastos_empl,2,FALSE))</f>
        <v>1</v>
      </c>
      <c r="S14" s="643">
        <f>IF(ISBLANK(I44),"",VLOOKUP(I44,combo_gastos_empl,2,FALSE))</f>
        <v>1</v>
      </c>
    </row>
    <row r="15" spans="1:24" x14ac:dyDescent="0.25">
      <c r="Q15" s="643" t="s">
        <v>919</v>
      </c>
      <c r="R15" s="643">
        <f>IF(D41&lt;=90%,1,2)</f>
        <v>2</v>
      </c>
      <c r="T15" s="642">
        <v>1</v>
      </c>
      <c r="U15" s="642" t="s">
        <v>920</v>
      </c>
    </row>
    <row r="16" spans="1:24" ht="27" customHeight="1" x14ac:dyDescent="0.25">
      <c r="B16" s="16" t="s">
        <v>41</v>
      </c>
      <c r="C16" s="1520" t="str">
        <f>F16</f>
        <v>Compra Vivienda Vacacional</v>
      </c>
      <c r="D16" s="1520"/>
      <c r="E16" s="1520"/>
      <c r="F16" s="1418" t="str">
        <f>IF(calculadora!$E$7="Vivienda nueva","Compra de Vivienda",IF(calculadora!$E$7="Vivienda usada","Compra de Vivienda","Compra Vivienda Vacacional"))</f>
        <v>Compra Vivienda Vacacional</v>
      </c>
      <c r="G16" s="798"/>
      <c r="H16" s="1515"/>
      <c r="I16" s="1515"/>
      <c r="T16" s="642">
        <v>2</v>
      </c>
      <c r="U16" s="642" t="s">
        <v>921</v>
      </c>
    </row>
    <row r="17" spans="2:21" x14ac:dyDescent="0.25">
      <c r="Q17" s="643" t="s">
        <v>924</v>
      </c>
      <c r="R17" s="643">
        <f>IF(AND(C33&gt;40000.01,C33&lt;=80000),1,2)</f>
        <v>2</v>
      </c>
      <c r="T17" s="642">
        <v>1</v>
      </c>
      <c r="U17" s="642" t="s">
        <v>110</v>
      </c>
    </row>
    <row r="18" spans="2:21" x14ac:dyDescent="0.25">
      <c r="B18" s="16" t="s">
        <v>42</v>
      </c>
      <c r="C18" s="1502" t="s">
        <v>17</v>
      </c>
      <c r="D18" s="1503"/>
      <c r="E18" s="988" t="str">
        <f>IF(OR(E10="B",E10="C"),"Para esta política no debe cotizar: Finalidad Casa Cash ni interés preferencial","")</f>
        <v/>
      </c>
      <c r="F18" s="643"/>
      <c r="G18" s="986"/>
      <c r="H18" s="987"/>
    </row>
    <row r="19" spans="2:21" ht="15" customHeight="1" x14ac:dyDescent="0.25">
      <c r="E19" s="650"/>
      <c r="F19" s="650"/>
      <c r="G19" s="801"/>
      <c r="H19" s="801"/>
      <c r="I19" s="801"/>
      <c r="Q19" s="643" t="s">
        <v>937</v>
      </c>
    </row>
    <row r="20" spans="2:21" ht="30.75" customHeight="1" x14ac:dyDescent="0.25">
      <c r="B20" s="196" t="s">
        <v>44</v>
      </c>
      <c r="C20" s="1504" t="s">
        <v>11</v>
      </c>
      <c r="D20" s="1505"/>
      <c r="E20" s="1513" t="str">
        <f>IFERROR(IF(AND(R1=2,R30=1),"*Mantiene su primera hipoteca con BG",IF(AND(R1=2,R30=2),"*Cancela hipoteca con BG",IF(AND(R1=2,R30=3),"*Refinancia préstamo actual",IF(AND(R1=2,R30=4),"* Vivienda principal libre de hipotecas","")))),"")</f>
        <v/>
      </c>
      <c r="F20" s="1514"/>
      <c r="G20" s="969" t="str">
        <f>VLOOKUP(C20,equi_ccash,2,0)</f>
        <v>Residencial</v>
      </c>
      <c r="H20" s="812"/>
      <c r="I20" s="801"/>
      <c r="Q20" s="643" t="s">
        <v>874</v>
      </c>
      <c r="R20" s="643" t="str">
        <f>IF(ISBLANK(H18),"",VLOOKUP(H18,combo_acciones,2,0))</f>
        <v/>
      </c>
    </row>
    <row r="21" spans="2:21" x14ac:dyDescent="0.25">
      <c r="E21" s="650"/>
      <c r="F21" s="650"/>
      <c r="G21" s="650"/>
      <c r="H21" s="650"/>
      <c r="I21" s="650"/>
      <c r="Q21" s="643" t="s">
        <v>970</v>
      </c>
      <c r="R21" s="802" t="str">
        <f>IF(ISBLANK(H20),"",VLOOKUP(H20,combo_terreno,2,0))</f>
        <v/>
      </c>
    </row>
    <row r="22" spans="2:21" ht="29.25" customHeight="1" x14ac:dyDescent="0.25">
      <c r="B22" s="196" t="s">
        <v>14</v>
      </c>
      <c r="C22" s="1506" t="s">
        <v>21</v>
      </c>
      <c r="D22" s="1507"/>
      <c r="E22" s="650"/>
      <c r="F22" s="650"/>
      <c r="G22" s="799"/>
      <c r="H22" s="1516"/>
      <c r="I22" s="1516"/>
      <c r="Q22" s="643" t="s">
        <v>1672</v>
      </c>
      <c r="R22" s="643">
        <f>IFERROR(VLOOKUP(G46,Catálogos!E126:F127,2,0),"")</f>
        <v>2</v>
      </c>
    </row>
    <row r="23" spans="2:21" x14ac:dyDescent="0.25">
      <c r="E23" s="650"/>
      <c r="F23" s="650"/>
      <c r="G23" s="650"/>
      <c r="H23" s="650"/>
      <c r="I23" s="650"/>
      <c r="Q23" s="643" t="s">
        <v>1678</v>
      </c>
      <c r="R23" s="391">
        <v>0.06</v>
      </c>
    </row>
    <row r="24" spans="2:21" ht="16.5" x14ac:dyDescent="0.25">
      <c r="B24" s="196" t="s">
        <v>46</v>
      </c>
      <c r="C24" s="1502" t="s">
        <v>22</v>
      </c>
      <c r="D24" s="1503"/>
      <c r="E24" s="195" t="str">
        <f>IF(C24="Unidad de Vivienda","Apartamento",IF(C24="Casa","Casa","Apartamento"))</f>
        <v>Casa</v>
      </c>
      <c r="F24" s="961" t="s">
        <v>1271</v>
      </c>
      <c r="G24" s="989">
        <v>0</v>
      </c>
      <c r="H24" s="800" t="str">
        <f>IF(C24="Unidad de Vivienda","Casas elevadas a P.H.","")</f>
        <v/>
      </c>
      <c r="I24" s="650"/>
      <c r="J24" s="762"/>
    </row>
    <row r="25" spans="2:21" ht="10.5" customHeight="1" x14ac:dyDescent="0.25"/>
    <row r="26" spans="2:21" ht="30.75" customHeight="1" x14ac:dyDescent="0.25">
      <c r="B26" s="196" t="s">
        <v>47</v>
      </c>
      <c r="C26" s="1508" t="s">
        <v>2496</v>
      </c>
      <c r="D26" s="1508"/>
      <c r="E26" s="1509"/>
      <c r="F26" s="226" t="s">
        <v>847</v>
      </c>
      <c r="G26" s="229">
        <v>43525</v>
      </c>
      <c r="H26" s="652"/>
      <c r="Q26" s="643" t="s">
        <v>937</v>
      </c>
    </row>
    <row r="27" spans="2:21" ht="8.25" customHeight="1" x14ac:dyDescent="0.25"/>
    <row r="28" spans="2:21" ht="30.75" customHeight="1" x14ac:dyDescent="0.25">
      <c r="B28" s="196" t="s">
        <v>48</v>
      </c>
      <c r="C28" s="1508" t="s">
        <v>2496</v>
      </c>
      <c r="D28" s="1508"/>
      <c r="E28" s="1509"/>
      <c r="F28" s="804" t="s">
        <v>516</v>
      </c>
      <c r="G28" s="1043" t="s">
        <v>110</v>
      </c>
      <c r="H28" s="1512" t="str">
        <f>IF(AND(R7=4,R14=1,G28="NO"),Q28,IF(R9=2,Q31,""))</f>
        <v/>
      </c>
      <c r="I28" s="1512"/>
      <c r="Q28" s="643" t="s">
        <v>994</v>
      </c>
    </row>
    <row r="30" spans="2:21" ht="25.5" customHeight="1" x14ac:dyDescent="0.25">
      <c r="B30" s="196" t="s">
        <v>1007</v>
      </c>
      <c r="C30" s="873"/>
      <c r="E30" s="1517" t="s">
        <v>1016</v>
      </c>
      <c r="F30" s="1517"/>
      <c r="G30" s="1518"/>
      <c r="H30" s="1519"/>
      <c r="I30" s="846"/>
      <c r="Q30" s="643" t="s">
        <v>1014</v>
      </c>
      <c r="R30" s="643" t="e">
        <f>VLOOKUP(C20,Catálogos!$Q$20:$R$26,2,0)</f>
        <v>#N/A</v>
      </c>
    </row>
    <row r="31" spans="2:21" ht="15" customHeight="1" x14ac:dyDescent="0.25">
      <c r="B31" s="1468" t="s">
        <v>49</v>
      </c>
      <c r="C31" s="1468"/>
      <c r="D31" s="1468"/>
      <c r="E31" s="1468"/>
      <c r="F31" s="1468"/>
      <c r="G31" s="1468"/>
      <c r="H31" s="1468"/>
      <c r="I31" s="1468"/>
      <c r="Q31" s="643" t="s">
        <v>995</v>
      </c>
    </row>
    <row r="32" spans="2:21" ht="10.5" customHeight="1" x14ac:dyDescent="0.25"/>
    <row r="33" spans="1:18" ht="30" customHeight="1" x14ac:dyDescent="0.25">
      <c r="A33" s="2"/>
      <c r="B33" s="196" t="str">
        <f>IF(OR(R1=2,R1=4),"Valor de la Propiedad o Venta Rápida - Avalúo","Precio de venta/
Valor de la propiedad")</f>
        <v>Precio de venta/
Valor de la propiedad</v>
      </c>
      <c r="C33" s="124">
        <f>calculadora!E8</f>
        <v>0</v>
      </c>
      <c r="D33" s="960" t="str">
        <f>IF(OR(R1=2,R1=4),IF(E10="A","Máximo a financiar 85%",IF(E10="A-1","Máximo a financiar 85%","")),"")</f>
        <v/>
      </c>
      <c r="F33" s="1462" t="s">
        <v>77</v>
      </c>
      <c r="G33" s="1462"/>
      <c r="Q33" s="643" t="s">
        <v>1011</v>
      </c>
      <c r="R33" s="643" t="str">
        <f>IF(ISBLANK(C30),"",VLOOKUP(C30,comb_promotor,2,FALSE))</f>
        <v/>
      </c>
    </row>
    <row r="34" spans="1:18" ht="15" customHeight="1" x14ac:dyDescent="0.25">
      <c r="A34" s="2"/>
      <c r="B34" s="838"/>
      <c r="C34" s="839"/>
      <c r="D34" s="653"/>
      <c r="F34" s="1465" t="s">
        <v>78</v>
      </c>
      <c r="G34" s="1044">
        <f>IF(G35="",IF(OR(E10="B",E10="C"),Cálculos!B151,IF(OR(R1=2,R1=3),Cálculos!B151,IF(R1=12,Cálculos!B154,""))),"")</f>
        <v>0.01</v>
      </c>
      <c r="H34" s="654"/>
      <c r="I34" s="654"/>
      <c r="J34" s="654"/>
      <c r="K34" s="654"/>
      <c r="L34" s="654"/>
      <c r="M34" s="654"/>
    </row>
    <row r="35" spans="1:18" ht="24" customHeight="1" x14ac:dyDescent="0.25">
      <c r="A35" s="2"/>
      <c r="B35" s="852" t="s">
        <v>64</v>
      </c>
      <c r="C35" s="865"/>
      <c r="D35" s="847" t="str">
        <f>IF(R1=2,"No. Prestamo Primera Hipoteca BG","")</f>
        <v/>
      </c>
      <c r="F35" s="1466"/>
      <c r="G35" s="152"/>
      <c r="H35" s="654"/>
      <c r="I35" s="654"/>
      <c r="J35" s="654"/>
      <c r="K35" s="654"/>
      <c r="L35" s="654"/>
      <c r="M35" s="654"/>
    </row>
    <row r="36" spans="1:18" ht="3.75" customHeight="1" x14ac:dyDescent="0.25">
      <c r="A36" s="2"/>
      <c r="B36" s="840"/>
      <c r="C36" s="841"/>
      <c r="D36" s="655"/>
      <c r="F36" s="657"/>
      <c r="G36" s="657"/>
      <c r="H36" s="654"/>
      <c r="I36" s="654"/>
      <c r="J36" s="654"/>
      <c r="K36" s="654"/>
      <c r="L36" s="654"/>
      <c r="M36" s="654"/>
    </row>
    <row r="37" spans="1:18" ht="21.75" customHeight="1" x14ac:dyDescent="0.25">
      <c r="A37" s="2"/>
      <c r="B37" s="966" t="str">
        <f>IF($R$1=2,"Saldo Primera Hipoteca",IF($R$1=4,"Saldo del Otro Banco",""))</f>
        <v/>
      </c>
      <c r="C37" s="769"/>
      <c r="D37" s="788"/>
      <c r="E37" s="658"/>
      <c r="F37" s="196" t="s">
        <v>438</v>
      </c>
      <c r="G37" s="1045"/>
    </row>
    <row r="38" spans="1:18" ht="25.5" x14ac:dyDescent="0.25">
      <c r="A38" s="2"/>
      <c r="B38" s="845" t="s">
        <v>1018</v>
      </c>
      <c r="C38" s="769"/>
      <c r="D38" s="788"/>
      <c r="E38" s="658"/>
      <c r="F38" s="844"/>
      <c r="G38" s="842"/>
    </row>
    <row r="39" spans="1:18" ht="25.5" x14ac:dyDescent="0.25">
      <c r="A39" s="2"/>
      <c r="B39" s="843" t="s">
        <v>1273</v>
      </c>
      <c r="C39" s="965">
        <f>Cálculos!A244</f>
        <v>1000</v>
      </c>
      <c r="D39" s="967" t="str">
        <f>IFERROR(ROUND(IF(R1=4,IF(C33&gt;0,(C37+C39)/C33,""),""),1),"")</f>
        <v/>
      </c>
      <c r="E39" s="658"/>
      <c r="F39" s="957"/>
      <c r="G39" s="842"/>
    </row>
    <row r="40" spans="1:18" x14ac:dyDescent="0.25">
      <c r="A40" s="2"/>
      <c r="B40" s="850" t="s">
        <v>481</v>
      </c>
      <c r="C40" s="866"/>
      <c r="D40" s="968" t="str">
        <f>IF(C33="","",IF(R1=4,IF(C44&gt;0,IF(R1=4,IF(D39=90%,"Porcentaje Máximo",IF(D39&gt;90%,"Excede Parámetros","")),""),""),""))</f>
        <v/>
      </c>
      <c r="E40" s="660"/>
      <c r="F40" s="12"/>
      <c r="G40" s="13"/>
    </row>
    <row r="41" spans="1:18" ht="15.75" x14ac:dyDescent="0.25">
      <c r="A41" s="2"/>
      <c r="B41" s="872" t="s">
        <v>545</v>
      </c>
      <c r="C41" s="849">
        <f>IF(C42&gt;0,"",(C33*(1-C40)))</f>
        <v>0</v>
      </c>
      <c r="D41" s="618" t="str">
        <f>IF(C40="",D42,C40)</f>
        <v/>
      </c>
      <c r="E41" s="701"/>
      <c r="F41" s="3"/>
      <c r="G41" s="7"/>
      <c r="Q41" s="643" t="e">
        <f>IF(OR(R1=2,R1=4,R1=5,R1=6,R1=7,R1=9,R1=10,R1=11),usada,IF(R1=8,compra_ley,IF(AND(R1=1,R2=1),compra_ley,demas)))</f>
        <v>#VALUE!</v>
      </c>
    </row>
    <row r="42" spans="1:18" ht="18.75" customHeight="1" x14ac:dyDescent="0.25">
      <c r="A42" s="2"/>
      <c r="B42" s="851" t="s">
        <v>546</v>
      </c>
      <c r="C42" s="874">
        <f>calculadora!E9</f>
        <v>0</v>
      </c>
      <c r="D42" s="159" t="str">
        <f>IFERROR(IF(C40="",C44/C33,""),"")</f>
        <v/>
      </c>
      <c r="F42" s="16" t="s">
        <v>79</v>
      </c>
      <c r="G42" s="131">
        <f>IF(R7=2,100,0)</f>
        <v>0</v>
      </c>
      <c r="Q42" s="643" t="s">
        <v>1283</v>
      </c>
      <c r="R42" s="643" t="str">
        <f>IF(OR(R1=2,R1=3,R1=4),lista_casacash,IF(R1=5,lista_traspaso,Lista_compra))</f>
        <v>Individual</v>
      </c>
    </row>
    <row r="43" spans="1:18" ht="17.25" customHeight="1" x14ac:dyDescent="0.25">
      <c r="A43" s="2"/>
      <c r="B43" s="767" t="str">
        <f>IF($R$1=2,"Monto a Financiar","")</f>
        <v/>
      </c>
      <c r="C43" s="768"/>
      <c r="D43" s="854" t="str">
        <f>IF(C33&gt;0,IF(OR(R30=1,R30=3),((C37+C43)/C33),(C43)/C33),"")</f>
        <v/>
      </c>
      <c r="G43" s="661"/>
    </row>
    <row r="44" spans="1:18" ht="27" customHeight="1" x14ac:dyDescent="0.25">
      <c r="A44" s="2"/>
      <c r="B44" s="962" t="s">
        <v>65</v>
      </c>
      <c r="C44" s="964">
        <f>IF(R1=4,(C37+C39),IF(C42&gt;0,(C33-C42),(C33-C41)))</f>
        <v>0</v>
      </c>
      <c r="D44" s="848" t="str">
        <f>IF(C33="","",IF(R1=2,IF(C43&gt;0,IF(R1=2,IF(D43=85%,"Porcentaje Máximo",IF(D43&gt;85%,"Excede Parámetros","")),""),""),""))</f>
        <v/>
      </c>
      <c r="F44" s="803" t="s">
        <v>80</v>
      </c>
      <c r="G44" s="131">
        <f>IF(ISERROR(Cálculos!O22),0,Cálculos!O22)</f>
        <v>0</v>
      </c>
      <c r="H44" s="586" t="str">
        <f>"Empleado BG"</f>
        <v>Empleado BG</v>
      </c>
      <c r="I44" s="867" t="s">
        <v>110</v>
      </c>
    </row>
    <row r="45" spans="1:18" ht="24" customHeight="1" x14ac:dyDescent="0.25">
      <c r="A45" s="2"/>
      <c r="B45" s="963" t="s">
        <v>1272</v>
      </c>
      <c r="C45" s="970">
        <f>IFERROR(C44/G24,0)</f>
        <v>0</v>
      </c>
      <c r="D45" s="848"/>
    </row>
    <row r="46" spans="1:18" ht="36" customHeight="1" x14ac:dyDescent="0.25">
      <c r="A46" s="2"/>
      <c r="B46" s="1095"/>
      <c r="C46" s="1096"/>
      <c r="D46" s="5"/>
      <c r="F46" s="1093" t="s">
        <v>1676</v>
      </c>
      <c r="G46" s="873" t="s">
        <v>111</v>
      </c>
    </row>
    <row r="47" spans="1:18" ht="15" customHeight="1" x14ac:dyDescent="0.25">
      <c r="A47" s="2"/>
      <c r="B47" s="1472" t="s">
        <v>66</v>
      </c>
      <c r="C47" s="151" t="str">
        <f>IF(R7= 3,"",IF(AND(R1=1,R2=2,R22=1),(R23-1%),Cálculos!C149))</f>
        <v/>
      </c>
      <c r="D47" s="1094"/>
    </row>
    <row r="48" spans="1:18" ht="15" customHeight="1" x14ac:dyDescent="0.25">
      <c r="A48" s="2"/>
      <c r="B48" s="1473"/>
      <c r="C48" s="766">
        <f>calculadora!tasa1</f>
        <v>0</v>
      </c>
      <c r="D48" s="1092"/>
      <c r="E48" s="665"/>
      <c r="F48" s="665"/>
      <c r="G48" s="665"/>
      <c r="H48" s="665"/>
    </row>
    <row r="49" spans="1:13" ht="22.5" customHeight="1" x14ac:dyDescent="0.25">
      <c r="A49" s="2"/>
      <c r="B49" s="11"/>
      <c r="C49" s="662"/>
      <c r="D49" s="662"/>
      <c r="F49" s="617"/>
      <c r="G49" s="663"/>
      <c r="H49" s="1482" t="str">
        <f>IF(AND(R7=4,I44="SI",G49= "NO"),"Para esta promoción el banco hace las escrituras","")</f>
        <v/>
      </c>
      <c r="I49" s="1483"/>
      <c r="J49" s="650"/>
    </row>
    <row r="50" spans="1:13" ht="25.5" customHeight="1" x14ac:dyDescent="0.25">
      <c r="A50" s="2"/>
      <c r="B50" s="158" t="s">
        <v>548</v>
      </c>
      <c r="C50" s="958" t="s">
        <v>110</v>
      </c>
      <c r="E50" s="1489" t="str">
        <f>IF(C50="NO","","Imprimir formulario de seguro de vida")</f>
        <v>Imprimir formulario de seguro de vida</v>
      </c>
      <c r="F50" s="1489"/>
      <c r="H50" s="765"/>
      <c r="I50" s="765"/>
      <c r="J50" s="765"/>
      <c r="K50" s="762"/>
      <c r="L50" s="762"/>
      <c r="M50" s="762"/>
    </row>
    <row r="51" spans="1:13" ht="27" customHeight="1" x14ac:dyDescent="0.25">
      <c r="A51" s="2"/>
      <c r="B51" s="157" t="s">
        <v>67</v>
      </c>
      <c r="C51" s="959" t="s">
        <v>110</v>
      </c>
      <c r="D51" s="870"/>
      <c r="E51" s="1490" t="str">
        <f>IF(AND(C51="SI",R1=2),IF(OR(R30=1,R30=3),"No Incluir seguro de incendio",""),"")</f>
        <v/>
      </c>
      <c r="F51" s="1490"/>
      <c r="G51" s="757"/>
      <c r="H51" s="1464"/>
      <c r="I51" s="650"/>
      <c r="J51" s="650"/>
    </row>
    <row r="52" spans="1:13" ht="15" customHeight="1" x14ac:dyDescent="0.25">
      <c r="A52" s="2"/>
      <c r="B52" s="11"/>
      <c r="C52" s="662"/>
      <c r="D52" s="4"/>
      <c r="H52" s="1464"/>
      <c r="I52" s="650"/>
      <c r="J52" s="650"/>
    </row>
    <row r="53" spans="1:13" ht="15" customHeight="1" x14ac:dyDescent="0.25">
      <c r="A53" s="2"/>
      <c r="B53" s="16" t="s">
        <v>51</v>
      </c>
      <c r="C53" s="125" t="s">
        <v>110</v>
      </c>
      <c r="D53" s="1415"/>
      <c r="F53" s="789"/>
      <c r="G53" s="790"/>
      <c r="H53" s="650"/>
      <c r="I53" s="650"/>
      <c r="J53" s="650"/>
    </row>
    <row r="54" spans="1:13" ht="15" customHeight="1" x14ac:dyDescent="0.25">
      <c r="A54" s="2"/>
      <c r="B54" s="653"/>
      <c r="C54" s="653"/>
      <c r="D54" s="6"/>
      <c r="F54" s="1484"/>
      <c r="G54" s="1484"/>
      <c r="H54" s="1484"/>
      <c r="I54" s="650"/>
      <c r="J54" s="650"/>
    </row>
    <row r="55" spans="1:13" x14ac:dyDescent="0.25">
      <c r="A55" s="2"/>
      <c r="B55" s="160" t="s">
        <v>52</v>
      </c>
      <c r="C55" s="148">
        <f>calculadora!E10</f>
        <v>0</v>
      </c>
      <c r="D55" s="1416"/>
      <c r="F55" s="1094"/>
      <c r="G55" s="664"/>
      <c r="H55" s="664"/>
      <c r="I55" s="650"/>
      <c r="J55" s="650"/>
    </row>
    <row r="56" spans="1:13" ht="8.25" customHeight="1" x14ac:dyDescent="0.25">
      <c r="A56" s="2"/>
      <c r="B56" s="12"/>
      <c r="C56" s="13"/>
      <c r="D56" s="8"/>
      <c r="F56" s="660"/>
      <c r="G56" s="660"/>
      <c r="H56" s="660"/>
    </row>
    <row r="57" spans="1:13" x14ac:dyDescent="0.25">
      <c r="A57" s="2"/>
      <c r="B57" s="1474" t="s">
        <v>68</v>
      </c>
      <c r="C57" s="130" t="str">
        <f>IF(C58="",IF(R7=3,IF(R2=1,Cálculos!C150,Cálculos!B150),Cálculos!B150),"")</f>
        <v/>
      </c>
      <c r="D57" s="8"/>
      <c r="F57" s="660"/>
      <c r="G57" s="660"/>
      <c r="H57" s="660"/>
    </row>
    <row r="58" spans="1:13" ht="15.75" customHeight="1" x14ac:dyDescent="0.25">
      <c r="A58" s="2"/>
      <c r="B58" s="1475"/>
      <c r="C58" s="161">
        <f>IF(calculadora!tasa1=0.0125, 8.56, 4.28)</f>
        <v>4.28</v>
      </c>
      <c r="D58" s="1417"/>
      <c r="E58" s="665" t="s">
        <v>2522</v>
      </c>
      <c r="F58" s="665"/>
      <c r="G58" s="665"/>
      <c r="H58" s="665"/>
    </row>
    <row r="59" spans="1:13" ht="14.25" customHeight="1" x14ac:dyDescent="0.25">
      <c r="A59" s="2"/>
      <c r="B59" s="11"/>
      <c r="C59" s="10"/>
      <c r="D59" s="666"/>
      <c r="E59" s="666"/>
      <c r="F59" s="667"/>
      <c r="G59" s="668"/>
      <c r="H59" s="669"/>
    </row>
    <row r="60" spans="1:13" ht="30" customHeight="1" x14ac:dyDescent="0.25">
      <c r="A60" s="2"/>
      <c r="B60" s="628" t="s">
        <v>450</v>
      </c>
      <c r="C60" s="752" t="str">
        <f>Cálculos!B10</f>
        <v/>
      </c>
      <c r="D60" s="666"/>
      <c r="E60" s="666"/>
      <c r="F60" s="1469" t="s">
        <v>690</v>
      </c>
      <c r="G60" s="1470"/>
      <c r="H60" s="1470"/>
      <c r="I60" s="1471"/>
    </row>
    <row r="61" spans="1:13" ht="30" customHeight="1" x14ac:dyDescent="0.25">
      <c r="A61" s="2"/>
      <c r="B61" s="11"/>
      <c r="C61" s="10"/>
      <c r="D61" s="4"/>
      <c r="F61" s="670" t="s">
        <v>550</v>
      </c>
      <c r="G61" s="671" t="s">
        <v>551</v>
      </c>
      <c r="H61" s="597" t="s">
        <v>552</v>
      </c>
      <c r="I61" s="597" t="s">
        <v>53</v>
      </c>
    </row>
    <row r="62" spans="1:13" ht="20.25" customHeight="1" x14ac:dyDescent="0.25">
      <c r="A62" s="2"/>
      <c r="B62" s="792" t="s">
        <v>549</v>
      </c>
      <c r="C62" s="752">
        <f>IF(Cálculos!B15=8.56," ",(IF(Cálculos!B15 &gt;0,Cálculos!B15,"")))</f>
        <v>4.28</v>
      </c>
      <c r="D62" s="4"/>
      <c r="F62" s="771">
        <v>6.25E-2</v>
      </c>
      <c r="G62" s="772">
        <v>249134.75</v>
      </c>
      <c r="H62" s="773">
        <v>25</v>
      </c>
      <c r="I62" s="707">
        <f>IFERROR(IF(G62="","",-PMT(F62*365/360/12,H63,G62)),"")</f>
        <v>1656.859097273222</v>
      </c>
    </row>
    <row r="63" spans="1:13" ht="11.25" customHeight="1" x14ac:dyDescent="0.25">
      <c r="A63" s="2"/>
      <c r="B63" s="12"/>
      <c r="C63" s="10"/>
      <c r="D63" s="4"/>
      <c r="H63" s="672">
        <f>H62*12</f>
        <v>300</v>
      </c>
    </row>
    <row r="64" spans="1:13" ht="15" customHeight="1" x14ac:dyDescent="0.25">
      <c r="A64" s="2"/>
      <c r="B64" s="1468" t="s">
        <v>90</v>
      </c>
      <c r="C64" s="1468"/>
      <c r="D64" s="1468"/>
      <c r="E64" s="1468"/>
      <c r="F64" s="1468"/>
      <c r="G64" s="1468"/>
      <c r="H64" s="1468"/>
      <c r="I64" s="1468"/>
    </row>
    <row r="65" spans="1:20" ht="4.5" customHeight="1" x14ac:dyDescent="0.25">
      <c r="A65" s="2"/>
      <c r="B65" s="673"/>
      <c r="C65" s="673"/>
      <c r="D65" s="673"/>
      <c r="E65" s="673"/>
      <c r="F65" s="673"/>
      <c r="G65" s="673"/>
      <c r="H65" s="673"/>
      <c r="I65" s="673"/>
    </row>
    <row r="66" spans="1:20" x14ac:dyDescent="0.25">
      <c r="A66" s="2"/>
      <c r="B66" s="657"/>
      <c r="C66" s="1463" t="s">
        <v>91</v>
      </c>
      <c r="D66" s="1463"/>
      <c r="E66" s="1463" t="s">
        <v>92</v>
      </c>
      <c r="F66" s="1463"/>
      <c r="G66" s="674" t="s">
        <v>93</v>
      </c>
      <c r="H66" s="1463" t="s">
        <v>94</v>
      </c>
      <c r="I66" s="1463"/>
    </row>
    <row r="67" spans="1:20" hidden="1" x14ac:dyDescent="0.25">
      <c r="A67" s="24"/>
      <c r="B67" s="600"/>
      <c r="C67" s="1467"/>
      <c r="D67" s="1467"/>
      <c r="E67" s="1467"/>
      <c r="F67" s="1467"/>
      <c r="G67" s="601"/>
      <c r="H67" s="1467"/>
      <c r="I67" s="1467"/>
    </row>
    <row r="68" spans="1:20" x14ac:dyDescent="0.25">
      <c r="B68" s="600" t="s">
        <v>81</v>
      </c>
      <c r="C68" s="1467" t="s">
        <v>113</v>
      </c>
      <c r="D68" s="1467"/>
      <c r="E68" s="1467" t="s">
        <v>113</v>
      </c>
      <c r="F68" s="1467"/>
      <c r="G68" s="601" t="s">
        <v>116</v>
      </c>
      <c r="H68" s="1467"/>
      <c r="I68" s="1467"/>
    </row>
    <row r="69" spans="1:20" x14ac:dyDescent="0.25">
      <c r="B69" s="600" t="s">
        <v>82</v>
      </c>
      <c r="C69" s="1455"/>
      <c r="D69" s="1455"/>
      <c r="E69" s="1455"/>
      <c r="F69" s="1455"/>
      <c r="G69" s="602" t="s">
        <v>2490</v>
      </c>
      <c r="H69" s="1455"/>
      <c r="I69" s="1455"/>
    </row>
    <row r="70" spans="1:20" x14ac:dyDescent="0.25">
      <c r="B70" s="600" t="s">
        <v>443</v>
      </c>
      <c r="C70" s="1455"/>
      <c r="D70" s="1455"/>
      <c r="E70" s="1455"/>
      <c r="F70" s="1455"/>
      <c r="G70" s="602"/>
      <c r="H70" s="1455"/>
      <c r="I70" s="1455"/>
    </row>
    <row r="71" spans="1:20" x14ac:dyDescent="0.25">
      <c r="B71" s="600" t="s">
        <v>1681</v>
      </c>
      <c r="C71" s="1491" t="s">
        <v>1683</v>
      </c>
      <c r="D71" s="1492"/>
      <c r="E71" s="1491" t="s">
        <v>1683</v>
      </c>
      <c r="F71" s="1492"/>
      <c r="G71" s="602"/>
      <c r="H71" s="1491"/>
      <c r="I71" s="1492"/>
    </row>
    <row r="72" spans="1:20" x14ac:dyDescent="0.25">
      <c r="B72" s="600" t="s">
        <v>541</v>
      </c>
      <c r="C72" s="1491" t="s">
        <v>1798</v>
      </c>
      <c r="D72" s="1492"/>
      <c r="E72" s="1491" t="s">
        <v>1798</v>
      </c>
      <c r="F72" s="1492"/>
      <c r="G72" s="602"/>
      <c r="H72" s="1491"/>
      <c r="I72" s="1492"/>
    </row>
    <row r="73" spans="1:20" x14ac:dyDescent="0.25">
      <c r="B73" s="600" t="s">
        <v>482</v>
      </c>
      <c r="C73" s="1455" t="s">
        <v>2488</v>
      </c>
      <c r="D73" s="1455"/>
      <c r="E73" s="1455" t="s">
        <v>2491</v>
      </c>
      <c r="F73" s="1455"/>
      <c r="G73" s="602"/>
      <c r="H73" s="1455"/>
      <c r="I73" s="1455"/>
      <c r="Q73" s="675"/>
      <c r="R73" s="675"/>
      <c r="S73" s="675"/>
      <c r="T73" s="676"/>
    </row>
    <row r="74" spans="1:20" x14ac:dyDescent="0.25">
      <c r="B74" s="603" t="s">
        <v>85</v>
      </c>
      <c r="C74" s="1454"/>
      <c r="D74" s="1454"/>
      <c r="E74" s="1454"/>
      <c r="F74" s="1454"/>
      <c r="G74" s="760"/>
      <c r="H74" s="1454"/>
      <c r="I74" s="1454"/>
      <c r="Q74" s="1452"/>
      <c r="R74" s="1452"/>
      <c r="S74" s="1452"/>
      <c r="T74" s="1452"/>
    </row>
    <row r="75" spans="1:20" x14ac:dyDescent="0.25">
      <c r="B75" s="600" t="s">
        <v>89</v>
      </c>
      <c r="C75" s="1455"/>
      <c r="D75" s="1455"/>
      <c r="E75" s="1455"/>
      <c r="F75" s="1455"/>
      <c r="G75" s="602"/>
      <c r="H75" s="1455"/>
      <c r="I75" s="1455"/>
      <c r="Q75" s="677"/>
      <c r="R75" s="677"/>
      <c r="S75" s="677"/>
      <c r="T75" s="678"/>
    </row>
    <row r="76" spans="1:20" x14ac:dyDescent="0.25">
      <c r="B76" s="600" t="s">
        <v>84</v>
      </c>
      <c r="C76" s="1455"/>
      <c r="D76" s="1455"/>
      <c r="E76" s="1455"/>
      <c r="F76" s="1455"/>
      <c r="G76" s="602"/>
      <c r="H76" s="1455"/>
      <c r="I76" s="1455"/>
    </row>
    <row r="77" spans="1:20" x14ac:dyDescent="0.25">
      <c r="B77" s="600" t="s">
        <v>560</v>
      </c>
      <c r="C77" s="1455" t="s">
        <v>562</v>
      </c>
      <c r="D77" s="1455"/>
      <c r="E77" s="1455" t="s">
        <v>561</v>
      </c>
      <c r="F77" s="1455"/>
      <c r="G77" s="602"/>
      <c r="H77" s="1455"/>
      <c r="I77" s="1455"/>
    </row>
    <row r="78" spans="1:20" x14ac:dyDescent="0.25">
      <c r="B78" s="600" t="s">
        <v>83</v>
      </c>
      <c r="C78" s="1455"/>
      <c r="D78" s="1455"/>
      <c r="E78" s="1455"/>
      <c r="F78" s="1455"/>
      <c r="G78" s="602"/>
      <c r="H78" s="1455"/>
      <c r="I78" s="1455"/>
    </row>
    <row r="79" spans="1:20" x14ac:dyDescent="0.25">
      <c r="B79" s="604" t="s">
        <v>2186</v>
      </c>
      <c r="C79" s="605"/>
      <c r="D79" s="606"/>
      <c r="E79" s="605"/>
      <c r="F79" s="606"/>
      <c r="G79" s="602"/>
      <c r="H79" s="605"/>
      <c r="I79" s="606"/>
    </row>
    <row r="80" spans="1:20" ht="24" x14ac:dyDescent="0.25">
      <c r="B80" s="600" t="s">
        <v>86</v>
      </c>
      <c r="C80" s="1453">
        <v>500</v>
      </c>
      <c r="D80" s="1453"/>
      <c r="E80" s="1453">
        <v>500</v>
      </c>
      <c r="F80" s="1453"/>
      <c r="G80" s="761"/>
      <c r="H80" s="1453"/>
      <c r="I80" s="1453"/>
      <c r="Q80" s="675"/>
      <c r="R80" s="169"/>
      <c r="S80" s="1457"/>
      <c r="T80" s="1457"/>
    </row>
    <row r="81" spans="2:20" x14ac:dyDescent="0.25">
      <c r="B81" s="600" t="s">
        <v>87</v>
      </c>
      <c r="C81" s="1453"/>
      <c r="D81" s="1453"/>
      <c r="E81" s="1453"/>
      <c r="F81" s="1453"/>
      <c r="G81" s="761"/>
      <c r="H81" s="1453"/>
      <c r="I81" s="1453"/>
      <c r="Q81" s="675"/>
      <c r="R81" s="169"/>
      <c r="S81" s="679"/>
      <c r="T81" s="676"/>
    </row>
    <row r="82" spans="2:20" ht="24" x14ac:dyDescent="0.25">
      <c r="B82" s="600" t="s">
        <v>789</v>
      </c>
      <c r="C82" s="1453"/>
      <c r="D82" s="1453"/>
      <c r="E82" s="1453"/>
      <c r="F82" s="1453"/>
      <c r="G82" s="761"/>
      <c r="H82" s="1453"/>
      <c r="I82" s="1453"/>
      <c r="Q82" s="675"/>
      <c r="R82" s="169"/>
      <c r="S82" s="675"/>
      <c r="T82" s="676"/>
    </row>
    <row r="83" spans="2:20" ht="24" x14ac:dyDescent="0.25">
      <c r="B83" s="600" t="s">
        <v>790</v>
      </c>
      <c r="C83" s="1453"/>
      <c r="D83" s="1453"/>
      <c r="E83" s="1453"/>
      <c r="F83" s="1453"/>
      <c r="G83" s="761"/>
      <c r="H83" s="1453"/>
      <c r="I83" s="1453"/>
      <c r="Q83" s="675"/>
      <c r="R83" s="169"/>
      <c r="S83" s="1456"/>
      <c r="T83" s="1456"/>
    </row>
    <row r="84" spans="2:20" ht="24" x14ac:dyDescent="0.25">
      <c r="B84" s="600" t="s">
        <v>791</v>
      </c>
      <c r="C84" s="1453"/>
      <c r="D84" s="1453"/>
      <c r="E84" s="1453"/>
      <c r="F84" s="1453"/>
      <c r="G84" s="761"/>
      <c r="H84" s="1453"/>
      <c r="I84" s="1453"/>
      <c r="Q84" s="675"/>
      <c r="R84" s="169"/>
      <c r="S84" s="679"/>
      <c r="T84" s="676"/>
    </row>
    <row r="85" spans="2:20" ht="25.5" customHeight="1" x14ac:dyDescent="0.25">
      <c r="B85" s="600" t="s">
        <v>792</v>
      </c>
      <c r="C85" s="1453">
        <v>1656.86</v>
      </c>
      <c r="D85" s="1453"/>
      <c r="E85" s="1453">
        <v>627.73</v>
      </c>
      <c r="F85" s="1453"/>
      <c r="G85" s="761"/>
      <c r="H85" s="1453"/>
      <c r="I85" s="1453"/>
      <c r="Q85" s="675"/>
      <c r="R85" s="169"/>
      <c r="S85" s="679"/>
      <c r="T85" s="676"/>
    </row>
    <row r="86" spans="2:20" ht="3.75" customHeight="1" x14ac:dyDescent="0.25"/>
    <row r="87" spans="2:20" ht="21" x14ac:dyDescent="0.25">
      <c r="B87" s="14" t="s">
        <v>107</v>
      </c>
      <c r="C87" s="1459" t="s">
        <v>108</v>
      </c>
      <c r="D87" s="1459"/>
      <c r="E87" s="629" t="s">
        <v>475</v>
      </c>
      <c r="F87" s="629" t="s">
        <v>687</v>
      </c>
    </row>
    <row r="88" spans="2:20" x14ac:dyDescent="0.25">
      <c r="B88" s="758">
        <f>SUM(C80:I80)</f>
        <v>1000</v>
      </c>
      <c r="C88" s="1460">
        <f>IFERROR(((Cálculos!C163+Cálculos!B15))/(Cálculos!C160),"")</f>
        <v>2.2888700000000002</v>
      </c>
      <c r="D88" s="1460"/>
      <c r="E88" s="759">
        <f>IFERROR(IF(R1=2,Cálculos!B168,Cálculos!B167),"")</f>
        <v>2.2888700000000002</v>
      </c>
      <c r="F88" s="758">
        <f>B88*0.3</f>
        <v>300</v>
      </c>
    </row>
    <row r="89" spans="2:20" ht="9" customHeight="1" x14ac:dyDescent="0.25"/>
    <row r="90" spans="2:20" ht="15" customHeight="1" x14ac:dyDescent="0.25">
      <c r="B90" s="1476" t="s">
        <v>175</v>
      </c>
      <c r="C90" s="1476"/>
      <c r="D90" s="1476"/>
      <c r="E90" s="1476"/>
      <c r="F90" s="1476"/>
      <c r="G90" s="1476"/>
      <c r="H90" s="1476"/>
      <c r="I90" s="1476"/>
    </row>
    <row r="91" spans="2:20" ht="8.25" customHeight="1" x14ac:dyDescent="0.25">
      <c r="B91" s="657"/>
      <c r="C91" s="657"/>
      <c r="D91" s="657"/>
      <c r="E91" s="657"/>
      <c r="F91" s="680"/>
      <c r="G91" s="657"/>
      <c r="H91" s="657"/>
      <c r="I91" s="657"/>
    </row>
    <row r="92" spans="2:20" ht="32.25" customHeight="1" x14ac:dyDescent="0.25">
      <c r="B92" s="154" t="s">
        <v>176</v>
      </c>
      <c r="C92" s="1477" t="s">
        <v>195</v>
      </c>
      <c r="D92" s="1478"/>
      <c r="E92" s="24"/>
      <c r="F92" s="24"/>
      <c r="G92" s="228" t="s">
        <v>848</v>
      </c>
      <c r="H92" s="1487">
        <f>IF(G26="","",G26)</f>
        <v>43525</v>
      </c>
      <c r="I92" s="1488"/>
    </row>
    <row r="93" spans="2:20" ht="9" customHeight="1" x14ac:dyDescent="0.25">
      <c r="B93" s="681"/>
      <c r="C93" s="681"/>
      <c r="D93" s="681"/>
      <c r="E93" s="682"/>
      <c r="F93" s="24"/>
    </row>
    <row r="94" spans="2:20" ht="15.75" x14ac:dyDescent="0.25">
      <c r="B94" s="154" t="s">
        <v>177</v>
      </c>
      <c r="C94" s="1485" t="s">
        <v>190</v>
      </c>
      <c r="D94" s="1486"/>
      <c r="E94" s="24"/>
      <c r="F94" s="24"/>
      <c r="G94" s="46" t="s">
        <v>217</v>
      </c>
      <c r="H94" s="1480" t="s">
        <v>111</v>
      </c>
      <c r="I94" s="1481"/>
    </row>
    <row r="95" spans="2:20" ht="8.25" customHeight="1" x14ac:dyDescent="0.25">
      <c r="B95" s="681"/>
      <c r="C95" s="681"/>
      <c r="D95" s="681"/>
      <c r="E95" s="683"/>
      <c r="F95" s="24"/>
    </row>
    <row r="96" spans="2:20" x14ac:dyDescent="0.25">
      <c r="B96" s="15" t="s">
        <v>676</v>
      </c>
      <c r="C96" s="1477" t="s">
        <v>111</v>
      </c>
      <c r="D96" s="1478"/>
      <c r="E96" s="24"/>
      <c r="F96" s="24"/>
      <c r="I96" s="657"/>
    </row>
    <row r="97" spans="2:10" ht="4.5" customHeight="1" x14ac:dyDescent="0.25">
      <c r="B97" s="21"/>
      <c r="C97" s="21"/>
      <c r="D97" s="22"/>
      <c r="E97" s="23"/>
      <c r="F97" s="23"/>
      <c r="G97" s="23"/>
      <c r="H97" s="23"/>
      <c r="I97" s="23"/>
    </row>
    <row r="98" spans="2:10" x14ac:dyDescent="0.25">
      <c r="B98" s="1461" t="s">
        <v>689</v>
      </c>
      <c r="C98" s="1461"/>
      <c r="D98" s="1461"/>
      <c r="E98" s="1461"/>
      <c r="F98" s="1461"/>
      <c r="G98" s="1461"/>
      <c r="H98" s="1461"/>
      <c r="I98" s="1461"/>
    </row>
    <row r="99" spans="2:10" ht="17.25" customHeight="1" x14ac:dyDescent="0.25">
      <c r="B99" s="639"/>
      <c r="C99" s="640"/>
      <c r="D99" s="641"/>
      <c r="E99" s="684"/>
      <c r="F99" s="685"/>
      <c r="G99" s="637" t="s">
        <v>219</v>
      </c>
      <c r="H99" s="638">
        <f>IF(OR(R1=2, R1=4),C43,C44)</f>
        <v>0</v>
      </c>
      <c r="I99" s="633"/>
    </row>
    <row r="100" spans="2:10" x14ac:dyDescent="0.25">
      <c r="B100" s="634" t="s">
        <v>760</v>
      </c>
      <c r="C100" s="1479" t="s">
        <v>541</v>
      </c>
      <c r="D100" s="1479"/>
      <c r="E100" s="1435" t="s">
        <v>547</v>
      </c>
      <c r="F100" s="1435"/>
      <c r="G100" s="635" t="s">
        <v>178</v>
      </c>
      <c r="H100" s="636" t="s">
        <v>179</v>
      </c>
      <c r="I100" s="598" t="s">
        <v>53</v>
      </c>
      <c r="J100" s="662"/>
    </row>
    <row r="101" spans="2:10" ht="28.5" customHeight="1" x14ac:dyDescent="0.25">
      <c r="B101" s="858"/>
      <c r="C101" s="1436" t="str">
        <f>IF(R1=2,"Comisiones y Servicios Legales","")</f>
        <v/>
      </c>
      <c r="D101" s="1437"/>
      <c r="E101" s="1438" t="str">
        <f>IF($R$1=2,"Banco General","")</f>
        <v/>
      </c>
      <c r="F101" s="1438"/>
      <c r="G101" s="869" t="str">
        <f>IF($R$1=2,"Cancela","")</f>
        <v/>
      </c>
      <c r="H101" s="875" t="str">
        <f>IF(R1=2,G44,"")</f>
        <v/>
      </c>
      <c r="I101" s="599"/>
      <c r="J101" s="662"/>
    </row>
    <row r="102" spans="2:10" ht="15.75" x14ac:dyDescent="0.25">
      <c r="B102" s="858"/>
      <c r="C102" s="1438" t="str">
        <f>IFERROR(IF(AND(R1=2, R30=2),"Saldo de Primera Hipoteca",IF(AND(R1=2, R30=3),"Monto del Casa Cash Vigente","")),"")</f>
        <v/>
      </c>
      <c r="D102" s="1438"/>
      <c r="E102" s="1438" t="str">
        <f>IFERROR(IF(AND(R1=2, R30=2),"Banco General",IF(AND(R1=2, R30=3),"Banco General","")),"")</f>
        <v/>
      </c>
      <c r="F102" s="1438"/>
      <c r="G102" s="869" t="str">
        <f>IFERROR(IF(AND(R1=2, R30=2),"Cancela",IF(AND(R1=2, R30=3),"Cancela","")),"")</f>
        <v/>
      </c>
      <c r="H102" s="868" t="str">
        <f>IFERROR(IF(AND(R1=2, R30=2),C37,IF(AND(R1=2, R30=3),C38,"")),"")</f>
        <v/>
      </c>
      <c r="I102" s="775"/>
      <c r="J102" s="662"/>
    </row>
    <row r="103" spans="2:10" ht="15.75" x14ac:dyDescent="0.25">
      <c r="B103" s="770"/>
      <c r="C103" s="1439"/>
      <c r="D103" s="1439"/>
      <c r="E103" s="1439"/>
      <c r="F103" s="1439"/>
      <c r="G103" s="857"/>
      <c r="H103" s="774"/>
      <c r="I103" s="775"/>
      <c r="J103" s="662"/>
    </row>
    <row r="104" spans="2:10" ht="15.75" x14ac:dyDescent="0.25">
      <c r="B104" s="855"/>
      <c r="C104" s="1440"/>
      <c r="D104" s="1440"/>
      <c r="E104" s="1440"/>
      <c r="F104" s="1440"/>
      <c r="G104" s="856"/>
      <c r="H104" s="774"/>
      <c r="I104" s="775"/>
      <c r="J104" s="662"/>
    </row>
    <row r="105" spans="2:10" ht="15.75" x14ac:dyDescent="0.25">
      <c r="B105" s="770"/>
      <c r="C105" s="1434"/>
      <c r="D105" s="1434"/>
      <c r="E105" s="1434"/>
      <c r="F105" s="1434"/>
      <c r="G105" s="818"/>
      <c r="H105" s="774"/>
      <c r="I105" s="775"/>
      <c r="J105" s="686"/>
    </row>
    <row r="106" spans="2:10" ht="15.75" x14ac:dyDescent="0.25">
      <c r="B106" s="770"/>
      <c r="C106" s="1434"/>
      <c r="D106" s="1434"/>
      <c r="E106" s="1434"/>
      <c r="F106" s="1434"/>
      <c r="G106" s="818"/>
      <c r="H106" s="774"/>
      <c r="I106" s="775"/>
      <c r="J106" s="686"/>
    </row>
    <row r="107" spans="2:10" ht="15.75" x14ac:dyDescent="0.25">
      <c r="B107" s="770"/>
      <c r="C107" s="1434"/>
      <c r="D107" s="1434"/>
      <c r="E107" s="1434"/>
      <c r="F107" s="1434"/>
      <c r="G107" s="818"/>
      <c r="H107" s="774"/>
      <c r="I107" s="775"/>
      <c r="J107" s="686"/>
    </row>
    <row r="108" spans="2:10" ht="15.75" x14ac:dyDescent="0.25">
      <c r="B108" s="770"/>
      <c r="C108" s="1434"/>
      <c r="D108" s="1434"/>
      <c r="E108" s="1434"/>
      <c r="F108" s="1434"/>
      <c r="G108" s="818"/>
      <c r="H108" s="774"/>
      <c r="I108" s="775"/>
      <c r="J108" s="686"/>
    </row>
    <row r="109" spans="2:10" ht="15.75" x14ac:dyDescent="0.25">
      <c r="B109" s="770"/>
      <c r="C109" s="1434"/>
      <c r="D109" s="1434"/>
      <c r="E109" s="1434"/>
      <c r="F109" s="1434"/>
      <c r="G109" s="818"/>
      <c r="H109" s="774"/>
      <c r="I109" s="775"/>
      <c r="J109" s="686"/>
    </row>
    <row r="110" spans="2:10" ht="15.75" x14ac:dyDescent="0.25">
      <c r="B110" s="770"/>
      <c r="C110" s="1434"/>
      <c r="D110" s="1434"/>
      <c r="E110" s="1434"/>
      <c r="F110" s="1434"/>
      <c r="G110" s="818"/>
      <c r="H110" s="774"/>
      <c r="I110" s="775"/>
      <c r="J110" s="686"/>
    </row>
    <row r="111" spans="2:10" ht="15.75" x14ac:dyDescent="0.25">
      <c r="B111" s="770"/>
      <c r="C111" s="1434"/>
      <c r="D111" s="1434"/>
      <c r="E111" s="1434"/>
      <c r="F111" s="1434"/>
      <c r="G111" s="818"/>
      <c r="H111" s="774"/>
      <c r="I111" s="775"/>
      <c r="J111" s="686"/>
    </row>
    <row r="112" spans="2:10" ht="15.75" x14ac:dyDescent="0.25">
      <c r="B112" s="770"/>
      <c r="C112" s="1434"/>
      <c r="D112" s="1434"/>
      <c r="E112" s="1434"/>
      <c r="F112" s="1434"/>
      <c r="G112" s="818"/>
      <c r="H112" s="774"/>
      <c r="I112" s="775"/>
      <c r="J112" s="686"/>
    </row>
    <row r="113" spans="2:10" ht="15.75" x14ac:dyDescent="0.25">
      <c r="B113" s="770"/>
      <c r="C113" s="1434"/>
      <c r="D113" s="1434"/>
      <c r="E113" s="1434"/>
      <c r="F113" s="1434"/>
      <c r="G113" s="818"/>
      <c r="H113" s="774"/>
      <c r="I113" s="775"/>
      <c r="J113" s="686"/>
    </row>
    <row r="114" spans="2:10" ht="16.5" customHeight="1" x14ac:dyDescent="0.25">
      <c r="B114" s="770"/>
      <c r="C114" s="1434"/>
      <c r="D114" s="1434"/>
      <c r="E114" s="1434"/>
      <c r="F114" s="1434"/>
      <c r="G114" s="818"/>
      <c r="H114" s="774"/>
      <c r="I114" s="775"/>
      <c r="J114" s="686"/>
    </row>
    <row r="115" spans="2:10" ht="16.5" customHeight="1" x14ac:dyDescent="0.25">
      <c r="B115" s="770"/>
      <c r="C115" s="1434"/>
      <c r="D115" s="1434"/>
      <c r="E115" s="1434"/>
      <c r="F115" s="1434"/>
      <c r="G115" s="818"/>
      <c r="H115" s="774"/>
      <c r="I115" s="775"/>
      <c r="J115" s="686"/>
    </row>
    <row r="116" spans="2:10" ht="16.5" customHeight="1" x14ac:dyDescent="0.25">
      <c r="B116" s="770"/>
      <c r="C116" s="1434"/>
      <c r="D116" s="1434"/>
      <c r="E116" s="1434"/>
      <c r="F116" s="1434"/>
      <c r="G116" s="818"/>
      <c r="H116" s="774"/>
      <c r="I116" s="775"/>
      <c r="J116" s="686"/>
    </row>
    <row r="117" spans="2:10" ht="15.75" x14ac:dyDescent="0.25">
      <c r="B117" s="770"/>
      <c r="C117" s="1434"/>
      <c r="D117" s="1434"/>
      <c r="E117" s="1434"/>
      <c r="F117" s="1434"/>
      <c r="G117" s="818"/>
      <c r="H117" s="774"/>
      <c r="I117" s="775"/>
      <c r="J117" s="686"/>
    </row>
    <row r="118" spans="2:10" ht="15.75" x14ac:dyDescent="0.25">
      <c r="B118" s="770"/>
      <c r="C118" s="1434"/>
      <c r="D118" s="1434"/>
      <c r="E118" s="1434"/>
      <c r="F118" s="1434"/>
      <c r="G118" s="818"/>
      <c r="H118" s="774"/>
      <c r="I118" s="775"/>
      <c r="J118" s="686"/>
    </row>
    <row r="119" spans="2:10" ht="15.75" x14ac:dyDescent="0.25">
      <c r="B119" s="770"/>
      <c r="C119" s="1434"/>
      <c r="D119" s="1434"/>
      <c r="E119" s="1434"/>
      <c r="F119" s="1434"/>
      <c r="G119" s="818"/>
      <c r="H119" s="776"/>
      <c r="I119" s="777"/>
      <c r="J119" s="686"/>
    </row>
    <row r="120" spans="2:10" ht="15.75" customHeight="1" x14ac:dyDescent="0.25">
      <c r="B120" s="24"/>
      <c r="C120" s="25"/>
      <c r="D120" s="1451" t="s">
        <v>180</v>
      </c>
      <c r="E120" s="1451"/>
      <c r="F120" s="1451"/>
      <c r="G120" s="1451"/>
      <c r="H120" s="608">
        <f>Cálculos!C215</f>
        <v>0</v>
      </c>
      <c r="I120" s="608">
        <f>SUM(I101:I119)</f>
        <v>0</v>
      </c>
    </row>
    <row r="121" spans="2:10" x14ac:dyDescent="0.25">
      <c r="B121" s="28"/>
      <c r="C121" s="28"/>
      <c r="D121" s="1433" t="s">
        <v>181</v>
      </c>
      <c r="E121" s="1433"/>
      <c r="F121" s="1433"/>
      <c r="G121" s="1433"/>
      <c r="H121" s="607">
        <f>IFERROR(IF(OR(R1=2,R1=4),(H99-H120),0),"")</f>
        <v>0</v>
      </c>
      <c r="I121" s="29"/>
    </row>
    <row r="122" spans="2:10" x14ac:dyDescent="0.25">
      <c r="B122" s="30"/>
      <c r="C122" s="31"/>
      <c r="D122" s="32"/>
      <c r="E122" s="33"/>
      <c r="F122" s="34"/>
      <c r="G122" s="35"/>
      <c r="H122" s="34"/>
      <c r="I122" s="27"/>
    </row>
    <row r="123" spans="2:10" ht="11.25" customHeight="1" x14ac:dyDescent="0.25">
      <c r="B123" s="36"/>
      <c r="C123" s="37"/>
      <c r="D123" s="32"/>
      <c r="E123" s="38"/>
      <c r="F123" s="34"/>
      <c r="G123" s="1433" t="s">
        <v>182</v>
      </c>
      <c r="H123" s="1433"/>
      <c r="I123" s="27"/>
    </row>
    <row r="124" spans="2:10" x14ac:dyDescent="0.25">
      <c r="B124" s="30"/>
      <c r="C124" s="39"/>
      <c r="D124" s="32"/>
      <c r="E124" s="34"/>
      <c r="F124" s="34"/>
      <c r="G124" s="1449">
        <f>IFERROR(C88," ")</f>
        <v>2.2888700000000002</v>
      </c>
      <c r="H124" s="1450"/>
      <c r="I124" s="47"/>
    </row>
    <row r="125" spans="2:10" x14ac:dyDescent="0.25">
      <c r="B125" s="1443" t="s">
        <v>187</v>
      </c>
      <c r="C125" s="1444"/>
      <c r="D125" s="1444"/>
      <c r="E125" s="1444"/>
      <c r="F125" s="1444"/>
      <c r="G125" s="1444"/>
      <c r="H125" s="1444"/>
      <c r="I125" s="1444"/>
    </row>
    <row r="126" spans="2:10" x14ac:dyDescent="0.25">
      <c r="B126" s="609" t="s">
        <v>2492</v>
      </c>
      <c r="C126" s="610"/>
      <c r="D126" s="610"/>
      <c r="E126" s="610"/>
      <c r="F126" s="610"/>
      <c r="G126" s="610"/>
      <c r="H126" s="610"/>
      <c r="I126" s="610"/>
    </row>
    <row r="127" spans="2:10" x14ac:dyDescent="0.25">
      <c r="B127" s="609" t="s">
        <v>2493</v>
      </c>
      <c r="C127" s="610"/>
      <c r="D127" s="610"/>
      <c r="E127" s="610"/>
      <c r="F127" s="610"/>
      <c r="G127" s="610"/>
      <c r="H127" s="610"/>
      <c r="I127" s="610"/>
    </row>
    <row r="128" spans="2:10" x14ac:dyDescent="0.25">
      <c r="B128" s="609" t="s">
        <v>2494</v>
      </c>
      <c r="C128" s="610"/>
      <c r="D128" s="610"/>
      <c r="E128" s="610"/>
      <c r="F128" s="610"/>
      <c r="G128" s="610"/>
      <c r="H128" s="610"/>
      <c r="I128" s="610"/>
    </row>
    <row r="129" spans="2:9" x14ac:dyDescent="0.25">
      <c r="B129" s="687" t="s">
        <v>565</v>
      </c>
      <c r="C129" s="611"/>
      <c r="D129" s="689"/>
      <c r="E129" s="687" t="s">
        <v>566</v>
      </c>
      <c r="F129" s="688"/>
      <c r="G129" s="689"/>
      <c r="H129" s="687" t="s">
        <v>461</v>
      </c>
      <c r="I129" s="688"/>
    </row>
    <row r="130" spans="2:9" x14ac:dyDescent="0.25">
      <c r="B130" s="40"/>
      <c r="C130" s="40"/>
      <c r="D130" s="41"/>
      <c r="E130" s="40"/>
      <c r="F130" s="40"/>
      <c r="G130" s="40"/>
      <c r="H130" s="40"/>
      <c r="I130" s="40"/>
    </row>
    <row r="131" spans="2:9" ht="15.75" x14ac:dyDescent="0.25">
      <c r="B131" s="690" t="s">
        <v>183</v>
      </c>
      <c r="C131" s="40"/>
      <c r="D131" s="690" t="s">
        <v>53</v>
      </c>
      <c r="E131" s="41"/>
      <c r="F131" s="690" t="s">
        <v>170</v>
      </c>
      <c r="G131" s="40"/>
      <c r="H131" s="691" t="s">
        <v>554</v>
      </c>
      <c r="I131" s="40"/>
    </row>
    <row r="132" spans="2:9" ht="15.75" x14ac:dyDescent="0.25">
      <c r="B132" s="162">
        <f>IF(OR(R1=2,R111),C43,C44)</f>
        <v>0</v>
      </c>
      <c r="C132" s="40"/>
      <c r="D132" s="163">
        <f>Cálculos!B15</f>
        <v>4.28</v>
      </c>
      <c r="E132" s="41"/>
      <c r="F132" s="156">
        <f>IF(R1=2,(Cálculos!D149+Cálculos!C64),Cálculos!D149)</f>
        <v>0</v>
      </c>
      <c r="G132" s="40"/>
      <c r="H132" s="170">
        <f>Cálculos!B28</f>
        <v>1.9E-3</v>
      </c>
      <c r="I132" s="40"/>
    </row>
    <row r="133" spans="2:9" x14ac:dyDescent="0.25">
      <c r="B133" s="40"/>
      <c r="C133" s="40"/>
      <c r="D133" s="41"/>
      <c r="E133" s="40"/>
      <c r="F133" s="40"/>
      <c r="G133" s="40"/>
      <c r="H133" s="40"/>
      <c r="I133" s="40"/>
    </row>
    <row r="134" spans="2:9" ht="13.5" customHeight="1" x14ac:dyDescent="0.25">
      <c r="B134" s="692"/>
      <c r="C134" s="693"/>
      <c r="D134" s="42"/>
      <c r="E134" s="692" t="s">
        <v>1</v>
      </c>
      <c r="F134" s="693"/>
      <c r="G134" s="694" t="s">
        <v>185</v>
      </c>
      <c r="H134" s="27"/>
      <c r="I134" s="26"/>
    </row>
    <row r="135" spans="2:9" ht="15.75" x14ac:dyDescent="0.25">
      <c r="B135" s="692" t="s">
        <v>471</v>
      </c>
      <c r="C135" s="1447"/>
      <c r="D135" s="1448"/>
      <c r="E135" s="692" t="s">
        <v>186</v>
      </c>
      <c r="F135" s="695"/>
      <c r="G135" s="694" t="s">
        <v>186</v>
      </c>
      <c r="H135" s="696"/>
      <c r="I135" s="697"/>
    </row>
    <row r="136" spans="2:9" ht="6.75" customHeight="1" x14ac:dyDescent="0.25">
      <c r="B136" s="698"/>
      <c r="C136" s="43"/>
      <c r="D136" s="43"/>
      <c r="E136" s="698"/>
      <c r="F136" s="43"/>
      <c r="G136" s="43"/>
      <c r="H136" s="699"/>
      <c r="I136" s="44"/>
    </row>
    <row r="137" spans="2:9" x14ac:dyDescent="0.25">
      <c r="B137" s="1445" t="s">
        <v>559</v>
      </c>
      <c r="C137" s="1446"/>
      <c r="D137" s="1446"/>
      <c r="E137" s="1446"/>
      <c r="F137" s="1446"/>
      <c r="G137" s="1446"/>
      <c r="H137" s="1446"/>
      <c r="I137" s="1446"/>
    </row>
    <row r="138" spans="2:9" x14ac:dyDescent="0.25">
      <c r="B138" s="155"/>
      <c r="C138" s="45"/>
      <c r="D138" s="45"/>
      <c r="E138" s="45"/>
      <c r="F138" s="45"/>
      <c r="G138" s="45"/>
      <c r="H138" s="45"/>
      <c r="I138" s="45"/>
    </row>
    <row r="139" spans="2:9" x14ac:dyDescent="0.25">
      <c r="B139" s="155"/>
      <c r="C139" s="45"/>
      <c r="D139" s="45"/>
      <c r="E139" s="45"/>
      <c r="F139" s="45"/>
      <c r="G139" s="45"/>
      <c r="H139" s="45"/>
      <c r="I139" s="45"/>
    </row>
    <row r="140" spans="2:9" x14ac:dyDescent="0.25">
      <c r="B140" s="155"/>
      <c r="C140" s="45"/>
      <c r="D140" s="45"/>
      <c r="E140" s="45"/>
      <c r="F140" s="45"/>
      <c r="G140" s="45"/>
      <c r="H140" s="45"/>
      <c r="I140" s="45"/>
    </row>
    <row r="141" spans="2:9" x14ac:dyDescent="0.25">
      <c r="B141" s="1458" t="s">
        <v>556</v>
      </c>
      <c r="C141" s="1458"/>
      <c r="D141" s="1458"/>
      <c r="E141" s="1458"/>
      <c r="F141" s="1458"/>
      <c r="G141" s="1458"/>
      <c r="H141" s="1458"/>
      <c r="I141" s="1458"/>
    </row>
    <row r="142" spans="2:9" ht="7.5" customHeight="1" x14ac:dyDescent="0.25"/>
    <row r="143" spans="2:9" x14ac:dyDescent="0.25">
      <c r="B143" s="179" t="s">
        <v>557</v>
      </c>
      <c r="C143" s="1441" t="str">
        <f>C16</f>
        <v>Compra Vivienda Vacacional</v>
      </c>
      <c r="D143" s="1442"/>
      <c r="E143" s="186"/>
      <c r="G143" s="179" t="s">
        <v>78</v>
      </c>
      <c r="H143" s="181">
        <f>Cálculos!B4</f>
        <v>0.01</v>
      </c>
    </row>
    <row r="144" spans="2:9" ht="7.5" customHeight="1" x14ac:dyDescent="0.25">
      <c r="E144" s="700"/>
    </row>
    <row r="145" spans="2:9" x14ac:dyDescent="0.25">
      <c r="B145" s="179" t="s">
        <v>558</v>
      </c>
      <c r="C145" s="1441" t="str">
        <f>C18</f>
        <v>Individual</v>
      </c>
      <c r="D145" s="1442"/>
      <c r="E145" s="186"/>
      <c r="G145" s="179" t="s">
        <v>52</v>
      </c>
      <c r="H145" s="180">
        <f>C55</f>
        <v>0</v>
      </c>
    </row>
    <row r="146" spans="2:9" x14ac:dyDescent="0.25">
      <c r="E146" s="700"/>
      <c r="F146" s="701"/>
      <c r="G146" s="631"/>
      <c r="H146" s="701"/>
      <c r="I146" s="701"/>
    </row>
    <row r="147" spans="2:9" ht="26.25" x14ac:dyDescent="0.25">
      <c r="B147" s="179" t="s">
        <v>44</v>
      </c>
      <c r="C147" s="1441" t="str">
        <f>C20</f>
        <v>Residencial</v>
      </c>
      <c r="D147" s="1442"/>
      <c r="E147" s="186"/>
      <c r="F147" s="702"/>
      <c r="G147" s="749" t="s">
        <v>963</v>
      </c>
      <c r="H147" s="632" t="str">
        <f>IF(D37="","",D37)</f>
        <v/>
      </c>
      <c r="I147" s="702"/>
    </row>
    <row r="148" spans="2:9" ht="14.25" customHeight="1" x14ac:dyDescent="0.25">
      <c r="E148" s="700"/>
      <c r="F148" s="702"/>
      <c r="G148" s="702"/>
      <c r="H148" s="702"/>
      <c r="I148" s="702"/>
    </row>
    <row r="149" spans="2:9" ht="27" customHeight="1" x14ac:dyDescent="0.25">
      <c r="B149" s="179" t="s">
        <v>45</v>
      </c>
      <c r="C149" s="1441" t="str">
        <f>C22</f>
        <v>Nueva</v>
      </c>
      <c r="D149" s="1442"/>
      <c r="E149" s="186"/>
      <c r="F149" s="702"/>
      <c r="G149" s="1003" t="s">
        <v>931</v>
      </c>
      <c r="H149" s="1005" t="str">
        <f>C10</f>
        <v>A - Asalariado</v>
      </c>
      <c r="I149" s="1004"/>
    </row>
    <row r="150" spans="2:9" x14ac:dyDescent="0.25">
      <c r="B150" s="233"/>
      <c r="C150" s="227"/>
      <c r="D150" s="227"/>
      <c r="E150" s="186"/>
      <c r="F150" s="702"/>
      <c r="G150" s="702"/>
      <c r="H150" s="702"/>
      <c r="I150" s="702"/>
    </row>
    <row r="151" spans="2:9" ht="24" customHeight="1" x14ac:dyDescent="0.25">
      <c r="B151" s="179" t="s">
        <v>46</v>
      </c>
      <c r="C151" s="1441" t="str">
        <f>C24</f>
        <v>Casa</v>
      </c>
      <c r="D151" s="1442"/>
      <c r="E151" s="700"/>
      <c r="F151" s="703" t="s">
        <v>550</v>
      </c>
      <c r="G151" s="704" t="s">
        <v>551</v>
      </c>
      <c r="H151" s="613" t="s">
        <v>552</v>
      </c>
      <c r="I151" s="613" t="s">
        <v>53</v>
      </c>
    </row>
    <row r="152" spans="2:9" x14ac:dyDescent="0.25">
      <c r="E152" s="186"/>
      <c r="F152" s="614">
        <f>F62</f>
        <v>6.25E-2</v>
      </c>
      <c r="G152" s="615">
        <f>G62</f>
        <v>249134.75</v>
      </c>
      <c r="H152" s="616">
        <f>H62</f>
        <v>25</v>
      </c>
      <c r="I152" s="708">
        <f>I62</f>
        <v>1656.859097273222</v>
      </c>
    </row>
  </sheetData>
  <dataConsolidate/>
  <mergeCells count="154">
    <mergeCell ref="C72:D72"/>
    <mergeCell ref="E72:F72"/>
    <mergeCell ref="H72:I72"/>
    <mergeCell ref="B4:I4"/>
    <mergeCell ref="H8:I8"/>
    <mergeCell ref="H12:I12"/>
    <mergeCell ref="C8:D8"/>
    <mergeCell ref="B14:I14"/>
    <mergeCell ref="H10:I10"/>
    <mergeCell ref="B31:I31"/>
    <mergeCell ref="C18:D18"/>
    <mergeCell ref="C20:D20"/>
    <mergeCell ref="C22:D22"/>
    <mergeCell ref="C24:D24"/>
    <mergeCell ref="C26:E26"/>
    <mergeCell ref="C28:E28"/>
    <mergeCell ref="C10:D10"/>
    <mergeCell ref="H28:I28"/>
    <mergeCell ref="E20:F20"/>
    <mergeCell ref="H16:I16"/>
    <mergeCell ref="H22:I22"/>
    <mergeCell ref="E30:F30"/>
    <mergeCell ref="G30:H30"/>
    <mergeCell ref="C16:E16"/>
    <mergeCell ref="B90:I90"/>
    <mergeCell ref="C92:D92"/>
    <mergeCell ref="C100:D100"/>
    <mergeCell ref="H94:I94"/>
    <mergeCell ref="H49:I49"/>
    <mergeCell ref="F54:H54"/>
    <mergeCell ref="E85:F85"/>
    <mergeCell ref="H84:I84"/>
    <mergeCell ref="H85:I85"/>
    <mergeCell ref="C85:D85"/>
    <mergeCell ref="H81:I81"/>
    <mergeCell ref="H82:I82"/>
    <mergeCell ref="H83:I83"/>
    <mergeCell ref="H74:I74"/>
    <mergeCell ref="C94:D94"/>
    <mergeCell ref="C96:D96"/>
    <mergeCell ref="H92:I92"/>
    <mergeCell ref="C70:D70"/>
    <mergeCell ref="E70:F70"/>
    <mergeCell ref="E50:F50"/>
    <mergeCell ref="E51:F51"/>
    <mergeCell ref="C71:D71"/>
    <mergeCell ref="E71:F71"/>
    <mergeCell ref="H71:I71"/>
    <mergeCell ref="F33:G33"/>
    <mergeCell ref="C66:D66"/>
    <mergeCell ref="H51:H52"/>
    <mergeCell ref="F34:F35"/>
    <mergeCell ref="C69:D69"/>
    <mergeCell ref="E68:F68"/>
    <mergeCell ref="B64:I64"/>
    <mergeCell ref="F60:I60"/>
    <mergeCell ref="B47:B48"/>
    <mergeCell ref="B57:B58"/>
    <mergeCell ref="E66:F66"/>
    <mergeCell ref="H66:I66"/>
    <mergeCell ref="E69:F69"/>
    <mergeCell ref="H68:I68"/>
    <mergeCell ref="C67:D67"/>
    <mergeCell ref="E67:F67"/>
    <mergeCell ref="H67:I67"/>
    <mergeCell ref="C68:D68"/>
    <mergeCell ref="B141:I141"/>
    <mergeCell ref="E102:F102"/>
    <mergeCell ref="H69:I69"/>
    <mergeCell ref="C87:D87"/>
    <mergeCell ref="C88:D88"/>
    <mergeCell ref="C84:D84"/>
    <mergeCell ref="E84:F84"/>
    <mergeCell ref="C73:D73"/>
    <mergeCell ref="E73:F73"/>
    <mergeCell ref="H73:I73"/>
    <mergeCell ref="E75:F75"/>
    <mergeCell ref="H75:I75"/>
    <mergeCell ref="C75:D75"/>
    <mergeCell ref="H78:I78"/>
    <mergeCell ref="C76:D76"/>
    <mergeCell ref="E76:F76"/>
    <mergeCell ref="H70:I70"/>
    <mergeCell ref="E112:F112"/>
    <mergeCell ref="E115:F115"/>
    <mergeCell ref="E114:F114"/>
    <mergeCell ref="E113:F113"/>
    <mergeCell ref="B98:I98"/>
    <mergeCell ref="C117:D117"/>
    <mergeCell ref="C118:D118"/>
    <mergeCell ref="Q74:T74"/>
    <mergeCell ref="C82:D82"/>
    <mergeCell ref="E82:F82"/>
    <mergeCell ref="C83:D83"/>
    <mergeCell ref="E83:F83"/>
    <mergeCell ref="C80:D80"/>
    <mergeCell ref="E80:F80"/>
    <mergeCell ref="C81:D81"/>
    <mergeCell ref="E81:F81"/>
    <mergeCell ref="C74:D74"/>
    <mergeCell ref="H76:I76"/>
    <mergeCell ref="E74:F74"/>
    <mergeCell ref="C78:D78"/>
    <mergeCell ref="E78:F78"/>
    <mergeCell ref="C77:D77"/>
    <mergeCell ref="E77:F77"/>
    <mergeCell ref="H77:I77"/>
    <mergeCell ref="S83:T83"/>
    <mergeCell ref="S80:T80"/>
    <mergeCell ref="H80:I80"/>
    <mergeCell ref="C149:D149"/>
    <mergeCell ref="C151:D151"/>
    <mergeCell ref="E107:F107"/>
    <mergeCell ref="E119:F119"/>
    <mergeCell ref="B125:I125"/>
    <mergeCell ref="B137:I137"/>
    <mergeCell ref="C135:D135"/>
    <mergeCell ref="G123:H123"/>
    <mergeCell ref="G124:H124"/>
    <mergeCell ref="E118:F118"/>
    <mergeCell ref="E117:F117"/>
    <mergeCell ref="E116:F116"/>
    <mergeCell ref="C143:D143"/>
    <mergeCell ref="C145:D145"/>
    <mergeCell ref="C147:D147"/>
    <mergeCell ref="E109:F109"/>
    <mergeCell ref="E110:F110"/>
    <mergeCell ref="C119:D119"/>
    <mergeCell ref="C113:D113"/>
    <mergeCell ref="C114:D114"/>
    <mergeCell ref="C115:D115"/>
    <mergeCell ref="C107:D107"/>
    <mergeCell ref="C108:D108"/>
    <mergeCell ref="D120:G120"/>
    <mergeCell ref="D121:G121"/>
    <mergeCell ref="C116:D116"/>
    <mergeCell ref="E108:F108"/>
    <mergeCell ref="E106:F106"/>
    <mergeCell ref="C105:D105"/>
    <mergeCell ref="E111:F111"/>
    <mergeCell ref="E105:F105"/>
    <mergeCell ref="E100:F100"/>
    <mergeCell ref="C101:D101"/>
    <mergeCell ref="C102:D102"/>
    <mergeCell ref="C103:D103"/>
    <mergeCell ref="C104:D104"/>
    <mergeCell ref="C109:D109"/>
    <mergeCell ref="C110:D110"/>
    <mergeCell ref="C111:D111"/>
    <mergeCell ref="C112:D112"/>
    <mergeCell ref="C106:D106"/>
    <mergeCell ref="E103:F103"/>
    <mergeCell ref="E104:F104"/>
    <mergeCell ref="E101:F101"/>
  </mergeCells>
  <conditionalFormatting sqref="G147">
    <cfRule type="expression" dxfId="52" priority="106">
      <formula>IF(R$1=2,"VERDADERO","FALSO")</formula>
    </cfRule>
  </conditionalFormatting>
  <conditionalFormatting sqref="B35">
    <cfRule type="expression" dxfId="51" priority="96">
      <formula>IF(OR($R$1=2,$R$1=4),TRUE,FALSE)</formula>
    </cfRule>
  </conditionalFormatting>
  <conditionalFormatting sqref="C35 C42">
    <cfRule type="expression" dxfId="50" priority="56">
      <formula>AND(ROW()=CELL("fila"),COLUMN()=CELL("columna"))</formula>
    </cfRule>
    <cfRule type="expression" dxfId="49" priority="95">
      <formula>IF(OR($R$1=2,$R$1=4),TRUE,FALSE)</formula>
    </cfRule>
  </conditionalFormatting>
  <conditionalFormatting sqref="B41">
    <cfRule type="expression" dxfId="48" priority="94">
      <formula>IF(OR($R$1=2,$R$1=4),TRUE,FALSE)</formula>
    </cfRule>
  </conditionalFormatting>
  <conditionalFormatting sqref="C41">
    <cfRule type="expression" dxfId="47" priority="93">
      <formula>IF(OR($R$1=2,$R$1=4),TRUE,FALSE)</formula>
    </cfRule>
  </conditionalFormatting>
  <conditionalFormatting sqref="B40 B42">
    <cfRule type="expression" dxfId="46" priority="92">
      <formula>IF(OR($R$1=2,$R$1=4),TRUE,FALSE)</formula>
    </cfRule>
  </conditionalFormatting>
  <conditionalFormatting sqref="C40">
    <cfRule type="expression" dxfId="45" priority="55">
      <formula>AND(ROW()=CELL("fila"),COLUMN()=CELL("columna"))</formula>
    </cfRule>
    <cfRule type="expression" dxfId="44" priority="91">
      <formula>IF(OR($R$1=2,$R$1=4),TRUE,FALSE)</formula>
    </cfRule>
  </conditionalFormatting>
  <conditionalFormatting sqref="B44">
    <cfRule type="expression" dxfId="43" priority="86">
      <formula>IF($R$1=2,TRUE,FALSE)</formula>
    </cfRule>
  </conditionalFormatting>
  <conditionalFormatting sqref="C44">
    <cfRule type="expression" dxfId="42" priority="85">
      <formula>IF($R$1=2,TRUE,FALSE)</formula>
    </cfRule>
  </conditionalFormatting>
  <conditionalFormatting sqref="D42">
    <cfRule type="expression" dxfId="41" priority="84">
      <formula>IF(OR($R$1=2,$R$1=4),TRUE,FALSE)</formula>
    </cfRule>
  </conditionalFormatting>
  <conditionalFormatting sqref="B43">
    <cfRule type="expression" dxfId="40" priority="83">
      <formula>IF(R$1=2,"VERDADERO","FALSO")</formula>
    </cfRule>
  </conditionalFormatting>
  <conditionalFormatting sqref="C43">
    <cfRule type="expression" dxfId="39" priority="82">
      <formula>IF(R$1=2,"VERDADERO","FALSO")</formula>
    </cfRule>
  </conditionalFormatting>
  <conditionalFormatting sqref="D43">
    <cfRule type="expression" dxfId="38" priority="23">
      <formula>IF(R1=2,TRUE,FALSE)</formula>
    </cfRule>
    <cfRule type="cellIs" dxfId="37" priority="81" operator="greaterThan">
      <formula>0.84</formula>
    </cfRule>
  </conditionalFormatting>
  <conditionalFormatting sqref="H147">
    <cfRule type="expression" dxfId="36" priority="73">
      <formula>IF(R1=2,TRUE,FALSE)</formula>
    </cfRule>
  </conditionalFormatting>
  <conditionalFormatting sqref="I44 C33 C50:C51 C53 C55 G37:G39 G42 C8:D8 H8:I8 C10:D10 H10:I10 H12:I12 C18:D18 C20:D20 C22:D22 C24:D24 C26:E26 C28:E28 G26 G28">
    <cfRule type="expression" dxfId="35" priority="71">
      <formula>AND(ROW()=CELL("fila"),COLUMN()=CELL("columna"))</formula>
    </cfRule>
  </conditionalFormatting>
  <conditionalFormatting sqref="C48 C58 G35">
    <cfRule type="expression" dxfId="34" priority="52">
      <formula>AND(ROW()=CELL("fila"),COLUMN()=CELL("columna"))</formula>
    </cfRule>
  </conditionalFormatting>
  <conditionalFormatting sqref="D35">
    <cfRule type="expression" dxfId="33" priority="41">
      <formula>IF($R$1=2,IF(OR(R$30=1,R$30=2,R$30=3),TRUE,FALSE))</formula>
    </cfRule>
    <cfRule type="expression" dxfId="32" priority="42">
      <formula>IF(R$1=4,"VERDADERO","FALSO")</formula>
    </cfRule>
  </conditionalFormatting>
  <conditionalFormatting sqref="F28">
    <cfRule type="expression" dxfId="31" priority="38">
      <formula>IF(AND($R$7=4,$R$14=1),TRUE,FALSE)</formula>
    </cfRule>
  </conditionalFormatting>
  <conditionalFormatting sqref="G28">
    <cfRule type="expression" dxfId="30" priority="37">
      <formula>IF(AND($R$7=4,$R$14=1),TRUE,FALSE)</formula>
    </cfRule>
  </conditionalFormatting>
  <conditionalFormatting sqref="B30">
    <cfRule type="expression" dxfId="29" priority="31">
      <formula>IF(R9=1,TRUE,FALSE)</formula>
    </cfRule>
  </conditionalFormatting>
  <conditionalFormatting sqref="C30">
    <cfRule type="expression" dxfId="28" priority="15">
      <formula>IF(R$7=4,TRUE,FALSE)</formula>
    </cfRule>
    <cfRule type="expression" dxfId="27" priority="30">
      <formula>IF(R9=1,TRUE,FALSE)</formula>
    </cfRule>
  </conditionalFormatting>
  <conditionalFormatting sqref="D37">
    <cfRule type="expression" dxfId="26" priority="39">
      <formula>"si(r1&lt;&gt;2,verdadero,falso)"</formula>
    </cfRule>
    <cfRule type="expression" dxfId="25" priority="40">
      <formula>IF($R$1=2,IF(OR(R$30=1,R$30=2,R$30=3),TRUE,FALSE))</formula>
    </cfRule>
  </conditionalFormatting>
  <conditionalFormatting sqref="E30:F30">
    <cfRule type="expression" dxfId="24" priority="29">
      <formula>IF(R9=1,TRUE,FALSE)</formula>
    </cfRule>
  </conditionalFormatting>
  <conditionalFormatting sqref="G30 H30">
    <cfRule type="expression" dxfId="23" priority="28">
      <formula>IF($R$9=1,TRUE,FALSE)</formula>
    </cfRule>
  </conditionalFormatting>
  <conditionalFormatting sqref="B37">
    <cfRule type="expression" dxfId="22" priority="22">
      <formula>IF(R$1=4,TRUE,IF(R$1=2,IF(OR(R$30=1,R$30=2,R$30=3),TRUE,FALSE)))</formula>
    </cfRule>
  </conditionalFormatting>
  <conditionalFormatting sqref="C37">
    <cfRule type="expression" dxfId="21" priority="17">
      <formula>IF(R$1=4,TRUE,IF(R$1=2,IF(OR(R$30=1,R$30=2,R$30=3),TRUE,FALSE)))</formula>
    </cfRule>
  </conditionalFormatting>
  <conditionalFormatting sqref="C38">
    <cfRule type="expression" dxfId="20" priority="16">
      <formula>IF(AND(R$1=2,R$30=3),TRUE,FALSE)</formula>
    </cfRule>
  </conditionalFormatting>
  <conditionalFormatting sqref="G30:H30">
    <cfRule type="expression" priority="14">
      <formula>IF(R$7=4,TRUE,FALSE)</formula>
    </cfRule>
  </conditionalFormatting>
  <conditionalFormatting sqref="F24">
    <cfRule type="expression" dxfId="19" priority="13">
      <formula>IF(OR(R$1=1,R$1=3),IF(R$5=2,TRUE,FALSE))</formula>
    </cfRule>
  </conditionalFormatting>
  <conditionalFormatting sqref="G24">
    <cfRule type="expression" dxfId="18" priority="12">
      <formula>IF(OR(R$1=1,R$1=3),IF(R$5=2,TRUE,FALSE))</formula>
    </cfRule>
  </conditionalFormatting>
  <conditionalFormatting sqref="B45">
    <cfRule type="expression" dxfId="17" priority="10">
      <formula>IF(OR(R$1=1,R$1=3),IF(R$5=2,TRUE,FALSE))</formula>
    </cfRule>
  </conditionalFormatting>
  <conditionalFormatting sqref="C45">
    <cfRule type="expression" dxfId="16" priority="9">
      <formula>IF(OR(R$1=1,R$1=3),IF(R$5=2,TRUE,FALSE))</formula>
    </cfRule>
  </conditionalFormatting>
  <conditionalFormatting sqref="B39">
    <cfRule type="expression" dxfId="15" priority="8">
      <formula>IF(R$1=4,TRUE,FALSE)</formula>
    </cfRule>
  </conditionalFormatting>
  <conditionalFormatting sqref="C39">
    <cfRule type="expression" dxfId="14" priority="7">
      <formula>IF(R1=4,TRUE,FALSE)</formula>
    </cfRule>
  </conditionalFormatting>
  <conditionalFormatting sqref="D39">
    <cfRule type="expression" dxfId="13" priority="5">
      <formula>IF($R$1=4,TRUE,FALSE)</formula>
    </cfRule>
    <cfRule type="cellIs" dxfId="12" priority="6" operator="greaterThan">
      <formula>0.9</formula>
    </cfRule>
  </conditionalFormatting>
  <conditionalFormatting sqref="B38">
    <cfRule type="expression" dxfId="11" priority="4">
      <formula>IF(AND(R$1=2,R$30=3),TRUE,FALSE)</formula>
    </cfRule>
  </conditionalFormatting>
  <conditionalFormatting sqref="D47">
    <cfRule type="expression" dxfId="10" priority="2">
      <formula>IF(AND($R$2=2,$R$12=1),"FALSO","VERDADERO")</formula>
    </cfRule>
  </conditionalFormatting>
  <conditionalFormatting sqref="F55">
    <cfRule type="expression" dxfId="9" priority="1">
      <formula>IF(AND($R$2=2,$R$12=1),"FALSO","VERDADERO")</formula>
    </cfRule>
  </conditionalFormatting>
  <dataValidations count="36">
    <dataValidation type="list" allowBlank="1" showInputMessage="1" showErrorMessage="1" sqref="C20:D20">
      <formula1>IF(R1=1,lista_compras,IF(R1=2,lista_ccash,IF(R1=3,lista_vaca,IF(R1=8,lista_const,lista_ext))))</formula1>
    </dataValidation>
    <dataValidation type="list" allowBlank="1" showInputMessage="1" showErrorMessage="1" sqref="C22:D22">
      <formula1>IF(OR(R1=2,R1=4,R1=5,R1=6,R1=7,R1=9,R1=10,R1=11),usada,IF(R1=8,compra_ley,demas))</formula1>
    </dataValidation>
    <dataValidation type="list" allowBlank="1" showInputMessage="1" showErrorMessage="1" sqref="G30">
      <formula1>IF($R$33=1,interior,IF(R33=2,panama,"  "))</formula1>
    </dataValidation>
    <dataValidation type="list" allowBlank="1" showInputMessage="1" showErrorMessage="1" sqref="I44">
      <formula1>EmplBG_gtosGratis</formula1>
    </dataValidation>
    <dataValidation allowBlank="1" showInputMessage="1" showErrorMessage="1" prompt="mm/dd/aaaa_x000a_" sqref="I129"/>
    <dataValidation type="list" allowBlank="1" showInputMessage="1" showErrorMessage="1" sqref="H94:I94">
      <formula1>fideicomiso</formula1>
    </dataValidation>
    <dataValidation type="list" allowBlank="1" showInputMessage="1" showErrorMessage="1" sqref="C94">
      <formula1>forma_pago</formula1>
    </dataValidation>
    <dataValidation type="list" allowBlank="1" showInputMessage="1" showErrorMessage="1" sqref="C92:D92">
      <formula1>uso_propiedad</formula1>
    </dataValidation>
    <dataValidation type="list" allowBlank="1" showInputMessage="1" showErrorMessage="1" sqref="G104:G119">
      <formula1>cancela</formula1>
    </dataValidation>
    <dataValidation type="list" allowBlank="1" showInputMessage="1" showErrorMessage="1" sqref="C119 C104:C107 C108:D118">
      <formula1>relación</formula1>
    </dataValidation>
    <dataValidation type="decimal" allowBlank="1" showInputMessage="1" showErrorMessage="1" error="Ingresar valores numéricos_x000a_" sqref="I101:I119 H104:H119">
      <formula1>0</formula1>
      <formula2>9999999999.99</formula2>
    </dataValidation>
    <dataValidation type="decimal" allowBlank="1" showInputMessage="1" showErrorMessage="1" error="Ingresar valores numéricos" sqref="C80:H85 I80:I82 I84:I85">
      <formula1>0</formula1>
      <formula2>9999999999.99</formula2>
    </dataValidation>
    <dataValidation allowBlank="1" showInputMessage="1" showErrorMessage="1" prompt="mm/dd/aaaa" sqref="C74:I74"/>
    <dataValidation type="list" allowBlank="1" showInputMessage="1" showErrorMessage="1" sqref="C68:I68">
      <formula1>participante</formula1>
    </dataValidation>
    <dataValidation type="list" allowBlank="1" showInputMessage="1" showErrorMessage="1" sqref="C77:I77">
      <formula1>Mercado_</formula1>
    </dataValidation>
    <dataValidation type="list" allowBlank="1" showInputMessage="1" showErrorMessage="1" sqref="C96:D96">
      <formula1>Renovación</formula1>
    </dataValidation>
    <dataValidation type="list" allowBlank="1" showInputMessage="1" showErrorMessage="1" sqref="B102:B119">
      <formula1>dueño_deuda</formula1>
    </dataValidation>
    <dataValidation type="list" allowBlank="1" showInputMessage="1" showErrorMessage="1" sqref="C53">
      <formula1>feci</formula1>
    </dataValidation>
    <dataValidation type="decimal" allowBlank="1" showInputMessage="1" showErrorMessage="1" error="Favor introducir valores numéricos_x000a_" sqref="G42">
      <formula1>0</formula1>
      <formula2>99999999.99</formula2>
    </dataValidation>
    <dataValidation type="decimal" allowBlank="1" showInputMessage="1" showErrorMessage="1" error="Favor introducir solo valores numéricos_x000a_" sqref="G37:G39">
      <formula1>0</formula1>
      <formula2>99999999.99</formula2>
    </dataValidation>
    <dataValidation type="decimal" allowBlank="1" showInputMessage="1" showErrorMessage="1" error="Favor introducir valores numéricos" sqref="C33">
      <formula1>0</formula1>
      <formula2>9999999999.99</formula2>
    </dataValidation>
    <dataValidation type="decimal" allowBlank="1" showInputMessage="1" showErrorMessage="1" sqref="C35 H103 C42">
      <formula1>0</formula1>
      <formula2>9999999999.99</formula2>
    </dataValidation>
    <dataValidation type="list" allowBlank="1" showInputMessage="1" showErrorMessage="1" sqref="C13">
      <formula1>tipo_cliente</formula1>
    </dataValidation>
    <dataValidation type="list" allowBlank="1" showInputMessage="1" showErrorMessage="1" sqref="H10">
      <formula1>canal</formula1>
    </dataValidation>
    <dataValidation type="list" allowBlank="1" showInputMessage="1" showErrorMessage="1" sqref="H12:I12">
      <formula1>Oficina</formula1>
    </dataValidation>
    <dataValidation type="date" allowBlank="1" showInputMessage="1" showErrorMessage="1" prompt="mm/dd/aaaa" sqref="G26">
      <formula1>41640</formula1>
      <formula2>44196</formula2>
    </dataValidation>
    <dataValidation type="list" allowBlank="1" showInputMessage="1" showErrorMessage="1" sqref="G28">
      <formula1>hace_escritura</formula1>
    </dataValidation>
    <dataValidation type="list" allowBlank="1" showInputMessage="1" showErrorMessage="1" sqref="C24:D24">
      <formula1>tipo_garantía</formula1>
    </dataValidation>
    <dataValidation type="list" allowBlank="1" showInputMessage="1" showErrorMessage="1" sqref="D8:D9 C8">
      <formula1>programa</formula1>
    </dataValidation>
    <dataValidation type="list" allowBlank="1" showInputMessage="1" showErrorMessage="1" sqref="C10">
      <formula1>politica</formula1>
    </dataValidation>
    <dataValidation type="list" allowBlank="1" showInputMessage="1" showErrorMessage="1" sqref="C30">
      <formula1>ubi_promotor</formula1>
    </dataValidation>
    <dataValidation type="list" allowBlank="1" showInputMessage="1" showErrorMessage="1" sqref="C50">
      <formula1>vida</formula1>
    </dataValidation>
    <dataValidation type="list" allowBlank="1" showInputMessage="1" showErrorMessage="1" sqref="C51">
      <formula1>Pol_incendio</formula1>
    </dataValidation>
    <dataValidation type="list" allowBlank="1" showInputMessage="1" showErrorMessage="1" sqref="G46">
      <formula1>bene_jubi</formula1>
    </dataValidation>
    <dataValidation type="list" allowBlank="1" showInputMessage="1" showErrorMessage="1" sqref="G71 C71 E71 D71 F71 I71 H71">
      <formula1>segmento</formula1>
    </dataValidation>
    <dataValidation type="list" allowBlank="1" showInputMessage="1" showErrorMessage="1" sqref="C72:D72 E72:F72 G72 H72:I72">
      <formula1>relacion</formula1>
    </dataValidation>
  </dataValidations>
  <pageMargins left="3.937007874015748E-2" right="3.937007874015748E-2" top="3.937007874015748E-2" bottom="0.74803149606299213" header="0.31496062992125984" footer="0.31496062992125984"/>
  <pageSetup scale="54" orientation="portrait" r:id="rId1"/>
  <ignoredErrors>
    <ignoredError sqref="D102 F102"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155" r:id="rId4" name="Check Box 131">
              <controlPr locked="0" defaultSize="0" autoFill="0" autoLine="0" autoPict="0">
                <anchor moveWithCells="1">
                  <from>
                    <xdr:col>2</xdr:col>
                    <xdr:colOff>1152525</xdr:colOff>
                    <xdr:row>78</xdr:row>
                    <xdr:rowOff>0</xdr:rowOff>
                  </from>
                  <to>
                    <xdr:col>3</xdr:col>
                    <xdr:colOff>133350</xdr:colOff>
                    <xdr:row>79</xdr:row>
                    <xdr:rowOff>28575</xdr:rowOff>
                  </to>
                </anchor>
              </controlPr>
            </control>
          </mc:Choice>
        </mc:AlternateContent>
        <mc:AlternateContent xmlns:mc="http://schemas.openxmlformats.org/markup-compatibility/2006">
          <mc:Choice Requires="x14">
            <control shapeId="1156" r:id="rId5" name="Check Box 132">
              <controlPr locked="0" defaultSize="0" autoFill="0" autoLine="0" autoPict="0">
                <anchor moveWithCells="1">
                  <from>
                    <xdr:col>5</xdr:col>
                    <xdr:colOff>323850</xdr:colOff>
                    <xdr:row>78</xdr:row>
                    <xdr:rowOff>0</xdr:rowOff>
                  </from>
                  <to>
                    <xdr:col>5</xdr:col>
                    <xdr:colOff>628650</xdr:colOff>
                    <xdr:row>79</xdr:row>
                    <xdr:rowOff>28575</xdr:rowOff>
                  </to>
                </anchor>
              </controlPr>
            </control>
          </mc:Choice>
        </mc:AlternateContent>
        <mc:AlternateContent xmlns:mc="http://schemas.openxmlformats.org/markup-compatibility/2006">
          <mc:Choice Requires="x14">
            <control shapeId="1157" r:id="rId6" name="Check Box 133">
              <controlPr locked="0" defaultSize="0" autoFill="0" autoLine="0" autoPict="0">
                <anchor moveWithCells="1">
                  <from>
                    <xdr:col>6</xdr:col>
                    <xdr:colOff>704850</xdr:colOff>
                    <xdr:row>78</xdr:row>
                    <xdr:rowOff>0</xdr:rowOff>
                  </from>
                  <to>
                    <xdr:col>6</xdr:col>
                    <xdr:colOff>1009650</xdr:colOff>
                    <xdr:row>79</xdr:row>
                    <xdr:rowOff>28575</xdr:rowOff>
                  </to>
                </anchor>
              </controlPr>
            </control>
          </mc:Choice>
        </mc:AlternateContent>
        <mc:AlternateContent xmlns:mc="http://schemas.openxmlformats.org/markup-compatibility/2006">
          <mc:Choice Requires="x14">
            <control shapeId="1158" r:id="rId7" name="Check Box 134">
              <controlPr locked="0" defaultSize="0" autoFill="0" autoLine="0" autoPict="0">
                <anchor moveWithCells="1">
                  <from>
                    <xdr:col>7</xdr:col>
                    <xdr:colOff>933450</xdr:colOff>
                    <xdr:row>78</xdr:row>
                    <xdr:rowOff>0</xdr:rowOff>
                  </from>
                  <to>
                    <xdr:col>7</xdr:col>
                    <xdr:colOff>1247775</xdr:colOff>
                    <xdr:row>79</xdr:row>
                    <xdr:rowOff>28575</xdr:rowOff>
                  </to>
                </anchor>
              </controlPr>
            </control>
          </mc:Choice>
        </mc:AlternateContent>
        <mc:AlternateContent xmlns:mc="http://schemas.openxmlformats.org/markup-compatibility/2006">
          <mc:Choice Requires="x14">
            <control shapeId="1202" r:id="rId8" name="Check Box 178">
              <controlPr locked="0" defaultSize="0" autoFill="0" autoLine="0" autoPict="0">
                <anchor moveWithCells="1">
                  <from>
                    <xdr:col>3</xdr:col>
                    <xdr:colOff>200025</xdr:colOff>
                    <xdr:row>48</xdr:row>
                    <xdr:rowOff>238125</xdr:rowOff>
                  </from>
                  <to>
                    <xdr:col>3</xdr:col>
                    <xdr:colOff>1314450</xdr:colOff>
                    <xdr:row>50</xdr:row>
                    <xdr:rowOff>0</xdr:rowOff>
                  </to>
                </anchor>
              </controlPr>
            </control>
          </mc:Choice>
        </mc:AlternateContent>
        <mc:AlternateContent xmlns:mc="http://schemas.openxmlformats.org/markup-compatibility/2006">
          <mc:Choice Requires="x14">
            <control shapeId="1205" r:id="rId9" name="Check Box 181">
              <controlPr locked="0" defaultSize="0" autoFill="0" autoLine="0" autoPict="0">
                <anchor moveWithCells="1">
                  <from>
                    <xdr:col>3</xdr:col>
                    <xdr:colOff>228600</xdr:colOff>
                    <xdr:row>50</xdr:row>
                    <xdr:rowOff>38100</xdr:rowOff>
                  </from>
                  <to>
                    <xdr:col>3</xdr:col>
                    <xdr:colOff>1314450</xdr:colOff>
                    <xdr:row>51</xdr:row>
                    <xdr:rowOff>9525</xdr:rowOff>
                  </to>
                </anchor>
              </controlPr>
            </control>
          </mc:Choice>
        </mc:AlternateContent>
        <mc:AlternateContent xmlns:mc="http://schemas.openxmlformats.org/markup-compatibility/2006">
          <mc:Choice Requires="x14">
            <control shapeId="1206" r:id="rId10" name="Check Box 182">
              <controlPr locked="0" defaultSize="0" autoFill="0" autoLine="0" autoPict="0">
                <anchor moveWithCells="1">
                  <from>
                    <xdr:col>2</xdr:col>
                    <xdr:colOff>1152525</xdr:colOff>
                    <xdr:row>74</xdr:row>
                    <xdr:rowOff>9525</xdr:rowOff>
                  </from>
                  <to>
                    <xdr:col>3</xdr:col>
                    <xdr:colOff>133350</xdr:colOff>
                    <xdr:row>75</xdr:row>
                    <xdr:rowOff>38100</xdr:rowOff>
                  </to>
                </anchor>
              </controlPr>
            </control>
          </mc:Choice>
        </mc:AlternateContent>
        <mc:AlternateContent xmlns:mc="http://schemas.openxmlformats.org/markup-compatibility/2006">
          <mc:Choice Requires="x14">
            <control shapeId="1207" r:id="rId11" name="Check Box 183">
              <controlPr locked="0" defaultSize="0" autoFill="0" autoLine="0" autoPict="0">
                <anchor moveWithCells="1">
                  <from>
                    <xdr:col>5</xdr:col>
                    <xdr:colOff>323850</xdr:colOff>
                    <xdr:row>74</xdr:row>
                    <xdr:rowOff>0</xdr:rowOff>
                  </from>
                  <to>
                    <xdr:col>5</xdr:col>
                    <xdr:colOff>628650</xdr:colOff>
                    <xdr:row>75</xdr:row>
                    <xdr:rowOff>28575</xdr:rowOff>
                  </to>
                </anchor>
              </controlPr>
            </control>
          </mc:Choice>
        </mc:AlternateContent>
        <mc:AlternateContent xmlns:mc="http://schemas.openxmlformats.org/markup-compatibility/2006">
          <mc:Choice Requires="x14">
            <control shapeId="1208" r:id="rId12" name="Check Box 184">
              <controlPr locked="0" defaultSize="0" autoFill="0" autoLine="0" autoPict="0">
                <anchor moveWithCells="1">
                  <from>
                    <xdr:col>6</xdr:col>
                    <xdr:colOff>704850</xdr:colOff>
                    <xdr:row>74</xdr:row>
                    <xdr:rowOff>0</xdr:rowOff>
                  </from>
                  <to>
                    <xdr:col>6</xdr:col>
                    <xdr:colOff>1009650</xdr:colOff>
                    <xdr:row>75</xdr:row>
                    <xdr:rowOff>28575</xdr:rowOff>
                  </to>
                </anchor>
              </controlPr>
            </control>
          </mc:Choice>
        </mc:AlternateContent>
        <mc:AlternateContent xmlns:mc="http://schemas.openxmlformats.org/markup-compatibility/2006">
          <mc:Choice Requires="x14">
            <control shapeId="1209" r:id="rId13" name="Check Box 185">
              <controlPr locked="0" defaultSize="0" autoFill="0" autoLine="0" autoPict="0">
                <anchor moveWithCells="1">
                  <from>
                    <xdr:col>7</xdr:col>
                    <xdr:colOff>933450</xdr:colOff>
                    <xdr:row>74</xdr:row>
                    <xdr:rowOff>0</xdr:rowOff>
                  </from>
                  <to>
                    <xdr:col>7</xdr:col>
                    <xdr:colOff>1247775</xdr:colOff>
                    <xdr:row>75</xdr:row>
                    <xdr:rowOff>28575</xdr:rowOff>
                  </to>
                </anchor>
              </controlPr>
            </control>
          </mc:Choice>
        </mc:AlternateContent>
      </controls>
    </mc:Choice>
  </mc:AlternateConten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A1:J55"/>
  <sheetViews>
    <sheetView showGridLines="0" workbookViewId="0">
      <selection activeCell="A7" sqref="A7:H7"/>
    </sheetView>
  </sheetViews>
  <sheetFormatPr baseColWidth="10" defaultRowHeight="15" x14ac:dyDescent="0.25"/>
  <cols>
    <col min="1" max="1" width="2" customWidth="1"/>
    <col min="2" max="2" width="3.42578125" customWidth="1"/>
    <col min="3" max="3" width="1.7109375" customWidth="1"/>
  </cols>
  <sheetData>
    <row r="1" spans="1:10" x14ac:dyDescent="0.25">
      <c r="A1" s="894"/>
      <c r="B1" s="893"/>
      <c r="C1" s="894"/>
      <c r="D1" s="894"/>
      <c r="E1" s="894"/>
      <c r="F1" s="894"/>
      <c r="G1" s="894"/>
      <c r="H1" s="894"/>
      <c r="I1" s="894"/>
      <c r="J1" s="894"/>
    </row>
    <row r="2" spans="1:10" x14ac:dyDescent="0.25">
      <c r="A2" s="894"/>
      <c r="B2" s="893"/>
      <c r="C2" s="894"/>
      <c r="D2" s="894"/>
      <c r="E2" s="894"/>
      <c r="F2" s="894"/>
      <c r="G2" s="894"/>
      <c r="H2" s="894"/>
      <c r="I2" s="894"/>
      <c r="J2" s="894"/>
    </row>
    <row r="3" spans="1:10" x14ac:dyDescent="0.25">
      <c r="A3" s="894"/>
      <c r="B3" s="893"/>
      <c r="C3" s="894"/>
      <c r="D3" s="894"/>
      <c r="E3" s="894"/>
      <c r="F3" s="894"/>
      <c r="G3" s="894"/>
      <c r="H3" s="894"/>
      <c r="I3" s="894"/>
      <c r="J3" s="894"/>
    </row>
    <row r="4" spans="1:10" ht="15.75" x14ac:dyDescent="0.25">
      <c r="A4" s="2142" t="s">
        <v>1045</v>
      </c>
      <c r="B4" s="2142"/>
      <c r="C4" s="2142"/>
      <c r="D4" s="2142"/>
      <c r="E4" s="2142"/>
      <c r="F4" s="2142"/>
      <c r="G4" s="2142"/>
      <c r="H4" s="2142"/>
      <c r="I4" s="2142"/>
      <c r="J4" s="2142"/>
    </row>
    <row r="5" spans="1:10" x14ac:dyDescent="0.25">
      <c r="A5" s="2143" t="s">
        <v>874</v>
      </c>
      <c r="B5" s="2143"/>
      <c r="C5" s="2143"/>
      <c r="D5" s="2143"/>
      <c r="E5" s="2143"/>
      <c r="F5" s="2143"/>
      <c r="G5" s="2143"/>
      <c r="H5" s="2143"/>
      <c r="I5" s="2143"/>
      <c r="J5" s="2143"/>
    </row>
    <row r="6" spans="1:10" x14ac:dyDescent="0.25">
      <c r="A6" s="895"/>
      <c r="B6" s="896"/>
      <c r="C6" s="895"/>
      <c r="D6" s="938"/>
      <c r="E6" s="938"/>
      <c r="F6" s="938"/>
      <c r="G6" s="938"/>
      <c r="H6" s="938"/>
      <c r="I6" s="938"/>
      <c r="J6" s="938"/>
    </row>
    <row r="7" spans="1:10" x14ac:dyDescent="0.25">
      <c r="A7" s="2144" t="s">
        <v>1046</v>
      </c>
      <c r="B7" s="2155"/>
      <c r="C7" s="2155"/>
      <c r="D7" s="2155"/>
      <c r="E7" s="2155"/>
      <c r="F7" s="2155"/>
      <c r="G7" s="2155"/>
      <c r="H7" s="2155"/>
      <c r="I7" s="939"/>
      <c r="J7" s="939"/>
    </row>
    <row r="8" spans="1:10" x14ac:dyDescent="0.25">
      <c r="A8" s="898"/>
      <c r="B8" s="899"/>
      <c r="C8" s="895"/>
      <c r="D8" s="2140" t="s">
        <v>1047</v>
      </c>
      <c r="E8" s="2140"/>
      <c r="F8" s="2140"/>
      <c r="G8" s="2140"/>
      <c r="H8" s="2140"/>
      <c r="I8" s="2140"/>
      <c r="J8" s="2140"/>
    </row>
    <row r="9" spans="1:10" x14ac:dyDescent="0.25">
      <c r="A9" s="925"/>
      <c r="B9" s="926"/>
      <c r="C9" s="925"/>
      <c r="D9" s="2140" t="s">
        <v>1048</v>
      </c>
      <c r="E9" s="2140"/>
      <c r="F9" s="2140"/>
      <c r="G9" s="2140"/>
      <c r="H9" s="2140"/>
      <c r="I9" s="2140"/>
      <c r="J9" s="2140"/>
    </row>
    <row r="10" spans="1:10" x14ac:dyDescent="0.25">
      <c r="A10" s="925"/>
      <c r="B10" s="926"/>
      <c r="C10" s="925"/>
      <c r="D10" s="2140" t="s">
        <v>1049</v>
      </c>
      <c r="E10" s="2140"/>
      <c r="F10" s="2140"/>
      <c r="G10" s="2140"/>
      <c r="H10" s="2140"/>
      <c r="I10" s="2140"/>
      <c r="J10" s="2140"/>
    </row>
    <row r="11" spans="1:10" x14ac:dyDescent="0.25">
      <c r="A11" s="925"/>
      <c r="B11" s="926"/>
      <c r="C11" s="925"/>
      <c r="D11" s="2140" t="s">
        <v>1050</v>
      </c>
      <c r="E11" s="2140"/>
      <c r="F11" s="2140"/>
      <c r="G11" s="2140"/>
      <c r="H11" s="2140"/>
      <c r="I11" s="2140"/>
      <c r="J11" s="2140"/>
    </row>
    <row r="12" spans="1:10" x14ac:dyDescent="0.25">
      <c r="A12" s="925"/>
      <c r="B12" s="926"/>
      <c r="C12" s="925"/>
      <c r="D12" s="2140" t="s">
        <v>1051</v>
      </c>
      <c r="E12" s="2140"/>
      <c r="F12" s="2140"/>
      <c r="G12" s="2140"/>
      <c r="H12" s="2140"/>
      <c r="I12" s="2140"/>
      <c r="J12" s="2140"/>
    </row>
    <row r="13" spans="1:10" x14ac:dyDescent="0.25">
      <c r="A13" s="925"/>
      <c r="B13" s="926"/>
      <c r="C13" s="925"/>
      <c r="D13" s="2140" t="s">
        <v>1052</v>
      </c>
      <c r="E13" s="2140"/>
      <c r="F13" s="2140"/>
      <c r="G13" s="2140"/>
      <c r="H13" s="2140"/>
      <c r="I13" s="2140"/>
      <c r="J13" s="2140"/>
    </row>
    <row r="14" spans="1:10" x14ac:dyDescent="0.25">
      <c r="A14" s="925"/>
      <c r="B14" s="926"/>
      <c r="C14" s="925"/>
      <c r="D14" s="2140"/>
      <c r="E14" s="2140"/>
      <c r="F14" s="2140"/>
      <c r="G14" s="2140"/>
      <c r="H14" s="2140"/>
      <c r="I14" s="2140"/>
      <c r="J14" s="2140"/>
    </row>
    <row r="15" spans="1:10" x14ac:dyDescent="0.25">
      <c r="A15" s="925"/>
      <c r="B15" s="926"/>
      <c r="C15" s="925"/>
      <c r="D15" s="2140" t="s">
        <v>1053</v>
      </c>
      <c r="E15" s="2140"/>
      <c r="F15" s="2140"/>
      <c r="G15" s="2140"/>
      <c r="H15" s="2140"/>
      <c r="I15" s="2140"/>
      <c r="J15" s="927"/>
    </row>
    <row r="16" spans="1:10" x14ac:dyDescent="0.25">
      <c r="A16" s="925"/>
      <c r="B16" s="926"/>
      <c r="C16" s="925"/>
      <c r="D16" s="2140" t="s">
        <v>1054</v>
      </c>
      <c r="E16" s="2140"/>
      <c r="F16" s="2140"/>
      <c r="G16" s="2140"/>
      <c r="H16" s="2140"/>
      <c r="I16" s="2140"/>
      <c r="J16" s="2140"/>
    </row>
    <row r="17" spans="1:10" x14ac:dyDescent="0.25">
      <c r="A17" s="928"/>
      <c r="B17" s="929"/>
      <c r="C17" s="928"/>
      <c r="D17" s="2140"/>
      <c r="E17" s="2140"/>
      <c r="F17" s="2140"/>
      <c r="G17" s="2140"/>
      <c r="H17" s="2140"/>
      <c r="I17" s="2140"/>
      <c r="J17" s="2140"/>
    </row>
    <row r="18" spans="1:10" x14ac:dyDescent="0.25">
      <c r="A18" s="928"/>
      <c r="B18" s="929"/>
      <c r="C18" s="928"/>
      <c r="D18" s="2156" t="s">
        <v>1055</v>
      </c>
      <c r="E18" s="2156"/>
      <c r="F18" s="2156"/>
      <c r="G18" s="2156"/>
      <c r="H18" s="2156"/>
      <c r="I18" s="2156"/>
      <c r="J18" s="2156"/>
    </row>
    <row r="19" spans="1:10" x14ac:dyDescent="0.25">
      <c r="A19" s="928"/>
      <c r="B19" s="929"/>
      <c r="C19" s="928"/>
      <c r="D19" s="2156"/>
      <c r="E19" s="2156"/>
      <c r="F19" s="2156"/>
      <c r="G19" s="2156"/>
      <c r="H19" s="2156"/>
      <c r="I19" s="2156"/>
      <c r="J19" s="2156"/>
    </row>
    <row r="20" spans="1:10" x14ac:dyDescent="0.25">
      <c r="A20" s="895"/>
      <c r="B20" s="896"/>
      <c r="C20" s="895"/>
      <c r="D20" s="2157" t="s">
        <v>1061</v>
      </c>
      <c r="E20" s="2157"/>
      <c r="F20" s="2157"/>
      <c r="G20" s="2157"/>
      <c r="H20" s="2157"/>
      <c r="I20" s="2157"/>
      <c r="J20" s="2157"/>
    </row>
    <row r="21" spans="1:10" x14ac:dyDescent="0.25">
      <c r="A21" s="895"/>
      <c r="B21" s="896"/>
      <c r="C21" s="895"/>
      <c r="D21" s="2157" t="s">
        <v>1067</v>
      </c>
      <c r="E21" s="2157"/>
      <c r="F21" s="2157"/>
      <c r="G21" s="2157"/>
      <c r="H21" s="2157"/>
      <c r="I21" s="2157"/>
      <c r="J21" s="2157"/>
    </row>
    <row r="22" spans="1:10" x14ac:dyDescent="0.25">
      <c r="A22" s="895"/>
      <c r="B22" s="896"/>
      <c r="C22" s="895"/>
      <c r="D22" s="2158"/>
      <c r="E22" s="2158"/>
      <c r="F22" s="2158"/>
      <c r="G22" s="2158"/>
      <c r="H22" s="2158"/>
      <c r="I22" s="2158"/>
      <c r="J22" s="943"/>
    </row>
    <row r="23" spans="1:10" x14ac:dyDescent="0.25">
      <c r="A23" s="895"/>
      <c r="B23" s="896"/>
      <c r="C23" s="895"/>
      <c r="D23" s="930"/>
      <c r="E23" s="930"/>
      <c r="F23" s="930"/>
      <c r="G23" s="930"/>
      <c r="H23" s="930"/>
      <c r="I23" s="930"/>
      <c r="J23" s="908"/>
    </row>
    <row r="24" spans="1:10" x14ac:dyDescent="0.25">
      <c r="A24" s="2139" t="s">
        <v>1056</v>
      </c>
      <c r="B24" s="2139"/>
      <c r="C24" s="2139"/>
      <c r="D24" s="2139"/>
      <c r="E24" s="2139"/>
      <c r="F24" s="2139"/>
      <c r="G24" s="2139"/>
      <c r="H24" s="2139"/>
      <c r="I24" s="924"/>
      <c r="J24" s="924"/>
    </row>
    <row r="25" spans="1:10" x14ac:dyDescent="0.25">
      <c r="A25" s="910"/>
      <c r="B25" s="911"/>
      <c r="C25" s="910"/>
      <c r="D25" s="910"/>
      <c r="E25" s="910"/>
      <c r="F25" s="910"/>
      <c r="G25" s="910"/>
      <c r="H25" s="910"/>
      <c r="I25" s="924"/>
      <c r="J25" s="924"/>
    </row>
    <row r="26" spans="1:10" x14ac:dyDescent="0.25">
      <c r="A26" s="924"/>
      <c r="B26" s="931"/>
      <c r="C26" s="924"/>
      <c r="D26" s="2150" t="s">
        <v>1078</v>
      </c>
      <c r="E26" s="2150"/>
      <c r="F26" s="2150"/>
      <c r="G26" s="2150"/>
      <c r="H26" s="2150"/>
      <c r="I26" s="2150"/>
      <c r="J26" s="2150"/>
    </row>
    <row r="27" spans="1:10" x14ac:dyDescent="0.25">
      <c r="A27" s="924"/>
      <c r="B27" s="931"/>
      <c r="C27" s="924"/>
      <c r="D27" s="2140" t="s">
        <v>1079</v>
      </c>
      <c r="E27" s="2140"/>
      <c r="F27" s="2140"/>
      <c r="G27" s="2140"/>
      <c r="H27" s="2140"/>
      <c r="I27" s="2140"/>
      <c r="J27" s="2140"/>
    </row>
    <row r="28" spans="1:10" x14ac:dyDescent="0.25">
      <c r="A28" s="924"/>
      <c r="B28" s="931"/>
      <c r="C28" s="924"/>
      <c r="D28" s="2140"/>
      <c r="E28" s="2140"/>
      <c r="F28" s="2140"/>
      <c r="G28" s="2140"/>
      <c r="H28" s="2140"/>
      <c r="I28" s="2140"/>
      <c r="J28" s="2140"/>
    </row>
    <row r="29" spans="1:10" x14ac:dyDescent="0.25">
      <c r="A29" s="924"/>
      <c r="B29" s="931"/>
      <c r="C29" s="924"/>
      <c r="D29" s="2140" t="s">
        <v>1080</v>
      </c>
      <c r="E29" s="2140"/>
      <c r="F29" s="2140"/>
      <c r="G29" s="2140"/>
      <c r="H29" s="2140"/>
      <c r="I29" s="2140"/>
      <c r="J29" s="2140"/>
    </row>
    <row r="30" spans="1:10" x14ac:dyDescent="0.25">
      <c r="A30" s="924"/>
      <c r="B30" s="931"/>
      <c r="C30" s="924"/>
      <c r="D30" s="2140"/>
      <c r="E30" s="2140"/>
      <c r="F30" s="2140"/>
      <c r="G30" s="2140"/>
      <c r="H30" s="2140"/>
      <c r="I30" s="2140"/>
      <c r="J30" s="2140"/>
    </row>
    <row r="31" spans="1:10" x14ac:dyDescent="0.25">
      <c r="A31" s="924"/>
      <c r="B31" s="931"/>
      <c r="C31" s="924"/>
      <c r="D31" s="941" t="s">
        <v>1069</v>
      </c>
      <c r="E31" s="913"/>
      <c r="F31" s="913"/>
      <c r="G31" s="914"/>
      <c r="H31" s="914"/>
      <c r="I31" s="914"/>
      <c r="J31" s="914"/>
    </row>
    <row r="32" spans="1:10" x14ac:dyDescent="0.25">
      <c r="A32" s="924"/>
      <c r="B32" s="931"/>
      <c r="C32" s="924"/>
      <c r="D32" s="2152" t="s">
        <v>1070</v>
      </c>
      <c r="E32" s="2152"/>
      <c r="F32" s="2152"/>
      <c r="G32" s="2152"/>
      <c r="H32" s="2152"/>
      <c r="I32" s="2152"/>
      <c r="J32" s="914"/>
    </row>
    <row r="33" spans="1:10" x14ac:dyDescent="0.25">
      <c r="A33" s="925"/>
      <c r="B33" s="926"/>
      <c r="C33" s="925"/>
      <c r="D33" s="2140" t="s">
        <v>1050</v>
      </c>
      <c r="E33" s="2140"/>
      <c r="F33" s="2140"/>
      <c r="G33" s="2140"/>
      <c r="H33" s="2140"/>
      <c r="I33" s="2140"/>
      <c r="J33" s="2140"/>
    </row>
    <row r="34" spans="1:10" x14ac:dyDescent="0.25">
      <c r="A34" s="925"/>
      <c r="B34" s="926"/>
      <c r="C34" s="925"/>
      <c r="D34" s="2140" t="s">
        <v>1051</v>
      </c>
      <c r="E34" s="2140"/>
      <c r="F34" s="2140"/>
      <c r="G34" s="2140"/>
      <c r="H34" s="2140"/>
      <c r="I34" s="2140"/>
      <c r="J34" s="2140"/>
    </row>
    <row r="35" spans="1:10" x14ac:dyDescent="0.25">
      <c r="A35" s="924"/>
      <c r="B35" s="931"/>
      <c r="C35" s="924"/>
      <c r="D35" s="877" t="s">
        <v>1081</v>
      </c>
      <c r="E35" s="913"/>
      <c r="F35" s="913"/>
      <c r="G35" s="914"/>
      <c r="H35" s="914"/>
      <c r="I35" s="914"/>
      <c r="J35" s="914"/>
    </row>
    <row r="36" spans="1:10" x14ac:dyDescent="0.25">
      <c r="A36" s="924"/>
      <c r="B36" s="931"/>
      <c r="C36" s="924"/>
      <c r="D36" s="877" t="s">
        <v>1082</v>
      </c>
      <c r="E36" s="913"/>
      <c r="F36" s="913"/>
      <c r="G36" s="914"/>
      <c r="H36" s="914"/>
      <c r="I36" s="914"/>
      <c r="J36" s="914"/>
    </row>
    <row r="37" spans="1:10" x14ac:dyDescent="0.25">
      <c r="A37" s="924"/>
      <c r="B37" s="931"/>
      <c r="C37" s="924"/>
      <c r="D37" s="877" t="s">
        <v>1083</v>
      </c>
      <c r="E37" s="913"/>
      <c r="F37" s="913"/>
      <c r="G37" s="914"/>
      <c r="H37" s="914"/>
      <c r="I37" s="914"/>
      <c r="J37" s="914"/>
    </row>
    <row r="38" spans="1:10" x14ac:dyDescent="0.25">
      <c r="A38" s="924"/>
      <c r="B38" s="931"/>
      <c r="C38" s="924"/>
      <c r="D38" s="2140" t="s">
        <v>1084</v>
      </c>
      <c r="E38" s="2140"/>
      <c r="F38" s="2140"/>
      <c r="G38" s="2140"/>
      <c r="H38" s="2140"/>
      <c r="I38" s="2140"/>
      <c r="J38" s="2140"/>
    </row>
    <row r="39" spans="1:10" x14ac:dyDescent="0.25">
      <c r="A39" s="924"/>
      <c r="B39" s="931"/>
      <c r="C39" s="924"/>
      <c r="D39" s="2140"/>
      <c r="E39" s="2140"/>
      <c r="F39" s="2140"/>
      <c r="G39" s="2140"/>
      <c r="H39" s="2140"/>
      <c r="I39" s="2140"/>
      <c r="J39" s="2140"/>
    </row>
    <row r="40" spans="1:10" x14ac:dyDescent="0.25">
      <c r="A40" s="924"/>
      <c r="B40" s="931"/>
      <c r="C40" s="924"/>
      <c r="D40" s="941" t="s">
        <v>1085</v>
      </c>
      <c r="E40" s="941"/>
      <c r="F40" s="941"/>
      <c r="G40" s="941"/>
      <c r="H40" s="941"/>
      <c r="I40" s="914"/>
      <c r="J40" s="914"/>
    </row>
    <row r="41" spans="1:10" x14ac:dyDescent="0.25">
      <c r="A41" s="917"/>
      <c r="B41" s="918"/>
      <c r="C41" s="924"/>
      <c r="D41" s="2140" t="s">
        <v>2206</v>
      </c>
      <c r="E41" s="2140"/>
      <c r="F41" s="2140"/>
      <c r="G41" s="2140"/>
      <c r="H41" s="2140"/>
      <c r="I41" s="2140"/>
      <c r="J41" s="2140"/>
    </row>
    <row r="42" spans="1:10" x14ac:dyDescent="0.25">
      <c r="A42" s="917"/>
      <c r="B42" s="918"/>
      <c r="C42" s="924"/>
      <c r="D42" s="919" t="s">
        <v>1064</v>
      </c>
      <c r="E42" s="924"/>
      <c r="F42" s="924"/>
      <c r="G42" s="924"/>
      <c r="H42" s="924"/>
      <c r="I42" s="924"/>
      <c r="J42" s="924"/>
    </row>
    <row r="43" spans="1:10" x14ac:dyDescent="0.25">
      <c r="A43" s="917"/>
      <c r="B43" s="918"/>
      <c r="C43" s="924"/>
      <c r="D43" s="919" t="s">
        <v>2207</v>
      </c>
      <c r="E43" s="924"/>
      <c r="F43" s="924"/>
      <c r="G43" s="924"/>
      <c r="H43" s="924"/>
      <c r="I43" s="924"/>
      <c r="J43" s="924"/>
    </row>
    <row r="44" spans="1:10" x14ac:dyDescent="0.25">
      <c r="A44" s="917"/>
      <c r="B44" s="918"/>
      <c r="C44" s="924"/>
      <c r="D44" s="919" t="s">
        <v>1087</v>
      </c>
      <c r="E44" s="924"/>
      <c r="F44" s="924"/>
      <c r="G44" s="924"/>
      <c r="H44" s="924"/>
      <c r="I44" s="924"/>
      <c r="J44" s="924"/>
    </row>
    <row r="45" spans="1:10" x14ac:dyDescent="0.25">
      <c r="A45" s="917"/>
      <c r="B45" s="918"/>
      <c r="C45" s="924"/>
      <c r="D45" s="932" t="s">
        <v>1088</v>
      </c>
      <c r="E45" s="924"/>
      <c r="F45" s="924"/>
      <c r="G45" s="924"/>
      <c r="H45" s="924"/>
      <c r="I45" s="924"/>
      <c r="J45" s="924"/>
    </row>
    <row r="46" spans="1:10" x14ac:dyDescent="0.25">
      <c r="A46" s="917"/>
      <c r="B46" s="918"/>
      <c r="C46" s="924"/>
      <c r="D46" s="1255" t="s">
        <v>2205</v>
      </c>
      <c r="E46" s="924"/>
      <c r="F46" s="924"/>
      <c r="G46" s="924"/>
      <c r="H46" s="924"/>
      <c r="I46" s="924"/>
      <c r="J46" s="924"/>
    </row>
    <row r="47" spans="1:10" x14ac:dyDescent="0.25">
      <c r="A47" s="917"/>
      <c r="B47" s="918"/>
      <c r="C47" s="924"/>
      <c r="D47" s="2140" t="s">
        <v>2199</v>
      </c>
      <c r="E47" s="2140"/>
      <c r="F47" s="2140"/>
      <c r="G47" s="2140"/>
      <c r="H47" s="2140"/>
      <c r="I47" s="2140"/>
      <c r="J47" s="2140"/>
    </row>
    <row r="48" spans="1:10" x14ac:dyDescent="0.25">
      <c r="A48" s="917"/>
      <c r="B48" s="918"/>
      <c r="C48" s="924"/>
      <c r="D48" s="2140" t="s">
        <v>2200</v>
      </c>
      <c r="E48" s="2140"/>
      <c r="F48" s="2140"/>
      <c r="G48" s="2140"/>
      <c r="H48" s="2140"/>
      <c r="I48" s="2140"/>
      <c r="J48" s="2140"/>
    </row>
    <row r="49" spans="1:10" x14ac:dyDescent="0.25">
      <c r="A49" s="917"/>
      <c r="B49" s="918"/>
      <c r="C49" s="924"/>
      <c r="D49" s="2140" t="s">
        <v>2201</v>
      </c>
      <c r="E49" s="2140"/>
      <c r="F49" s="2140"/>
      <c r="G49" s="2140"/>
      <c r="H49" s="2140"/>
      <c r="I49" s="2140"/>
      <c r="J49" s="2140"/>
    </row>
    <row r="50" spans="1:10" x14ac:dyDescent="0.25">
      <c r="A50" s="917"/>
      <c r="B50" s="918"/>
      <c r="C50" s="924"/>
      <c r="D50" s="2140" t="s">
        <v>2202</v>
      </c>
      <c r="E50" s="2140"/>
      <c r="F50" s="2140"/>
      <c r="G50" s="2140"/>
      <c r="H50" s="2140"/>
      <c r="I50" s="2140"/>
      <c r="J50" s="2140"/>
    </row>
    <row r="51" spans="1:10" x14ac:dyDescent="0.25">
      <c r="A51" s="917"/>
      <c r="B51" s="918"/>
      <c r="C51" s="924"/>
      <c r="D51" s="1254"/>
      <c r="E51" s="1254"/>
      <c r="F51" s="1254"/>
      <c r="G51" s="1254"/>
      <c r="H51" s="1254"/>
      <c r="I51" s="1254"/>
      <c r="J51" s="1254"/>
    </row>
    <row r="52" spans="1:10" x14ac:dyDescent="0.25">
      <c r="A52" s="917"/>
      <c r="B52" s="918"/>
      <c r="C52" s="924"/>
      <c r="D52" s="1254"/>
      <c r="E52" s="1254"/>
      <c r="F52" s="1254"/>
      <c r="G52" s="1254"/>
      <c r="H52" s="1254"/>
      <c r="I52" s="1254"/>
      <c r="J52" s="1254"/>
    </row>
    <row r="53" spans="1:10" x14ac:dyDescent="0.25">
      <c r="A53" s="920" t="s">
        <v>1057</v>
      </c>
      <c r="B53" s="918"/>
      <c r="C53" s="919"/>
      <c r="D53" s="919"/>
      <c r="E53" s="921" t="str">
        <f>'1.Hoja_de_Cotización'!H8</f>
        <v xml:space="preserve">Yahaira De La Cruz </v>
      </c>
      <c r="F53" s="933"/>
      <c r="G53" s="924"/>
      <c r="H53" s="924"/>
      <c r="I53" s="924"/>
      <c r="J53" s="924"/>
    </row>
    <row r="54" spans="1:10" x14ac:dyDescent="0.25">
      <c r="A54" s="922" t="s">
        <v>462</v>
      </c>
      <c r="B54" s="934"/>
      <c r="C54" s="933"/>
      <c r="D54" s="933"/>
      <c r="E54" s="935" t="str">
        <f>'1.Hoja_de_Cotización'!H12</f>
        <v>CAPITAL HUMANO</v>
      </c>
      <c r="F54" s="933"/>
      <c r="G54" s="924"/>
      <c r="H54" s="924"/>
      <c r="I54" s="924"/>
      <c r="J54" s="924"/>
    </row>
    <row r="55" spans="1:10" x14ac:dyDescent="0.25">
      <c r="A55" s="922" t="s">
        <v>1058</v>
      </c>
      <c r="B55" s="931"/>
      <c r="C55" s="924"/>
      <c r="D55" s="924"/>
      <c r="E55" s="936"/>
      <c r="F55" s="924"/>
      <c r="G55" s="924"/>
      <c r="H55" s="2137" t="s">
        <v>1059</v>
      </c>
      <c r="I55" s="2137"/>
      <c r="J55" s="2137"/>
    </row>
  </sheetData>
  <mergeCells count="29">
    <mergeCell ref="D10:J10"/>
    <mergeCell ref="A4:J4"/>
    <mergeCell ref="A5:J5"/>
    <mergeCell ref="A7:H7"/>
    <mergeCell ref="D8:J8"/>
    <mergeCell ref="D9:J9"/>
    <mergeCell ref="D27:J28"/>
    <mergeCell ref="D11:J11"/>
    <mergeCell ref="D12:J12"/>
    <mergeCell ref="D13:J14"/>
    <mergeCell ref="D15:I15"/>
    <mergeCell ref="D16:J17"/>
    <mergeCell ref="D18:J19"/>
    <mergeCell ref="D20:J20"/>
    <mergeCell ref="D21:J21"/>
    <mergeCell ref="D22:I22"/>
    <mergeCell ref="A24:H24"/>
    <mergeCell ref="D26:J26"/>
    <mergeCell ref="H55:J55"/>
    <mergeCell ref="D29:J30"/>
    <mergeCell ref="D32:I32"/>
    <mergeCell ref="D33:J33"/>
    <mergeCell ref="D34:J34"/>
    <mergeCell ref="D38:J39"/>
    <mergeCell ref="D41:J41"/>
    <mergeCell ref="D47:J47"/>
    <mergeCell ref="D48:J48"/>
    <mergeCell ref="D49:J49"/>
    <mergeCell ref="D50:J50"/>
  </mergeCell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dimension ref="A1:J52"/>
  <sheetViews>
    <sheetView showGridLines="0" workbookViewId="0">
      <selection activeCell="A7" sqref="A7:H7"/>
    </sheetView>
  </sheetViews>
  <sheetFormatPr baseColWidth="10" defaultRowHeight="15" x14ac:dyDescent="0.25"/>
  <cols>
    <col min="1" max="2" width="2" customWidth="1"/>
    <col min="3" max="3" width="2.28515625" customWidth="1"/>
  </cols>
  <sheetData>
    <row r="1" spans="1:10" x14ac:dyDescent="0.25">
      <c r="A1" s="894"/>
      <c r="B1" s="893"/>
      <c r="C1" s="894"/>
      <c r="D1" s="894"/>
      <c r="E1" s="894"/>
      <c r="F1" s="894"/>
      <c r="G1" s="894"/>
      <c r="H1" s="894"/>
      <c r="I1" s="894"/>
      <c r="J1" s="894"/>
    </row>
    <row r="2" spans="1:10" x14ac:dyDescent="0.25">
      <c r="A2" s="894"/>
      <c r="B2" s="893"/>
      <c r="C2" s="894"/>
      <c r="D2" s="894"/>
      <c r="E2" s="894"/>
      <c r="F2" s="894"/>
      <c r="G2" s="894"/>
      <c r="H2" s="894"/>
      <c r="I2" s="894"/>
      <c r="J2" s="894"/>
    </row>
    <row r="3" spans="1:10" x14ac:dyDescent="0.25">
      <c r="A3" s="892"/>
      <c r="B3" s="893"/>
      <c r="C3" s="892"/>
      <c r="D3" s="892"/>
      <c r="E3" s="892"/>
      <c r="F3" s="892"/>
      <c r="G3" s="892"/>
      <c r="H3" s="892"/>
      <c r="I3" s="892"/>
      <c r="J3" s="892"/>
    </row>
    <row r="4" spans="1:10" ht="15.75" x14ac:dyDescent="0.25">
      <c r="A4" s="2142" t="s">
        <v>1045</v>
      </c>
      <c r="B4" s="2142"/>
      <c r="C4" s="2142"/>
      <c r="D4" s="2142"/>
      <c r="E4" s="2142"/>
      <c r="F4" s="2142"/>
      <c r="G4" s="2142"/>
      <c r="H4" s="2142"/>
      <c r="I4" s="2142"/>
      <c r="J4" s="2142"/>
    </row>
    <row r="5" spans="1:10" x14ac:dyDescent="0.25">
      <c r="A5" s="2159" t="s">
        <v>1089</v>
      </c>
      <c r="B5" s="2159"/>
      <c r="C5" s="2159"/>
      <c r="D5" s="2159"/>
      <c r="E5" s="2159"/>
      <c r="F5" s="2159"/>
      <c r="G5" s="2159"/>
      <c r="H5" s="2159"/>
      <c r="I5" s="2159"/>
      <c r="J5" s="2159"/>
    </row>
    <row r="6" spans="1:10" x14ac:dyDescent="0.25">
      <c r="A6" s="895"/>
      <c r="B6" s="896"/>
      <c r="C6" s="895"/>
      <c r="D6" s="897"/>
      <c r="E6" s="897"/>
      <c r="F6" s="897"/>
      <c r="G6" s="897"/>
      <c r="H6" s="897"/>
      <c r="I6" s="897"/>
      <c r="J6" s="897"/>
    </row>
    <row r="7" spans="1:10" x14ac:dyDescent="0.25">
      <c r="A7" s="2144" t="s">
        <v>1046</v>
      </c>
      <c r="B7" s="2151"/>
      <c r="C7" s="2151"/>
      <c r="D7" s="2151"/>
      <c r="E7" s="2151"/>
      <c r="F7" s="2151"/>
      <c r="G7" s="2151"/>
      <c r="H7" s="2151"/>
      <c r="I7" s="924"/>
      <c r="J7" s="924"/>
    </row>
    <row r="8" spans="1:10" x14ac:dyDescent="0.25">
      <c r="A8" s="898"/>
      <c r="B8" s="899"/>
      <c r="C8" s="895"/>
      <c r="D8" s="2140" t="s">
        <v>1047</v>
      </c>
      <c r="E8" s="2140"/>
      <c r="F8" s="2140"/>
      <c r="G8" s="2140"/>
      <c r="H8" s="2140"/>
      <c r="I8" s="2140"/>
      <c r="J8" s="2140"/>
    </row>
    <row r="9" spans="1:10" x14ac:dyDescent="0.25">
      <c r="A9" s="925"/>
      <c r="B9" s="926"/>
      <c r="C9" s="925"/>
      <c r="D9" s="2140" t="s">
        <v>1048</v>
      </c>
      <c r="E9" s="2140"/>
      <c r="F9" s="2140"/>
      <c r="G9" s="2140"/>
      <c r="H9" s="2140"/>
      <c r="I9" s="2140"/>
      <c r="J9" s="2140"/>
    </row>
    <row r="10" spans="1:10" x14ac:dyDescent="0.25">
      <c r="A10" s="925"/>
      <c r="B10" s="926"/>
      <c r="C10" s="925"/>
      <c r="D10" s="2140" t="s">
        <v>1049</v>
      </c>
      <c r="E10" s="2140"/>
      <c r="F10" s="2140"/>
      <c r="G10" s="2140"/>
      <c r="H10" s="2140"/>
      <c r="I10" s="2140"/>
      <c r="J10" s="2140"/>
    </row>
    <row r="11" spans="1:10" x14ac:dyDescent="0.25">
      <c r="A11" s="925"/>
      <c r="B11" s="926"/>
      <c r="C11" s="925"/>
      <c r="D11" s="2140" t="s">
        <v>1050</v>
      </c>
      <c r="E11" s="2140"/>
      <c r="F11" s="2140"/>
      <c r="G11" s="2140"/>
      <c r="H11" s="2140"/>
      <c r="I11" s="2140"/>
      <c r="J11" s="2140"/>
    </row>
    <row r="12" spans="1:10" x14ac:dyDescent="0.25">
      <c r="A12" s="925"/>
      <c r="B12" s="926"/>
      <c r="C12" s="925"/>
      <c r="D12" s="2140" t="s">
        <v>1051</v>
      </c>
      <c r="E12" s="2140"/>
      <c r="F12" s="2140"/>
      <c r="G12" s="2140"/>
      <c r="H12" s="2140"/>
      <c r="I12" s="2140"/>
      <c r="J12" s="2140"/>
    </row>
    <row r="13" spans="1:10" x14ac:dyDescent="0.25">
      <c r="A13" s="925"/>
      <c r="B13" s="926"/>
      <c r="C13" s="925"/>
      <c r="D13" s="2140" t="s">
        <v>1052</v>
      </c>
      <c r="E13" s="2140"/>
      <c r="F13" s="2140"/>
      <c r="G13" s="2140"/>
      <c r="H13" s="2140"/>
      <c r="I13" s="2140"/>
      <c r="J13" s="2140"/>
    </row>
    <row r="14" spans="1:10" x14ac:dyDescent="0.25">
      <c r="A14" s="925"/>
      <c r="B14" s="926"/>
      <c r="C14" s="925"/>
      <c r="D14" s="2140"/>
      <c r="E14" s="2140"/>
      <c r="F14" s="2140"/>
      <c r="G14" s="2140"/>
      <c r="H14" s="2140"/>
      <c r="I14" s="2140"/>
      <c r="J14" s="2140"/>
    </row>
    <row r="15" spans="1:10" x14ac:dyDescent="0.25">
      <c r="A15" s="925"/>
      <c r="B15" s="926"/>
      <c r="C15" s="925"/>
      <c r="D15" s="2140" t="s">
        <v>1053</v>
      </c>
      <c r="E15" s="2140"/>
      <c r="F15" s="2140"/>
      <c r="G15" s="2140"/>
      <c r="H15" s="2140"/>
      <c r="I15" s="2140"/>
      <c r="J15" s="927"/>
    </row>
    <row r="16" spans="1:10" x14ac:dyDescent="0.25">
      <c r="A16" s="925"/>
      <c r="B16" s="926"/>
      <c r="C16" s="925"/>
      <c r="D16" s="2140" t="s">
        <v>1054</v>
      </c>
      <c r="E16" s="2140"/>
      <c r="F16" s="2140"/>
      <c r="G16" s="2140"/>
      <c r="H16" s="2140"/>
      <c r="I16" s="2140"/>
      <c r="J16" s="2140"/>
    </row>
    <row r="17" spans="1:10" x14ac:dyDescent="0.25">
      <c r="A17" s="928"/>
      <c r="B17" s="929"/>
      <c r="C17" s="928"/>
      <c r="D17" s="2140"/>
      <c r="E17" s="2140"/>
      <c r="F17" s="2140"/>
      <c r="G17" s="2140"/>
      <c r="H17" s="2140"/>
      <c r="I17" s="2140"/>
      <c r="J17" s="2140"/>
    </row>
    <row r="18" spans="1:10" x14ac:dyDescent="0.25">
      <c r="A18" s="928"/>
      <c r="B18" s="929"/>
      <c r="C18" s="928"/>
      <c r="D18" s="2156" t="s">
        <v>1090</v>
      </c>
      <c r="E18" s="2156"/>
      <c r="F18" s="2156"/>
      <c r="G18" s="2156"/>
      <c r="H18" s="2156"/>
      <c r="I18" s="2156"/>
      <c r="J18" s="2156"/>
    </row>
    <row r="19" spans="1:10" x14ac:dyDescent="0.25">
      <c r="A19" s="928"/>
      <c r="B19" s="929"/>
      <c r="C19" s="928"/>
      <c r="D19" s="2156"/>
      <c r="E19" s="2156"/>
      <c r="F19" s="2156"/>
      <c r="G19" s="2156"/>
      <c r="H19" s="2156"/>
      <c r="I19" s="2156"/>
      <c r="J19" s="2156"/>
    </row>
    <row r="20" spans="1:10" x14ac:dyDescent="0.25">
      <c r="A20" s="895"/>
      <c r="B20" s="896"/>
      <c r="C20" s="895"/>
      <c r="D20" s="2153" t="s">
        <v>1061</v>
      </c>
      <c r="E20" s="2153"/>
      <c r="F20" s="2153"/>
      <c r="G20" s="2153"/>
      <c r="H20" s="2153"/>
      <c r="I20" s="2153"/>
      <c r="J20" s="2153"/>
    </row>
    <row r="21" spans="1:10" x14ac:dyDescent="0.25">
      <c r="A21" s="895"/>
      <c r="B21" s="896"/>
      <c r="C21" s="895"/>
      <c r="D21" s="2157" t="s">
        <v>1067</v>
      </c>
      <c r="E21" s="2157"/>
      <c r="F21" s="2157"/>
      <c r="G21" s="2157"/>
      <c r="H21" s="2157"/>
      <c r="I21" s="2157"/>
      <c r="J21" s="2157"/>
    </row>
    <row r="22" spans="1:10" x14ac:dyDescent="0.25">
      <c r="A22" s="895"/>
      <c r="B22" s="896"/>
      <c r="C22" s="895"/>
      <c r="D22" s="2158"/>
      <c r="E22" s="2158"/>
      <c r="F22" s="2158"/>
      <c r="G22" s="2158"/>
      <c r="H22" s="2158"/>
      <c r="I22" s="2158"/>
      <c r="J22" s="944"/>
    </row>
    <row r="23" spans="1:10" x14ac:dyDescent="0.25">
      <c r="A23" s="895"/>
      <c r="B23" s="896"/>
      <c r="C23" s="895"/>
      <c r="D23" s="930"/>
      <c r="E23" s="930"/>
      <c r="F23" s="930"/>
      <c r="G23" s="930"/>
      <c r="H23" s="930"/>
      <c r="I23" s="930"/>
      <c r="J23" s="908"/>
    </row>
    <row r="24" spans="1:10" x14ac:dyDescent="0.25">
      <c r="A24" s="2139" t="s">
        <v>1056</v>
      </c>
      <c r="B24" s="2139"/>
      <c r="C24" s="2139"/>
      <c r="D24" s="2139"/>
      <c r="E24" s="2139"/>
      <c r="F24" s="2139"/>
      <c r="G24" s="2139"/>
      <c r="H24" s="2139"/>
      <c r="I24" s="924"/>
      <c r="J24" s="924"/>
    </row>
    <row r="25" spans="1:10" x14ac:dyDescent="0.25">
      <c r="A25" s="924"/>
      <c r="B25" s="931"/>
      <c r="C25" s="924"/>
      <c r="D25" s="2150" t="s">
        <v>1068</v>
      </c>
      <c r="E25" s="2150"/>
      <c r="F25" s="2150"/>
      <c r="G25" s="2150"/>
      <c r="H25" s="2150"/>
      <c r="I25" s="2150"/>
      <c r="J25" s="2150"/>
    </row>
    <row r="26" spans="1:10" x14ac:dyDescent="0.25">
      <c r="A26" s="2147" t="s">
        <v>1091</v>
      </c>
      <c r="B26" s="2147"/>
      <c r="C26" s="2147"/>
      <c r="D26" s="2147"/>
      <c r="E26" s="2147"/>
      <c r="F26" s="2147"/>
      <c r="G26" s="2147"/>
      <c r="H26" s="942"/>
      <c r="I26" s="942"/>
      <c r="J26" s="942"/>
    </row>
    <row r="27" spans="1:10" x14ac:dyDescent="0.25">
      <c r="A27" s="924"/>
      <c r="B27" s="931"/>
      <c r="C27" s="924"/>
      <c r="D27" s="877" t="s">
        <v>1092</v>
      </c>
      <c r="E27" s="942"/>
      <c r="F27" s="942"/>
      <c r="G27" s="942"/>
      <c r="H27" s="942"/>
      <c r="I27" s="942"/>
      <c r="J27" s="942"/>
    </row>
    <row r="28" spans="1:10" x14ac:dyDescent="0.25">
      <c r="A28" s="924"/>
      <c r="B28" s="931"/>
      <c r="C28" s="924"/>
      <c r="D28" s="2152" t="s">
        <v>1069</v>
      </c>
      <c r="E28" s="2152"/>
      <c r="F28" s="2152"/>
      <c r="G28" s="942"/>
      <c r="H28" s="942"/>
      <c r="I28" s="942"/>
      <c r="J28" s="942"/>
    </row>
    <row r="29" spans="1:10" x14ac:dyDescent="0.25">
      <c r="A29" s="925"/>
      <c r="B29" s="926"/>
      <c r="C29" s="925"/>
      <c r="D29" s="2140" t="s">
        <v>1050</v>
      </c>
      <c r="E29" s="2140"/>
      <c r="F29" s="2140"/>
      <c r="G29" s="2140"/>
      <c r="H29" s="2140"/>
      <c r="I29" s="2140"/>
      <c r="J29" s="2140"/>
    </row>
    <row r="30" spans="1:10" x14ac:dyDescent="0.25">
      <c r="A30" s="925"/>
      <c r="B30" s="926"/>
      <c r="C30" s="925"/>
      <c r="D30" s="2140" t="s">
        <v>1051</v>
      </c>
      <c r="E30" s="2140"/>
      <c r="F30" s="2140"/>
      <c r="G30" s="2140"/>
      <c r="H30" s="2140"/>
      <c r="I30" s="2140"/>
      <c r="J30" s="2140"/>
    </row>
    <row r="31" spans="1:10" x14ac:dyDescent="0.25">
      <c r="A31" s="924"/>
      <c r="B31" s="931"/>
      <c r="C31" s="924"/>
      <c r="D31" s="877" t="s">
        <v>1071</v>
      </c>
      <c r="E31" s="913"/>
      <c r="F31" s="913"/>
      <c r="G31" s="914"/>
      <c r="H31" s="914"/>
      <c r="I31" s="914"/>
      <c r="J31" s="914"/>
    </row>
    <row r="32" spans="1:10" x14ac:dyDescent="0.25">
      <c r="A32" s="924"/>
      <c r="B32" s="931"/>
      <c r="C32" s="924"/>
      <c r="D32" s="877" t="s">
        <v>1072</v>
      </c>
      <c r="E32" s="913"/>
      <c r="F32" s="913"/>
      <c r="G32" s="914"/>
      <c r="H32" s="914"/>
      <c r="I32" s="914"/>
      <c r="J32" s="914"/>
    </row>
    <row r="33" spans="1:10" x14ac:dyDescent="0.25">
      <c r="A33" s="924"/>
      <c r="B33" s="931"/>
      <c r="C33" s="924"/>
      <c r="D33" s="877" t="s">
        <v>1073</v>
      </c>
      <c r="E33" s="913"/>
      <c r="F33" s="913"/>
      <c r="G33" s="914"/>
      <c r="H33" s="914"/>
      <c r="I33" s="914"/>
      <c r="J33" s="914"/>
    </row>
    <row r="34" spans="1:10" x14ac:dyDescent="0.25">
      <c r="A34" s="924"/>
      <c r="B34" s="931"/>
      <c r="C34" s="924"/>
      <c r="D34" s="877" t="s">
        <v>1074</v>
      </c>
      <c r="E34" s="913"/>
      <c r="F34" s="913"/>
      <c r="G34" s="914"/>
      <c r="H34" s="914"/>
      <c r="I34" s="914"/>
      <c r="J34" s="914"/>
    </row>
    <row r="35" spans="1:10" x14ac:dyDescent="0.25">
      <c r="A35" s="924"/>
      <c r="B35" s="931"/>
      <c r="C35" s="924"/>
      <c r="D35" s="941" t="s">
        <v>1075</v>
      </c>
      <c r="E35" s="941"/>
      <c r="F35" s="941"/>
      <c r="G35" s="941"/>
      <c r="H35" s="941"/>
      <c r="I35" s="914"/>
      <c r="J35" s="914"/>
    </row>
    <row r="36" spans="1:10" x14ac:dyDescent="0.25">
      <c r="A36" s="924"/>
      <c r="B36" s="918"/>
      <c r="C36" s="924"/>
      <c r="D36" s="1255" t="s">
        <v>2205</v>
      </c>
      <c r="E36" s="924"/>
      <c r="F36" s="924"/>
      <c r="G36" s="924"/>
      <c r="H36" s="924"/>
      <c r="I36" s="924"/>
      <c r="J36" s="924"/>
    </row>
    <row r="37" spans="1:10" x14ac:dyDescent="0.25">
      <c r="A37" s="924"/>
      <c r="B37" s="918"/>
      <c r="C37" s="924"/>
      <c r="D37" s="2140" t="s">
        <v>2199</v>
      </c>
      <c r="E37" s="2140"/>
      <c r="F37" s="2140"/>
      <c r="G37" s="2140"/>
      <c r="H37" s="2140"/>
      <c r="I37" s="2140"/>
      <c r="J37" s="2140"/>
    </row>
    <row r="38" spans="1:10" x14ac:dyDescent="0.25">
      <c r="A38" s="924"/>
      <c r="B38" s="918"/>
      <c r="C38" s="924"/>
      <c r="D38" s="2140" t="s">
        <v>2200</v>
      </c>
      <c r="E38" s="2140"/>
      <c r="F38" s="2140"/>
      <c r="G38" s="2140"/>
      <c r="H38" s="2140"/>
      <c r="I38" s="2140"/>
      <c r="J38" s="2140"/>
    </row>
    <row r="39" spans="1:10" x14ac:dyDescent="0.25">
      <c r="A39" s="924"/>
      <c r="B39" s="918"/>
      <c r="C39" s="924"/>
      <c r="D39" s="2140" t="s">
        <v>2201</v>
      </c>
      <c r="E39" s="2140"/>
      <c r="F39" s="2140"/>
      <c r="G39" s="2140"/>
      <c r="H39" s="2140"/>
      <c r="I39" s="2140"/>
      <c r="J39" s="2140"/>
    </row>
    <row r="40" spans="1:10" x14ac:dyDescent="0.25">
      <c r="A40" s="924"/>
      <c r="B40" s="918"/>
      <c r="C40" s="924"/>
      <c r="D40" s="2140" t="s">
        <v>2202</v>
      </c>
      <c r="E40" s="2140"/>
      <c r="F40" s="2140"/>
      <c r="G40" s="2140"/>
      <c r="H40" s="2140"/>
      <c r="I40" s="2140"/>
      <c r="J40" s="2140"/>
    </row>
    <row r="41" spans="1:10" x14ac:dyDescent="0.25">
      <c r="A41" s="924"/>
      <c r="B41" s="931"/>
      <c r="C41" s="924"/>
      <c r="D41" s="912"/>
      <c r="E41" s="913"/>
      <c r="F41" s="913"/>
      <c r="G41" s="914"/>
      <c r="H41" s="914"/>
      <c r="I41" s="914"/>
      <c r="J41" s="914"/>
    </row>
    <row r="42" spans="1:10" x14ac:dyDescent="0.25">
      <c r="A42" s="2147" t="s">
        <v>1063</v>
      </c>
      <c r="B42" s="2147"/>
      <c r="C42" s="2147"/>
      <c r="D42" s="2147"/>
      <c r="E42" s="2147"/>
      <c r="F42" s="2147"/>
      <c r="G42" s="924"/>
      <c r="H42" s="924"/>
      <c r="I42" s="924"/>
      <c r="J42" s="924"/>
    </row>
    <row r="43" spans="1:10" x14ac:dyDescent="0.25">
      <c r="A43" s="917"/>
      <c r="B43" s="918"/>
      <c r="C43" s="924"/>
      <c r="D43" s="2140" t="s">
        <v>2210</v>
      </c>
      <c r="E43" s="2140"/>
      <c r="F43" s="2140"/>
      <c r="G43" s="2140"/>
      <c r="H43" s="2140"/>
      <c r="I43" s="2140"/>
      <c r="J43" s="2140"/>
    </row>
    <row r="44" spans="1:10" x14ac:dyDescent="0.25">
      <c r="A44" s="917"/>
      <c r="B44" s="918"/>
      <c r="C44" s="924"/>
      <c r="D44" s="919" t="s">
        <v>1064</v>
      </c>
      <c r="E44" s="924"/>
      <c r="F44" s="924"/>
      <c r="G44" s="924"/>
      <c r="H44" s="924"/>
      <c r="I44" s="924"/>
      <c r="J44" s="924"/>
    </row>
    <row r="45" spans="1:10" x14ac:dyDescent="0.25">
      <c r="A45" s="917"/>
      <c r="B45" s="918"/>
      <c r="C45" s="924"/>
      <c r="D45" s="919" t="s">
        <v>2211</v>
      </c>
      <c r="E45" s="924"/>
      <c r="F45" s="924"/>
      <c r="G45" s="924"/>
      <c r="H45" s="924"/>
      <c r="I45" s="924"/>
      <c r="J45" s="924"/>
    </row>
    <row r="46" spans="1:10" x14ac:dyDescent="0.25">
      <c r="A46" s="917"/>
      <c r="B46" s="918"/>
      <c r="C46" s="924"/>
      <c r="D46" s="919" t="s">
        <v>1087</v>
      </c>
      <c r="E46" s="924"/>
      <c r="F46" s="924"/>
      <c r="G46" s="924"/>
      <c r="H46" s="924"/>
      <c r="I46" s="924"/>
      <c r="J46" s="924"/>
    </row>
    <row r="47" spans="1:10" x14ac:dyDescent="0.25">
      <c r="A47" s="917"/>
      <c r="B47" s="918"/>
      <c r="C47" s="924"/>
      <c r="D47" s="932" t="s">
        <v>1088</v>
      </c>
      <c r="E47" s="924"/>
      <c r="F47" s="924"/>
      <c r="G47" s="924"/>
      <c r="H47" s="924"/>
      <c r="I47" s="924"/>
      <c r="J47" s="924"/>
    </row>
    <row r="48" spans="1:10" x14ac:dyDescent="0.25">
      <c r="A48" s="917"/>
      <c r="B48" s="918"/>
      <c r="C48" s="924"/>
      <c r="D48" s="932"/>
      <c r="E48" s="924"/>
      <c r="F48" s="924"/>
      <c r="G48" s="924"/>
      <c r="H48" s="924"/>
      <c r="I48" s="924"/>
      <c r="J48" s="924"/>
    </row>
    <row r="49" spans="1:10" x14ac:dyDescent="0.25">
      <c r="A49" s="917"/>
      <c r="B49" s="918"/>
      <c r="C49" s="924"/>
      <c r="D49" s="932"/>
      <c r="E49" s="924"/>
      <c r="F49" s="924"/>
      <c r="G49" s="924"/>
      <c r="H49" s="924"/>
      <c r="I49" s="924"/>
      <c r="J49" s="924"/>
    </row>
    <row r="50" spans="1:10" x14ac:dyDescent="0.25">
      <c r="A50" s="920" t="s">
        <v>1057</v>
      </c>
      <c r="B50" s="918"/>
      <c r="C50" s="919"/>
      <c r="D50" s="919"/>
      <c r="E50" s="921" t="str">
        <f>'1.Hoja_de_Cotización'!H8</f>
        <v xml:space="preserve">Yahaira De La Cruz </v>
      </c>
      <c r="F50" s="933"/>
      <c r="G50" s="924"/>
      <c r="H50" s="924"/>
      <c r="I50" s="924"/>
      <c r="J50" s="924"/>
    </row>
    <row r="51" spans="1:10" x14ac:dyDescent="0.25">
      <c r="A51" s="922" t="s">
        <v>462</v>
      </c>
      <c r="B51" s="934"/>
      <c r="C51" s="933"/>
      <c r="D51" s="933"/>
      <c r="E51" s="935" t="str">
        <f>'1.Hoja_de_Cotización'!H12</f>
        <v>CAPITAL HUMANO</v>
      </c>
      <c r="F51" s="933"/>
      <c r="G51" s="924"/>
      <c r="H51" s="924"/>
      <c r="I51" s="924"/>
      <c r="J51" s="924"/>
    </row>
    <row r="52" spans="1:10" x14ac:dyDescent="0.25">
      <c r="A52" s="922" t="s">
        <v>1058</v>
      </c>
      <c r="B52" s="931"/>
      <c r="C52" s="924"/>
      <c r="D52" s="924"/>
      <c r="E52" s="936"/>
      <c r="F52" s="924"/>
      <c r="G52" s="924"/>
      <c r="H52" s="2137" t="s">
        <v>1059</v>
      </c>
      <c r="I52" s="2137"/>
      <c r="J52" s="2137"/>
    </row>
  </sheetData>
  <mergeCells count="28">
    <mergeCell ref="D18:J19"/>
    <mergeCell ref="A4:J4"/>
    <mergeCell ref="A5:J5"/>
    <mergeCell ref="A7:H7"/>
    <mergeCell ref="D8:J8"/>
    <mergeCell ref="D9:J9"/>
    <mergeCell ref="D10:J10"/>
    <mergeCell ref="D11:J11"/>
    <mergeCell ref="D12:J12"/>
    <mergeCell ref="D13:J14"/>
    <mergeCell ref="D15:I15"/>
    <mergeCell ref="D16:J17"/>
    <mergeCell ref="H52:J52"/>
    <mergeCell ref="D20:J20"/>
    <mergeCell ref="D21:J21"/>
    <mergeCell ref="D22:I22"/>
    <mergeCell ref="A24:H24"/>
    <mergeCell ref="D25:J25"/>
    <mergeCell ref="A26:G26"/>
    <mergeCell ref="D28:F28"/>
    <mergeCell ref="D29:J29"/>
    <mergeCell ref="D30:J30"/>
    <mergeCell ref="A42:F42"/>
    <mergeCell ref="D43:J43"/>
    <mergeCell ref="D37:J37"/>
    <mergeCell ref="D38:J38"/>
    <mergeCell ref="D39:J39"/>
    <mergeCell ref="D40:J40"/>
  </mergeCell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dimension ref="A1:J53"/>
  <sheetViews>
    <sheetView showGridLines="0" workbookViewId="0">
      <selection activeCell="A8" sqref="A8:H8"/>
    </sheetView>
  </sheetViews>
  <sheetFormatPr baseColWidth="10" defaultRowHeight="15" x14ac:dyDescent="0.25"/>
  <cols>
    <col min="1" max="1" width="1.7109375" customWidth="1"/>
    <col min="2" max="2" width="2.42578125" customWidth="1"/>
    <col min="3" max="3" width="0.7109375" customWidth="1"/>
  </cols>
  <sheetData>
    <row r="1" spans="1:10" x14ac:dyDescent="0.25">
      <c r="A1" s="894"/>
      <c r="B1" s="893"/>
      <c r="C1" s="894"/>
      <c r="D1" s="894"/>
      <c r="E1" s="894"/>
      <c r="F1" s="894"/>
      <c r="G1" s="894"/>
      <c r="H1" s="894"/>
      <c r="I1" s="894"/>
      <c r="J1" s="894"/>
    </row>
    <row r="2" spans="1:10" x14ac:dyDescent="0.25">
      <c r="A2" s="894"/>
      <c r="B2" s="893"/>
      <c r="C2" s="894"/>
      <c r="D2" s="894"/>
      <c r="E2" s="894"/>
      <c r="F2" s="894"/>
      <c r="G2" s="894"/>
      <c r="H2" s="894"/>
      <c r="I2" s="894"/>
      <c r="J2" s="894"/>
    </row>
    <row r="3" spans="1:10" x14ac:dyDescent="0.25">
      <c r="A3" s="894"/>
      <c r="B3" s="893"/>
      <c r="C3" s="894"/>
      <c r="D3" s="894"/>
      <c r="E3" s="894"/>
      <c r="F3" s="894"/>
      <c r="G3" s="894"/>
      <c r="H3" s="894"/>
      <c r="I3" s="894"/>
      <c r="J3" s="894"/>
    </row>
    <row r="4" spans="1:10" x14ac:dyDescent="0.25">
      <c r="A4" s="892"/>
      <c r="B4" s="893"/>
      <c r="C4" s="892"/>
      <c r="D4" s="892"/>
      <c r="E4" s="892"/>
      <c r="F4" s="892"/>
      <c r="G4" s="892"/>
      <c r="H4" s="892"/>
      <c r="I4" s="892"/>
      <c r="J4" s="892"/>
    </row>
    <row r="5" spans="1:10" ht="15.75" x14ac:dyDescent="0.25">
      <c r="A5" s="2142" t="s">
        <v>1045</v>
      </c>
      <c r="B5" s="2142"/>
      <c r="C5" s="2142"/>
      <c r="D5" s="2142"/>
      <c r="E5" s="2142"/>
      <c r="F5" s="2142"/>
      <c r="G5" s="2142"/>
      <c r="H5" s="2142"/>
      <c r="I5" s="2142"/>
      <c r="J5" s="2142"/>
    </row>
    <row r="6" spans="1:10" x14ac:dyDescent="0.25">
      <c r="A6" s="2143" t="s">
        <v>16</v>
      </c>
      <c r="B6" s="2143"/>
      <c r="C6" s="2143"/>
      <c r="D6" s="2143"/>
      <c r="E6" s="2143"/>
      <c r="F6" s="2143"/>
      <c r="G6" s="2143"/>
      <c r="H6" s="2143"/>
      <c r="I6" s="2143"/>
      <c r="J6" s="892"/>
    </row>
    <row r="7" spans="1:10" x14ac:dyDescent="0.25">
      <c r="A7" s="895"/>
      <c r="B7" s="896"/>
      <c r="C7" s="895"/>
      <c r="D7" s="897"/>
      <c r="E7" s="897"/>
      <c r="F7" s="897"/>
      <c r="G7" s="897"/>
      <c r="H7" s="897"/>
      <c r="I7" s="897"/>
      <c r="J7" s="897"/>
    </row>
    <row r="8" spans="1:10" x14ac:dyDescent="0.25">
      <c r="A8" s="2144" t="s">
        <v>1046</v>
      </c>
      <c r="B8" s="2151"/>
      <c r="C8" s="2151"/>
      <c r="D8" s="2151"/>
      <c r="E8" s="2151"/>
      <c r="F8" s="2151"/>
      <c r="G8" s="2151"/>
      <c r="H8" s="2151"/>
      <c r="I8" s="924"/>
      <c r="J8" s="924"/>
    </row>
    <row r="9" spans="1:10" x14ac:dyDescent="0.25">
      <c r="A9" s="898"/>
      <c r="B9" s="899"/>
      <c r="C9" s="895"/>
      <c r="D9" s="2140" t="s">
        <v>1047</v>
      </c>
      <c r="E9" s="2140"/>
      <c r="F9" s="2140"/>
      <c r="G9" s="2140"/>
      <c r="H9" s="2140"/>
      <c r="I9" s="2140"/>
      <c r="J9" s="2140"/>
    </row>
    <row r="10" spans="1:10" x14ac:dyDescent="0.25">
      <c r="A10" s="925"/>
      <c r="B10" s="926"/>
      <c r="C10" s="925"/>
      <c r="D10" s="2140" t="s">
        <v>1048</v>
      </c>
      <c r="E10" s="2140"/>
      <c r="F10" s="2140"/>
      <c r="G10" s="2140"/>
      <c r="H10" s="2140"/>
      <c r="I10" s="2140"/>
      <c r="J10" s="2140"/>
    </row>
    <row r="11" spans="1:10" x14ac:dyDescent="0.25">
      <c r="A11" s="925"/>
      <c r="B11" s="926"/>
      <c r="C11" s="925"/>
      <c r="D11" s="2140" t="s">
        <v>1049</v>
      </c>
      <c r="E11" s="2140"/>
      <c r="F11" s="2140"/>
      <c r="G11" s="2140"/>
      <c r="H11" s="2140"/>
      <c r="I11" s="2140"/>
      <c r="J11" s="2140"/>
    </row>
    <row r="12" spans="1:10" x14ac:dyDescent="0.25">
      <c r="A12" s="925"/>
      <c r="B12" s="926"/>
      <c r="C12" s="925"/>
      <c r="D12" s="2140" t="s">
        <v>1052</v>
      </c>
      <c r="E12" s="2140"/>
      <c r="F12" s="2140"/>
      <c r="G12" s="2140"/>
      <c r="H12" s="2140"/>
      <c r="I12" s="2140"/>
      <c r="J12" s="2140"/>
    </row>
    <row r="13" spans="1:10" x14ac:dyDescent="0.25">
      <c r="A13" s="925"/>
      <c r="B13" s="926"/>
      <c r="C13" s="925"/>
      <c r="D13" s="2140"/>
      <c r="E13" s="2140"/>
      <c r="F13" s="2140"/>
      <c r="G13" s="2140"/>
      <c r="H13" s="2140"/>
      <c r="I13" s="2140"/>
      <c r="J13" s="2140"/>
    </row>
    <row r="14" spans="1:10" x14ac:dyDescent="0.25">
      <c r="A14" s="925"/>
      <c r="B14" s="926"/>
      <c r="C14" s="925"/>
      <c r="D14" s="2140" t="s">
        <v>1053</v>
      </c>
      <c r="E14" s="2140"/>
      <c r="F14" s="2140"/>
      <c r="G14" s="2140"/>
      <c r="H14" s="2140"/>
      <c r="I14" s="2140"/>
      <c r="J14" s="927"/>
    </row>
    <row r="15" spans="1:10" x14ac:dyDescent="0.25">
      <c r="A15" s="925"/>
      <c r="B15" s="926"/>
      <c r="C15" s="925"/>
      <c r="D15" s="2140" t="s">
        <v>1095</v>
      </c>
      <c r="E15" s="2140"/>
      <c r="F15" s="2140"/>
      <c r="G15" s="2140"/>
      <c r="H15" s="2140"/>
      <c r="I15" s="2140"/>
      <c r="J15" s="2140"/>
    </row>
    <row r="16" spans="1:10" x14ac:dyDescent="0.25">
      <c r="A16" s="928"/>
      <c r="B16" s="929"/>
      <c r="C16" s="928"/>
      <c r="D16" s="2140"/>
      <c r="E16" s="2140"/>
      <c r="F16" s="2140"/>
      <c r="G16" s="2140"/>
      <c r="H16" s="2140"/>
      <c r="I16" s="2140"/>
      <c r="J16" s="2140"/>
    </row>
    <row r="17" spans="1:10" x14ac:dyDescent="0.25">
      <c r="A17" s="928"/>
      <c r="B17" s="929"/>
      <c r="C17" s="928"/>
      <c r="D17" s="2140" t="s">
        <v>1055</v>
      </c>
      <c r="E17" s="2140"/>
      <c r="F17" s="2140"/>
      <c r="G17" s="2140"/>
      <c r="H17" s="2140"/>
      <c r="I17" s="2140"/>
      <c r="J17" s="2140"/>
    </row>
    <row r="18" spans="1:10" x14ac:dyDescent="0.25">
      <c r="A18" s="928"/>
      <c r="B18" s="929"/>
      <c r="C18" s="928"/>
      <c r="D18" s="2140"/>
      <c r="E18" s="2140"/>
      <c r="F18" s="2140"/>
      <c r="G18" s="2140"/>
      <c r="H18" s="2140"/>
      <c r="I18" s="2140"/>
      <c r="J18" s="2140"/>
    </row>
    <row r="19" spans="1:10" x14ac:dyDescent="0.25">
      <c r="A19" s="895"/>
      <c r="B19" s="896"/>
      <c r="C19" s="895"/>
      <c r="D19" s="2162" t="s">
        <v>1061</v>
      </c>
      <c r="E19" s="2140"/>
      <c r="F19" s="2140"/>
      <c r="G19" s="2140"/>
      <c r="H19" s="2140"/>
      <c r="I19" s="2140"/>
      <c r="J19" s="927"/>
    </row>
    <row r="20" spans="1:10" x14ac:dyDescent="0.25">
      <c r="A20" s="895"/>
      <c r="B20" s="896"/>
      <c r="C20" s="895"/>
      <c r="D20" s="2140" t="s">
        <v>1067</v>
      </c>
      <c r="E20" s="2140"/>
      <c r="F20" s="2140"/>
      <c r="G20" s="2140"/>
      <c r="H20" s="2140"/>
      <c r="I20" s="2140"/>
      <c r="J20" s="927"/>
    </row>
    <row r="21" spans="1:10" x14ac:dyDescent="0.25">
      <c r="A21" s="895"/>
      <c r="B21" s="896"/>
      <c r="C21" s="895"/>
      <c r="D21" s="2140" t="s">
        <v>1096</v>
      </c>
      <c r="E21" s="2140"/>
      <c r="F21" s="2140"/>
      <c r="G21" s="2140"/>
      <c r="H21" s="2140"/>
      <c r="I21" s="2140"/>
      <c r="J21" s="927"/>
    </row>
    <row r="22" spans="1:10" x14ac:dyDescent="0.25">
      <c r="A22" s="895"/>
      <c r="B22" s="896"/>
      <c r="C22" s="895"/>
      <c r="D22" s="2160" t="s">
        <v>1097</v>
      </c>
      <c r="E22" s="2160"/>
      <c r="F22" s="2160"/>
      <c r="G22" s="2160"/>
      <c r="H22" s="2160"/>
      <c r="I22" s="2160"/>
      <c r="J22" s="945"/>
    </row>
    <row r="23" spans="1:10" ht="24.75" customHeight="1" x14ac:dyDescent="0.25">
      <c r="A23" s="895"/>
      <c r="B23" s="896"/>
      <c r="C23" s="895"/>
      <c r="D23" s="2161" t="s">
        <v>1072</v>
      </c>
      <c r="E23" s="2161"/>
      <c r="F23" s="2161"/>
      <c r="G23" s="2161"/>
      <c r="H23" s="2161"/>
      <c r="I23" s="2161"/>
      <c r="J23" s="947"/>
    </row>
    <row r="24" spans="1:10" x14ac:dyDescent="0.25">
      <c r="A24" s="895"/>
      <c r="B24" s="896"/>
      <c r="C24" s="895"/>
      <c r="D24" s="2161" t="s">
        <v>1098</v>
      </c>
      <c r="E24" s="2161"/>
      <c r="F24" s="2161"/>
      <c r="G24" s="2161"/>
      <c r="H24" s="2161"/>
      <c r="I24" s="946"/>
      <c r="J24" s="945"/>
    </row>
    <row r="25" spans="1:10" x14ac:dyDescent="0.25">
      <c r="A25" s="895"/>
      <c r="B25" s="896"/>
      <c r="C25" s="895"/>
      <c r="D25" s="930"/>
      <c r="E25" s="930"/>
      <c r="F25" s="930"/>
      <c r="G25" s="930"/>
      <c r="H25" s="930"/>
      <c r="I25" s="930"/>
      <c r="J25" s="908"/>
    </row>
    <row r="26" spans="1:10" x14ac:dyDescent="0.25">
      <c r="A26" s="2139" t="s">
        <v>1056</v>
      </c>
      <c r="B26" s="2139"/>
      <c r="C26" s="2139"/>
      <c r="D26" s="2139"/>
      <c r="E26" s="2139"/>
      <c r="F26" s="2139"/>
      <c r="G26" s="2139"/>
      <c r="H26" s="2139"/>
      <c r="I26" s="924"/>
      <c r="J26" s="924"/>
    </row>
    <row r="27" spans="1:10" x14ac:dyDescent="0.25">
      <c r="A27" s="924"/>
      <c r="B27" s="931"/>
      <c r="C27" s="924"/>
      <c r="D27" s="877" t="s">
        <v>1074</v>
      </c>
      <c r="E27" s="913"/>
      <c r="F27" s="913"/>
      <c r="G27" s="914"/>
      <c r="H27" s="914"/>
      <c r="I27" s="914"/>
      <c r="J27" s="914"/>
    </row>
    <row r="28" spans="1:10" x14ac:dyDescent="0.25">
      <c r="A28" s="924"/>
      <c r="B28" s="931"/>
      <c r="C28" s="924"/>
      <c r="D28" s="877" t="s">
        <v>1099</v>
      </c>
      <c r="E28" s="913"/>
      <c r="F28" s="913"/>
      <c r="G28" s="914"/>
      <c r="H28" s="914"/>
      <c r="I28" s="914"/>
      <c r="J28" s="914"/>
    </row>
    <row r="29" spans="1:10" x14ac:dyDescent="0.25">
      <c r="A29" s="925"/>
      <c r="B29" s="926"/>
      <c r="C29" s="925"/>
      <c r="D29" s="2140" t="s">
        <v>1050</v>
      </c>
      <c r="E29" s="2140"/>
      <c r="F29" s="2140"/>
      <c r="G29" s="2140"/>
      <c r="H29" s="2140"/>
      <c r="I29" s="2140"/>
      <c r="J29" s="2140"/>
    </row>
    <row r="30" spans="1:10" x14ac:dyDescent="0.25">
      <c r="A30" s="925"/>
      <c r="B30" s="926"/>
      <c r="C30" s="925"/>
      <c r="D30" s="2140" t="s">
        <v>1051</v>
      </c>
      <c r="E30" s="2140"/>
      <c r="F30" s="2140"/>
      <c r="G30" s="2140"/>
      <c r="H30" s="2140"/>
      <c r="I30" s="2140"/>
      <c r="J30" s="2140"/>
    </row>
    <row r="31" spans="1:10" x14ac:dyDescent="0.25">
      <c r="A31" s="925"/>
      <c r="B31" s="918"/>
      <c r="C31" s="924"/>
      <c r="D31" s="1255" t="s">
        <v>2205</v>
      </c>
      <c r="E31" s="924"/>
      <c r="F31" s="924"/>
      <c r="G31" s="924"/>
      <c r="H31" s="924"/>
      <c r="I31" s="924"/>
      <c r="J31" s="924"/>
    </row>
    <row r="32" spans="1:10" x14ac:dyDescent="0.25">
      <c r="A32" s="925"/>
      <c r="B32" s="918"/>
      <c r="C32" s="924"/>
      <c r="D32" s="2140" t="s">
        <v>2199</v>
      </c>
      <c r="E32" s="2140"/>
      <c r="F32" s="2140"/>
      <c r="G32" s="2140"/>
      <c r="H32" s="2140"/>
      <c r="I32" s="2140"/>
      <c r="J32" s="2140"/>
    </row>
    <row r="33" spans="1:10" x14ac:dyDescent="0.25">
      <c r="A33" s="925"/>
      <c r="B33" s="918"/>
      <c r="C33" s="924"/>
      <c r="D33" s="2140" t="s">
        <v>2200</v>
      </c>
      <c r="E33" s="2140"/>
      <c r="F33" s="2140"/>
      <c r="G33" s="2140"/>
      <c r="H33" s="2140"/>
      <c r="I33" s="2140"/>
      <c r="J33" s="2140"/>
    </row>
    <row r="34" spans="1:10" x14ac:dyDescent="0.25">
      <c r="A34" s="925"/>
      <c r="B34" s="918"/>
      <c r="C34" s="924"/>
      <c r="D34" s="2140" t="s">
        <v>2201</v>
      </c>
      <c r="E34" s="2140"/>
      <c r="F34" s="2140"/>
      <c r="G34" s="2140"/>
      <c r="H34" s="2140"/>
      <c r="I34" s="2140"/>
      <c r="J34" s="2140"/>
    </row>
    <row r="35" spans="1:10" x14ac:dyDescent="0.25">
      <c r="A35" s="925"/>
      <c r="B35" s="918"/>
      <c r="C35" s="924"/>
      <c r="D35" s="2140" t="s">
        <v>2202</v>
      </c>
      <c r="E35" s="2140"/>
      <c r="F35" s="2140"/>
      <c r="G35" s="2140"/>
      <c r="H35" s="2140"/>
      <c r="I35" s="2140"/>
      <c r="J35" s="2140"/>
    </row>
    <row r="36" spans="1:10" x14ac:dyDescent="0.25">
      <c r="A36" s="925"/>
      <c r="B36" s="926"/>
      <c r="C36" s="925"/>
      <c r="D36" s="1256"/>
      <c r="E36" s="1256"/>
      <c r="F36" s="1256"/>
      <c r="G36" s="1256"/>
      <c r="H36" s="1256"/>
      <c r="I36" s="1256"/>
      <c r="J36" s="1256"/>
    </row>
    <row r="37" spans="1:10" x14ac:dyDescent="0.25">
      <c r="A37" s="925"/>
      <c r="B37" s="926"/>
      <c r="C37" s="925"/>
      <c r="D37" s="1256"/>
      <c r="E37" s="1256"/>
      <c r="F37" s="1256"/>
      <c r="G37" s="1256"/>
      <c r="H37" s="1256"/>
      <c r="I37" s="1256"/>
      <c r="J37" s="1256"/>
    </row>
    <row r="38" spans="1:10" x14ac:dyDescent="0.25">
      <c r="A38" s="924"/>
      <c r="B38" s="931"/>
      <c r="C38" s="924"/>
      <c r="D38" s="912"/>
      <c r="E38" s="913"/>
      <c r="F38" s="913"/>
      <c r="G38" s="914"/>
      <c r="H38" s="914"/>
      <c r="I38" s="914"/>
      <c r="J38" s="914"/>
    </row>
    <row r="39" spans="1:10" x14ac:dyDescent="0.25">
      <c r="A39" s="2147" t="s">
        <v>1063</v>
      </c>
      <c r="B39" s="2147"/>
      <c r="C39" s="2147"/>
      <c r="D39" s="2147"/>
      <c r="E39" s="2147"/>
      <c r="F39" s="2147"/>
      <c r="G39" s="924"/>
      <c r="H39" s="924"/>
      <c r="I39" s="924"/>
      <c r="J39" s="924"/>
    </row>
    <row r="40" spans="1:10" x14ac:dyDescent="0.25">
      <c r="A40" s="917"/>
      <c r="B40" s="918"/>
      <c r="C40" s="924"/>
      <c r="D40" s="2140" t="s">
        <v>1076</v>
      </c>
      <c r="E40" s="2140"/>
      <c r="F40" s="2140"/>
      <c r="G40" s="2140"/>
      <c r="H40" s="2140"/>
      <c r="I40" s="2140"/>
      <c r="J40" s="2140"/>
    </row>
    <row r="41" spans="1:10" x14ac:dyDescent="0.25">
      <c r="A41" s="917"/>
      <c r="B41" s="918"/>
      <c r="C41" s="924"/>
      <c r="D41" s="919" t="s">
        <v>1064</v>
      </c>
      <c r="E41" s="924"/>
      <c r="F41" s="924"/>
      <c r="G41" s="924"/>
      <c r="H41" s="924"/>
      <c r="I41" s="924"/>
      <c r="J41" s="924"/>
    </row>
    <row r="42" spans="1:10" x14ac:dyDescent="0.25">
      <c r="A42" s="917"/>
      <c r="B42" s="918"/>
      <c r="C42" s="924"/>
      <c r="D42" s="919" t="s">
        <v>1093</v>
      </c>
      <c r="E42" s="924"/>
      <c r="F42" s="924"/>
      <c r="G42" s="924"/>
      <c r="H42" s="924"/>
      <c r="I42" s="924"/>
      <c r="J42" s="924"/>
    </row>
    <row r="43" spans="1:10" x14ac:dyDescent="0.25">
      <c r="A43" s="917"/>
      <c r="B43" s="918"/>
      <c r="C43" s="924"/>
      <c r="D43" s="919" t="s">
        <v>1094</v>
      </c>
      <c r="E43" s="924"/>
      <c r="F43" s="924"/>
      <c r="G43" s="924"/>
      <c r="H43" s="924"/>
      <c r="I43" s="924"/>
      <c r="J43" s="924"/>
    </row>
    <row r="44" spans="1:10" x14ac:dyDescent="0.25">
      <c r="A44" s="917"/>
      <c r="B44" s="918"/>
      <c r="C44" s="924"/>
      <c r="D44" s="932" t="s">
        <v>1088</v>
      </c>
      <c r="E44" s="924"/>
      <c r="F44" s="924"/>
      <c r="G44" s="924"/>
      <c r="H44" s="924"/>
      <c r="I44" s="924"/>
      <c r="J44" s="924"/>
    </row>
    <row r="45" spans="1:10" x14ac:dyDescent="0.25">
      <c r="A45" s="917"/>
      <c r="B45" s="918"/>
      <c r="C45" s="924"/>
      <c r="D45" s="932"/>
      <c r="E45" s="924"/>
      <c r="F45" s="924"/>
      <c r="G45" s="924"/>
      <c r="H45" s="924"/>
      <c r="I45" s="924"/>
      <c r="J45" s="924"/>
    </row>
    <row r="46" spans="1:10" x14ac:dyDescent="0.25">
      <c r="A46" s="917"/>
      <c r="B46" s="918"/>
      <c r="C46" s="924"/>
      <c r="D46" s="932"/>
      <c r="E46" s="924"/>
      <c r="F46" s="924"/>
      <c r="G46" s="924"/>
      <c r="H46" s="924"/>
      <c r="I46" s="924"/>
      <c r="J46" s="924"/>
    </row>
    <row r="47" spans="1:10" x14ac:dyDescent="0.25">
      <c r="A47" s="917"/>
      <c r="B47" s="918"/>
      <c r="C47" s="924"/>
      <c r="D47" s="932"/>
      <c r="E47" s="924"/>
      <c r="F47" s="924"/>
      <c r="G47" s="924"/>
      <c r="H47" s="924"/>
      <c r="I47" s="924"/>
      <c r="J47" s="924"/>
    </row>
    <row r="48" spans="1:10" x14ac:dyDescent="0.25">
      <c r="A48" s="917"/>
      <c r="B48" s="918"/>
      <c r="C48" s="924"/>
      <c r="D48" s="932"/>
      <c r="E48" s="924"/>
      <c r="F48" s="924"/>
      <c r="G48" s="924"/>
      <c r="H48" s="924"/>
      <c r="I48" s="924"/>
      <c r="J48" s="924"/>
    </row>
    <row r="49" spans="1:10" x14ac:dyDescent="0.25">
      <c r="A49" s="917"/>
      <c r="B49" s="918"/>
      <c r="C49" s="924"/>
      <c r="D49" s="932"/>
      <c r="E49" s="924"/>
      <c r="F49" s="924"/>
      <c r="G49" s="924"/>
      <c r="H49" s="924"/>
      <c r="I49" s="924"/>
      <c r="J49" s="924"/>
    </row>
    <row r="50" spans="1:10" x14ac:dyDescent="0.25">
      <c r="A50" s="917"/>
      <c r="B50" s="918"/>
      <c r="C50" s="924"/>
      <c r="D50" s="909"/>
      <c r="E50" s="909"/>
      <c r="F50" s="909"/>
      <c r="G50" s="909"/>
      <c r="H50" s="909"/>
      <c r="I50" s="909"/>
      <c r="J50" s="924"/>
    </row>
    <row r="51" spans="1:10" x14ac:dyDescent="0.25">
      <c r="A51" s="920" t="s">
        <v>1057</v>
      </c>
      <c r="B51" s="918"/>
      <c r="C51" s="919"/>
      <c r="D51" s="919"/>
      <c r="E51" s="921" t="str">
        <f>'1.Hoja_de_Cotización'!H8</f>
        <v xml:space="preserve">Yahaira De La Cruz </v>
      </c>
      <c r="F51" s="933"/>
      <c r="G51" s="924"/>
      <c r="H51" s="924"/>
      <c r="I51" s="924"/>
      <c r="J51" s="924"/>
    </row>
    <row r="52" spans="1:10" x14ac:dyDescent="0.25">
      <c r="A52" s="922" t="s">
        <v>462</v>
      </c>
      <c r="B52" s="934"/>
      <c r="C52" s="933"/>
      <c r="D52" s="933"/>
      <c r="E52" s="935" t="str">
        <f>'1.Hoja_de_Cotización'!H12</f>
        <v>CAPITAL HUMANO</v>
      </c>
      <c r="F52" s="933"/>
      <c r="G52" s="924"/>
      <c r="H52" s="924"/>
      <c r="I52" s="924"/>
      <c r="J52" s="924"/>
    </row>
    <row r="53" spans="1:10" x14ac:dyDescent="0.25">
      <c r="A53" s="922" t="s">
        <v>1058</v>
      </c>
      <c r="B53" s="931"/>
      <c r="C53" s="924"/>
      <c r="D53" s="924"/>
      <c r="E53" s="936"/>
      <c r="F53" s="924"/>
      <c r="G53" s="924"/>
      <c r="H53" s="2137" t="s">
        <v>1059</v>
      </c>
      <c r="I53" s="2137"/>
      <c r="J53" s="2137"/>
    </row>
  </sheetData>
  <mergeCells count="26">
    <mergeCell ref="D20:I20"/>
    <mergeCell ref="A5:J5"/>
    <mergeCell ref="A6:I6"/>
    <mergeCell ref="A8:H8"/>
    <mergeCell ref="D9:J9"/>
    <mergeCell ref="D10:J10"/>
    <mergeCell ref="D11:J11"/>
    <mergeCell ref="D12:J13"/>
    <mergeCell ref="D14:I14"/>
    <mergeCell ref="D15:J16"/>
    <mergeCell ref="D17:J18"/>
    <mergeCell ref="D19:I19"/>
    <mergeCell ref="D30:J30"/>
    <mergeCell ref="A39:F39"/>
    <mergeCell ref="D40:J40"/>
    <mergeCell ref="H53:J53"/>
    <mergeCell ref="D21:I21"/>
    <mergeCell ref="D22:I22"/>
    <mergeCell ref="D23:I23"/>
    <mergeCell ref="D24:H24"/>
    <mergeCell ref="A26:H26"/>
    <mergeCell ref="D29:J29"/>
    <mergeCell ref="D32:J32"/>
    <mergeCell ref="D33:J33"/>
    <mergeCell ref="D34:J34"/>
    <mergeCell ref="D35:J35"/>
  </mergeCell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dimension ref="A1:K49"/>
  <sheetViews>
    <sheetView showGridLines="0" topLeftCell="A4" workbookViewId="0">
      <selection activeCell="A8" sqref="A8:H8"/>
    </sheetView>
  </sheetViews>
  <sheetFormatPr baseColWidth="10" defaultRowHeight="15" x14ac:dyDescent="0.25"/>
  <cols>
    <col min="1" max="1" width="1.7109375" customWidth="1"/>
    <col min="2" max="2" width="2.85546875" customWidth="1"/>
    <col min="3" max="3" width="2" customWidth="1"/>
  </cols>
  <sheetData>
    <row r="1" spans="1:11" x14ac:dyDescent="0.25">
      <c r="A1" s="894"/>
      <c r="B1" s="893"/>
      <c r="C1" s="894"/>
      <c r="D1" s="894"/>
      <c r="E1" s="894"/>
      <c r="F1" s="894"/>
      <c r="G1" s="894"/>
      <c r="H1" s="894"/>
      <c r="I1" s="894"/>
      <c r="J1" s="894"/>
      <c r="K1" s="894"/>
    </row>
    <row r="2" spans="1:11" x14ac:dyDescent="0.25">
      <c r="A2" s="894"/>
      <c r="B2" s="893"/>
      <c r="C2" s="894"/>
      <c r="D2" s="894"/>
      <c r="E2" s="894"/>
      <c r="F2" s="894"/>
      <c r="G2" s="894"/>
      <c r="H2" s="894"/>
      <c r="I2" s="894"/>
      <c r="J2" s="894"/>
      <c r="K2" s="894"/>
    </row>
    <row r="3" spans="1:11" x14ac:dyDescent="0.25">
      <c r="A3" s="894"/>
      <c r="B3" s="893"/>
      <c r="C3" s="894"/>
      <c r="D3" s="894"/>
      <c r="E3" s="894"/>
      <c r="F3" s="894"/>
      <c r="G3" s="894"/>
      <c r="H3" s="894"/>
      <c r="I3" s="894"/>
      <c r="J3" s="894"/>
      <c r="K3" s="894"/>
    </row>
    <row r="4" spans="1:11" x14ac:dyDescent="0.25">
      <c r="A4" s="892"/>
      <c r="B4" s="893"/>
      <c r="C4" s="892"/>
      <c r="D4" s="892"/>
      <c r="E4" s="892"/>
      <c r="F4" s="892"/>
      <c r="G4" s="892"/>
      <c r="H4" s="892"/>
      <c r="I4" s="892"/>
      <c r="J4" s="892"/>
      <c r="K4" s="892"/>
    </row>
    <row r="5" spans="1:11" ht="15.75" x14ac:dyDescent="0.25">
      <c r="A5" s="2142" t="s">
        <v>1045</v>
      </c>
      <c r="B5" s="2142"/>
      <c r="C5" s="2142"/>
      <c r="D5" s="2142"/>
      <c r="E5" s="2142"/>
      <c r="F5" s="2142"/>
      <c r="G5" s="2142"/>
      <c r="H5" s="2142"/>
      <c r="I5" s="2142"/>
      <c r="J5" s="2142"/>
      <c r="K5" s="892"/>
    </row>
    <row r="6" spans="1:11" x14ac:dyDescent="0.25">
      <c r="A6" s="2143" t="s">
        <v>26</v>
      </c>
      <c r="B6" s="2143"/>
      <c r="C6" s="2143"/>
      <c r="D6" s="2143"/>
      <c r="E6" s="2143"/>
      <c r="F6" s="2143"/>
      <c r="G6" s="2143"/>
      <c r="H6" s="2143"/>
      <c r="I6" s="2143"/>
      <c r="J6" s="892"/>
      <c r="K6" s="892"/>
    </row>
    <row r="7" spans="1:11" x14ac:dyDescent="0.25">
      <c r="A7" s="895"/>
      <c r="B7" s="896"/>
      <c r="C7" s="895"/>
      <c r="D7" s="897"/>
      <c r="E7" s="897"/>
      <c r="F7" s="897"/>
      <c r="G7" s="897"/>
      <c r="H7" s="897"/>
      <c r="I7" s="897"/>
      <c r="J7" s="897"/>
      <c r="K7" s="894"/>
    </row>
    <row r="8" spans="1:11" x14ac:dyDescent="0.25">
      <c r="A8" s="2144" t="s">
        <v>1046</v>
      </c>
      <c r="B8" s="2151"/>
      <c r="C8" s="2151"/>
      <c r="D8" s="2151"/>
      <c r="E8" s="2151"/>
      <c r="F8" s="2151"/>
      <c r="G8" s="2151"/>
      <c r="H8" s="2151"/>
      <c r="I8" s="924"/>
      <c r="J8" s="924"/>
      <c r="K8" s="894"/>
    </row>
    <row r="9" spans="1:11" x14ac:dyDescent="0.25">
      <c r="A9" s="898"/>
      <c r="B9" s="899"/>
      <c r="C9" s="895"/>
      <c r="D9" s="2140" t="s">
        <v>1047</v>
      </c>
      <c r="E9" s="2140"/>
      <c r="F9" s="2140"/>
      <c r="G9" s="2140"/>
      <c r="H9" s="2140"/>
      <c r="I9" s="2140"/>
      <c r="J9" s="2140"/>
      <c r="K9" s="894"/>
    </row>
    <row r="10" spans="1:11" x14ac:dyDescent="0.25">
      <c r="A10" s="925"/>
      <c r="B10" s="926"/>
      <c r="C10" s="925"/>
      <c r="D10" s="2140" t="s">
        <v>1048</v>
      </c>
      <c r="E10" s="2140"/>
      <c r="F10" s="2140"/>
      <c r="G10" s="2140"/>
      <c r="H10" s="2140"/>
      <c r="I10" s="2140"/>
      <c r="J10" s="2140"/>
      <c r="K10" s="894"/>
    </row>
    <row r="11" spans="1:11" x14ac:dyDescent="0.25">
      <c r="A11" s="925"/>
      <c r="B11" s="926"/>
      <c r="C11" s="925"/>
      <c r="D11" s="2140" t="s">
        <v>1049</v>
      </c>
      <c r="E11" s="2140"/>
      <c r="F11" s="2140"/>
      <c r="G11" s="2140"/>
      <c r="H11" s="2140"/>
      <c r="I11" s="2140"/>
      <c r="J11" s="2140"/>
      <c r="K11" s="894"/>
    </row>
    <row r="12" spans="1:11" x14ac:dyDescent="0.25">
      <c r="A12" s="925"/>
      <c r="B12" s="926"/>
      <c r="C12" s="925"/>
      <c r="D12" s="2140" t="s">
        <v>1052</v>
      </c>
      <c r="E12" s="2140"/>
      <c r="F12" s="2140"/>
      <c r="G12" s="2140"/>
      <c r="H12" s="2140"/>
      <c r="I12" s="2140"/>
      <c r="J12" s="2140"/>
      <c r="K12" s="892"/>
    </row>
    <row r="13" spans="1:11" x14ac:dyDescent="0.25">
      <c r="A13" s="925"/>
      <c r="B13" s="926"/>
      <c r="C13" s="925"/>
      <c r="D13" s="2140"/>
      <c r="E13" s="2140"/>
      <c r="F13" s="2140"/>
      <c r="G13" s="2140"/>
      <c r="H13" s="2140"/>
      <c r="I13" s="2140"/>
      <c r="J13" s="2140"/>
      <c r="K13" s="902"/>
    </row>
    <row r="14" spans="1:11" x14ac:dyDescent="0.25">
      <c r="A14" s="925"/>
      <c r="B14" s="926"/>
      <c r="C14" s="925"/>
      <c r="D14" s="2140" t="s">
        <v>1053</v>
      </c>
      <c r="E14" s="2140"/>
      <c r="F14" s="2140"/>
      <c r="G14" s="2140"/>
      <c r="H14" s="2140"/>
      <c r="I14" s="2140"/>
      <c r="J14" s="927"/>
      <c r="K14" s="902"/>
    </row>
    <row r="15" spans="1:11" x14ac:dyDescent="0.25">
      <c r="A15" s="925"/>
      <c r="B15" s="926"/>
      <c r="C15" s="925"/>
      <c r="D15" s="2140" t="s">
        <v>1095</v>
      </c>
      <c r="E15" s="2140"/>
      <c r="F15" s="2140"/>
      <c r="G15" s="2140"/>
      <c r="H15" s="2140"/>
      <c r="I15" s="2140"/>
      <c r="J15" s="2140"/>
      <c r="K15" s="894"/>
    </row>
    <row r="16" spans="1:11" x14ac:dyDescent="0.25">
      <c r="A16" s="928"/>
      <c r="B16" s="929"/>
      <c r="C16" s="928"/>
      <c r="D16" s="2140"/>
      <c r="E16" s="2140"/>
      <c r="F16" s="2140"/>
      <c r="G16" s="2140"/>
      <c r="H16" s="2140"/>
      <c r="I16" s="2140"/>
      <c r="J16" s="2140"/>
      <c r="K16" s="906"/>
    </row>
    <row r="17" spans="1:11" x14ac:dyDescent="0.25">
      <c r="A17" s="928"/>
      <c r="B17" s="929"/>
      <c r="C17" s="928"/>
      <c r="D17" s="2156" t="s">
        <v>1055</v>
      </c>
      <c r="E17" s="2156"/>
      <c r="F17" s="2156"/>
      <c r="G17" s="2156"/>
      <c r="H17" s="2156"/>
      <c r="I17" s="2156"/>
      <c r="J17" s="2156"/>
      <c r="K17" s="907"/>
    </row>
    <row r="18" spans="1:11" x14ac:dyDescent="0.25">
      <c r="A18" s="928"/>
      <c r="B18" s="929"/>
      <c r="C18" s="928"/>
      <c r="D18" s="2156"/>
      <c r="E18" s="2156"/>
      <c r="F18" s="2156"/>
      <c r="G18" s="2156"/>
      <c r="H18" s="2156"/>
      <c r="I18" s="2156"/>
      <c r="J18" s="2156"/>
      <c r="K18" s="906"/>
    </row>
    <row r="19" spans="1:11" x14ac:dyDescent="0.25">
      <c r="A19" s="895"/>
      <c r="B19" s="896"/>
      <c r="C19" s="895"/>
      <c r="D19" s="2157" t="s">
        <v>1061</v>
      </c>
      <c r="E19" s="2157"/>
      <c r="F19" s="2157"/>
      <c r="G19" s="2157"/>
      <c r="H19" s="2157"/>
      <c r="I19" s="2157"/>
      <c r="J19" s="2157"/>
      <c r="K19" s="909"/>
    </row>
    <row r="20" spans="1:11" x14ac:dyDescent="0.25">
      <c r="A20" s="895"/>
      <c r="B20" s="896"/>
      <c r="C20" s="895"/>
      <c r="D20" s="2157" t="s">
        <v>1067</v>
      </c>
      <c r="E20" s="2157"/>
      <c r="F20" s="2157"/>
      <c r="G20" s="2157"/>
      <c r="H20" s="2157"/>
      <c r="I20" s="2157"/>
      <c r="J20" s="2157"/>
      <c r="K20" s="909"/>
    </row>
    <row r="21" spans="1:11" x14ac:dyDescent="0.25">
      <c r="A21" s="895"/>
      <c r="B21" s="896"/>
      <c r="C21" s="895"/>
      <c r="D21" s="944"/>
      <c r="E21" s="944"/>
      <c r="F21" s="944"/>
      <c r="G21" s="944"/>
      <c r="H21" s="944"/>
      <c r="I21" s="944"/>
      <c r="J21" s="944"/>
      <c r="K21" s="909"/>
    </row>
    <row r="22" spans="1:11" x14ac:dyDescent="0.25">
      <c r="A22" s="895"/>
      <c r="B22" s="896"/>
      <c r="C22" s="895"/>
      <c r="D22" s="948"/>
      <c r="E22" s="948"/>
      <c r="F22" s="948"/>
      <c r="G22" s="948"/>
      <c r="H22" s="948"/>
      <c r="I22" s="948"/>
      <c r="J22" s="949"/>
      <c r="K22" s="909"/>
    </row>
    <row r="23" spans="1:11" x14ac:dyDescent="0.25">
      <c r="A23" s="2139" t="s">
        <v>1056</v>
      </c>
      <c r="B23" s="2139"/>
      <c r="C23" s="2139"/>
      <c r="D23" s="2139"/>
      <c r="E23" s="2139"/>
      <c r="F23" s="2139"/>
      <c r="G23" s="2139"/>
      <c r="H23" s="2139"/>
      <c r="I23" s="924"/>
      <c r="J23" s="924"/>
      <c r="K23" s="894"/>
    </row>
    <row r="24" spans="1:11" x14ac:dyDescent="0.25">
      <c r="A24" s="910"/>
      <c r="B24" s="910"/>
      <c r="C24" s="910"/>
      <c r="D24" s="877" t="s">
        <v>1100</v>
      </c>
      <c r="E24" s="910"/>
      <c r="F24" s="910"/>
      <c r="G24" s="910"/>
      <c r="H24" s="910"/>
      <c r="I24" s="924"/>
      <c r="J24" s="924"/>
      <c r="K24" s="894"/>
    </row>
    <row r="25" spans="1:11" x14ac:dyDescent="0.25">
      <c r="A25" s="924"/>
      <c r="B25" s="931"/>
      <c r="C25" s="924"/>
      <c r="D25" s="877" t="s">
        <v>1072</v>
      </c>
      <c r="E25" s="913"/>
      <c r="F25" s="913"/>
      <c r="G25" s="914"/>
      <c r="H25" s="914"/>
      <c r="I25" s="914"/>
      <c r="J25" s="914"/>
      <c r="K25" s="894"/>
    </row>
    <row r="26" spans="1:11" x14ac:dyDescent="0.25">
      <c r="A26" s="924"/>
      <c r="B26" s="931"/>
      <c r="C26" s="924"/>
      <c r="D26" s="877" t="s">
        <v>1073</v>
      </c>
      <c r="E26" s="913"/>
      <c r="F26" s="913"/>
      <c r="G26" s="914"/>
      <c r="H26" s="914"/>
      <c r="I26" s="914"/>
      <c r="J26" s="914"/>
      <c r="K26" s="894"/>
    </row>
    <row r="27" spans="1:11" x14ac:dyDescent="0.25">
      <c r="A27" s="924"/>
      <c r="B27" s="931"/>
      <c r="C27" s="924"/>
      <c r="D27" s="877" t="s">
        <v>1074</v>
      </c>
      <c r="E27" s="913"/>
      <c r="F27" s="913"/>
      <c r="G27" s="914"/>
      <c r="H27" s="914"/>
      <c r="I27" s="914"/>
      <c r="J27" s="914"/>
      <c r="K27" s="894"/>
    </row>
    <row r="28" spans="1:11" x14ac:dyDescent="0.25">
      <c r="A28" s="925"/>
      <c r="B28" s="926"/>
      <c r="C28" s="925"/>
      <c r="D28" s="2140" t="s">
        <v>1050</v>
      </c>
      <c r="E28" s="2140"/>
      <c r="F28" s="2140"/>
      <c r="G28" s="2140"/>
      <c r="H28" s="2140"/>
      <c r="I28" s="2140"/>
      <c r="J28" s="2140"/>
      <c r="K28" s="894"/>
    </row>
    <row r="29" spans="1:11" x14ac:dyDescent="0.25">
      <c r="A29" s="925"/>
      <c r="B29" s="926"/>
      <c r="C29" s="925"/>
      <c r="D29" s="2140" t="s">
        <v>1051</v>
      </c>
      <c r="E29" s="2140"/>
      <c r="F29" s="2140"/>
      <c r="G29" s="2140"/>
      <c r="H29" s="2140"/>
      <c r="I29" s="2140"/>
      <c r="J29" s="2140"/>
      <c r="K29" s="894"/>
    </row>
    <row r="30" spans="1:11" x14ac:dyDescent="0.25">
      <c r="A30" s="925"/>
      <c r="B30" s="918"/>
      <c r="C30" s="924"/>
      <c r="D30" s="1255" t="s">
        <v>2205</v>
      </c>
      <c r="E30" s="924"/>
      <c r="F30" s="924"/>
      <c r="G30" s="924"/>
      <c r="H30" s="924"/>
      <c r="I30" s="924"/>
      <c r="J30" s="924"/>
      <c r="K30" s="894"/>
    </row>
    <row r="31" spans="1:11" x14ac:dyDescent="0.25">
      <c r="A31" s="925"/>
      <c r="B31" s="918"/>
      <c r="C31" s="924"/>
      <c r="D31" s="2140" t="s">
        <v>2199</v>
      </c>
      <c r="E31" s="2140"/>
      <c r="F31" s="2140"/>
      <c r="G31" s="2140"/>
      <c r="H31" s="2140"/>
      <c r="I31" s="2140"/>
      <c r="J31" s="2140"/>
      <c r="K31" s="894"/>
    </row>
    <row r="32" spans="1:11" x14ac:dyDescent="0.25">
      <c r="A32" s="925"/>
      <c r="B32" s="918"/>
      <c r="C32" s="924"/>
      <c r="D32" s="2140" t="s">
        <v>2200</v>
      </c>
      <c r="E32" s="2140"/>
      <c r="F32" s="2140"/>
      <c r="G32" s="2140"/>
      <c r="H32" s="2140"/>
      <c r="I32" s="2140"/>
      <c r="J32" s="2140"/>
      <c r="K32" s="894"/>
    </row>
    <row r="33" spans="1:11" x14ac:dyDescent="0.25">
      <c r="A33" s="925"/>
      <c r="B33" s="918"/>
      <c r="C33" s="924"/>
      <c r="D33" s="2140" t="s">
        <v>2201</v>
      </c>
      <c r="E33" s="2140"/>
      <c r="F33" s="2140"/>
      <c r="G33" s="2140"/>
      <c r="H33" s="2140"/>
      <c r="I33" s="2140"/>
      <c r="J33" s="2140"/>
      <c r="K33" s="894"/>
    </row>
    <row r="34" spans="1:11" x14ac:dyDescent="0.25">
      <c r="A34" s="925"/>
      <c r="B34" s="918"/>
      <c r="C34" s="924"/>
      <c r="D34" s="2140" t="s">
        <v>2202</v>
      </c>
      <c r="E34" s="2140"/>
      <c r="F34" s="2140"/>
      <c r="G34" s="2140"/>
      <c r="H34" s="2140"/>
      <c r="I34" s="2140"/>
      <c r="J34" s="2140"/>
      <c r="K34" s="894"/>
    </row>
    <row r="35" spans="1:11" x14ac:dyDescent="0.25">
      <c r="A35" s="925"/>
      <c r="B35" s="926"/>
      <c r="C35" s="925"/>
      <c r="D35" s="1256"/>
      <c r="E35" s="1256"/>
      <c r="F35" s="1256"/>
      <c r="G35" s="1256"/>
      <c r="H35" s="1256"/>
      <c r="I35" s="1256"/>
      <c r="J35" s="1256"/>
      <c r="K35" s="894"/>
    </row>
    <row r="36" spans="1:11" x14ac:dyDescent="0.25">
      <c r="A36" s="2147" t="s">
        <v>1063</v>
      </c>
      <c r="B36" s="2147"/>
      <c r="C36" s="2147"/>
      <c r="D36" s="2147"/>
      <c r="E36" s="2147"/>
      <c r="F36" s="2147"/>
      <c r="G36" s="924"/>
      <c r="H36" s="924"/>
      <c r="I36" s="924"/>
      <c r="J36" s="924"/>
      <c r="K36" s="894"/>
    </row>
    <row r="37" spans="1:11" x14ac:dyDescent="0.25">
      <c r="A37" s="917"/>
      <c r="B37" s="918"/>
      <c r="C37" s="924"/>
      <c r="D37" s="2140" t="s">
        <v>1076</v>
      </c>
      <c r="E37" s="2140"/>
      <c r="F37" s="2140"/>
      <c r="G37" s="2140"/>
      <c r="H37" s="2140"/>
      <c r="I37" s="2140"/>
      <c r="J37" s="2140"/>
      <c r="K37" s="894"/>
    </row>
    <row r="38" spans="1:11" x14ac:dyDescent="0.25">
      <c r="A38" s="917"/>
      <c r="B38" s="918"/>
      <c r="C38" s="924"/>
      <c r="D38" s="919" t="s">
        <v>1064</v>
      </c>
      <c r="E38" s="924"/>
      <c r="F38" s="924"/>
      <c r="G38" s="924"/>
      <c r="H38" s="924"/>
      <c r="I38" s="924"/>
      <c r="J38" s="924"/>
      <c r="K38" s="894"/>
    </row>
    <row r="39" spans="1:11" x14ac:dyDescent="0.25">
      <c r="A39" s="917"/>
      <c r="B39" s="918"/>
      <c r="C39" s="924"/>
      <c r="D39" s="919" t="s">
        <v>1086</v>
      </c>
      <c r="E39" s="924"/>
      <c r="F39" s="924"/>
      <c r="G39" s="924"/>
      <c r="H39" s="924"/>
      <c r="I39" s="924"/>
      <c r="J39" s="924"/>
      <c r="K39" s="894"/>
    </row>
    <row r="40" spans="1:11" x14ac:dyDescent="0.25">
      <c r="A40" s="917"/>
      <c r="B40" s="918"/>
      <c r="C40" s="924"/>
      <c r="D40" s="919" t="s">
        <v>1087</v>
      </c>
      <c r="E40" s="924"/>
      <c r="F40" s="924"/>
      <c r="G40" s="924"/>
      <c r="H40" s="924"/>
      <c r="I40" s="924"/>
      <c r="J40" s="924"/>
      <c r="K40" s="894"/>
    </row>
    <row r="41" spans="1:11" x14ac:dyDescent="0.25">
      <c r="A41" s="917"/>
      <c r="B41" s="918"/>
      <c r="C41" s="924"/>
      <c r="D41" s="932" t="s">
        <v>1088</v>
      </c>
      <c r="E41" s="924"/>
      <c r="F41" s="924"/>
      <c r="G41" s="924"/>
      <c r="H41" s="924"/>
      <c r="I41" s="924"/>
      <c r="J41" s="924"/>
      <c r="K41" s="894"/>
    </row>
    <row r="42" spans="1:11" x14ac:dyDescent="0.25">
      <c r="A42" s="917"/>
      <c r="B42" s="918"/>
      <c r="C42" s="924"/>
      <c r="D42" s="932"/>
      <c r="E42" s="924"/>
      <c r="F42" s="924"/>
      <c r="G42" s="924"/>
      <c r="H42" s="924"/>
      <c r="I42" s="924"/>
      <c r="J42" s="924"/>
      <c r="K42" s="894"/>
    </row>
    <row r="43" spans="1:11" x14ac:dyDescent="0.25">
      <c r="A43" s="917"/>
      <c r="B43" s="918"/>
      <c r="C43" s="894"/>
      <c r="D43" s="932"/>
      <c r="E43" s="894"/>
      <c r="F43" s="894"/>
      <c r="G43" s="894"/>
      <c r="H43" s="894"/>
      <c r="I43" s="894"/>
      <c r="J43" s="894"/>
      <c r="K43" s="894"/>
    </row>
    <row r="44" spans="1:11" x14ac:dyDescent="0.25">
      <c r="A44" s="917"/>
      <c r="B44" s="918"/>
      <c r="C44" s="894"/>
      <c r="D44" s="932"/>
      <c r="E44" s="894"/>
      <c r="F44" s="894"/>
      <c r="G44" s="894"/>
      <c r="H44" s="894"/>
      <c r="I44" s="894"/>
      <c r="J44" s="894"/>
      <c r="K44" s="894"/>
    </row>
    <row r="45" spans="1:11" x14ac:dyDescent="0.25">
      <c r="A45" s="917"/>
      <c r="B45" s="918"/>
      <c r="C45" s="894"/>
      <c r="D45" s="932"/>
      <c r="E45" s="894"/>
      <c r="F45" s="894"/>
      <c r="G45" s="894"/>
      <c r="H45" s="894"/>
      <c r="I45" s="894"/>
      <c r="J45" s="894"/>
      <c r="K45" s="894"/>
    </row>
    <row r="46" spans="1:11" x14ac:dyDescent="0.25">
      <c r="A46" s="917"/>
      <c r="B46" s="918"/>
      <c r="C46" s="894"/>
      <c r="D46" s="909"/>
      <c r="E46" s="909"/>
      <c r="F46" s="909"/>
      <c r="G46" s="909"/>
      <c r="H46" s="909"/>
      <c r="I46" s="909"/>
      <c r="J46" s="894"/>
      <c r="K46" s="894"/>
    </row>
    <row r="47" spans="1:11" x14ac:dyDescent="0.25">
      <c r="A47" s="920" t="s">
        <v>1057</v>
      </c>
      <c r="B47" s="918"/>
      <c r="C47" s="919"/>
      <c r="D47" s="919"/>
      <c r="E47" s="921" t="str">
        <f>'1.Hoja_de_Cotización'!H8</f>
        <v xml:space="preserve">Yahaira De La Cruz </v>
      </c>
      <c r="F47" s="48"/>
      <c r="G47" s="894"/>
      <c r="H47" s="894"/>
      <c r="I47" s="894"/>
      <c r="J47" s="894"/>
      <c r="K47" s="894"/>
    </row>
    <row r="48" spans="1:11" x14ac:dyDescent="0.25">
      <c r="A48" s="922" t="s">
        <v>462</v>
      </c>
      <c r="B48" s="923"/>
      <c r="C48" s="48"/>
      <c r="D48" s="48"/>
      <c r="E48" s="950" t="str">
        <f>'1.Hoja_de_Cotización'!H12</f>
        <v>CAPITAL HUMANO</v>
      </c>
      <c r="F48" s="48"/>
      <c r="G48" s="894"/>
      <c r="H48" s="894"/>
      <c r="I48" s="894"/>
      <c r="J48" s="894"/>
      <c r="K48" s="894"/>
    </row>
    <row r="49" spans="1:11" x14ac:dyDescent="0.25">
      <c r="A49" s="922" t="s">
        <v>1058</v>
      </c>
      <c r="B49" s="893"/>
      <c r="C49" s="894"/>
      <c r="D49" s="894"/>
      <c r="E49" s="894"/>
      <c r="F49" s="894"/>
      <c r="G49" s="894"/>
      <c r="H49" s="2137" t="s">
        <v>1059</v>
      </c>
      <c r="I49" s="2137"/>
      <c r="J49" s="2137"/>
      <c r="K49" s="894"/>
    </row>
  </sheetData>
  <mergeCells count="22">
    <mergeCell ref="D11:J11"/>
    <mergeCell ref="A5:J5"/>
    <mergeCell ref="A6:I6"/>
    <mergeCell ref="A8:H8"/>
    <mergeCell ref="D9:J9"/>
    <mergeCell ref="D10:J10"/>
    <mergeCell ref="H49:J49"/>
    <mergeCell ref="D12:J13"/>
    <mergeCell ref="D14:I14"/>
    <mergeCell ref="D15:J16"/>
    <mergeCell ref="D17:J18"/>
    <mergeCell ref="D19:J19"/>
    <mergeCell ref="D20:J20"/>
    <mergeCell ref="A23:H23"/>
    <mergeCell ref="D28:J28"/>
    <mergeCell ref="D29:J29"/>
    <mergeCell ref="A36:F36"/>
    <mergeCell ref="D37:J37"/>
    <mergeCell ref="D31:J31"/>
    <mergeCell ref="D32:J32"/>
    <mergeCell ref="D33:J33"/>
    <mergeCell ref="D34:J34"/>
  </mergeCells>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dimension ref="A1:K50"/>
  <sheetViews>
    <sheetView showGridLines="0" workbookViewId="0">
      <selection activeCell="A8" sqref="A8:H8"/>
    </sheetView>
  </sheetViews>
  <sheetFormatPr baseColWidth="10" defaultRowHeight="15" x14ac:dyDescent="0.25"/>
  <cols>
    <col min="1" max="1" width="1.7109375" customWidth="1"/>
    <col min="2" max="2" width="2.85546875" customWidth="1"/>
    <col min="3" max="3" width="2.140625" customWidth="1"/>
  </cols>
  <sheetData>
    <row r="1" spans="1:11" x14ac:dyDescent="0.25">
      <c r="A1" s="894"/>
      <c r="B1" s="893"/>
      <c r="C1" s="894"/>
      <c r="D1" s="894"/>
      <c r="E1" s="894"/>
      <c r="F1" s="894"/>
      <c r="G1" s="894"/>
      <c r="H1" s="894"/>
      <c r="I1" s="894"/>
      <c r="J1" s="894"/>
      <c r="K1" s="894"/>
    </row>
    <row r="2" spans="1:11" x14ac:dyDescent="0.25">
      <c r="A2" s="894"/>
      <c r="B2" s="893"/>
      <c r="C2" s="894"/>
      <c r="D2" s="894"/>
      <c r="E2" s="894"/>
      <c r="F2" s="894"/>
      <c r="G2" s="894"/>
      <c r="H2" s="894"/>
      <c r="I2" s="894"/>
      <c r="J2" s="894"/>
      <c r="K2" s="894"/>
    </row>
    <row r="3" spans="1:11" x14ac:dyDescent="0.25">
      <c r="A3" s="894"/>
      <c r="B3" s="893"/>
      <c r="C3" s="894"/>
      <c r="D3" s="894"/>
      <c r="E3" s="894"/>
      <c r="F3" s="894"/>
      <c r="G3" s="894"/>
      <c r="H3" s="894"/>
      <c r="I3" s="894"/>
      <c r="J3" s="894"/>
      <c r="K3" s="894"/>
    </row>
    <row r="4" spans="1:11" x14ac:dyDescent="0.25">
      <c r="A4" s="892"/>
      <c r="B4" s="893"/>
      <c r="C4" s="892"/>
      <c r="D4" s="892"/>
      <c r="E4" s="892"/>
      <c r="F4" s="892"/>
      <c r="G4" s="892"/>
      <c r="H4" s="892"/>
      <c r="I4" s="892"/>
      <c r="J4" s="892"/>
      <c r="K4" s="892"/>
    </row>
    <row r="5" spans="1:11" ht="15.75" x14ac:dyDescent="0.25">
      <c r="A5" s="2142" t="s">
        <v>1045</v>
      </c>
      <c r="B5" s="2142"/>
      <c r="C5" s="2142"/>
      <c r="D5" s="2142"/>
      <c r="E5" s="2142"/>
      <c r="F5" s="2142"/>
      <c r="G5" s="2142"/>
      <c r="H5" s="2142"/>
      <c r="I5" s="2142"/>
      <c r="J5" s="2142"/>
      <c r="K5" s="892"/>
    </row>
    <row r="6" spans="1:11" x14ac:dyDescent="0.25">
      <c r="A6" s="2163" t="s">
        <v>1101</v>
      </c>
      <c r="B6" s="2163"/>
      <c r="C6" s="2163"/>
      <c r="D6" s="2163"/>
      <c r="E6" s="2163"/>
      <c r="F6" s="2163"/>
      <c r="G6" s="2163"/>
      <c r="H6" s="2163"/>
      <c r="I6" s="2163"/>
      <c r="J6" s="937"/>
      <c r="K6" s="937"/>
    </row>
    <row r="7" spans="1:11" x14ac:dyDescent="0.25">
      <c r="A7" s="895"/>
      <c r="B7" s="896"/>
      <c r="C7" s="895"/>
      <c r="D7" s="951"/>
      <c r="E7" s="951"/>
      <c r="F7" s="951"/>
      <c r="G7" s="951"/>
      <c r="H7" s="951"/>
      <c r="I7" s="951"/>
      <c r="J7" s="951"/>
      <c r="K7" s="924"/>
    </row>
    <row r="8" spans="1:11" x14ac:dyDescent="0.25">
      <c r="A8" s="2144" t="s">
        <v>1046</v>
      </c>
      <c r="B8" s="2151"/>
      <c r="C8" s="2151"/>
      <c r="D8" s="2151"/>
      <c r="E8" s="2151"/>
      <c r="F8" s="2151"/>
      <c r="G8" s="2151"/>
      <c r="H8" s="2151"/>
      <c r="I8" s="924"/>
      <c r="J8" s="924"/>
      <c r="K8" s="924"/>
    </row>
    <row r="9" spans="1:11" x14ac:dyDescent="0.25">
      <c r="A9" s="898"/>
      <c r="B9" s="899"/>
      <c r="C9" s="895"/>
      <c r="D9" s="2140" t="s">
        <v>1047</v>
      </c>
      <c r="E9" s="2140"/>
      <c r="F9" s="2140"/>
      <c r="G9" s="2140"/>
      <c r="H9" s="2140"/>
      <c r="I9" s="2140"/>
      <c r="J9" s="2140"/>
      <c r="K9" s="924"/>
    </row>
    <row r="10" spans="1:11" x14ac:dyDescent="0.25">
      <c r="A10" s="925"/>
      <c r="B10" s="926"/>
      <c r="C10" s="925"/>
      <c r="D10" s="2140" t="s">
        <v>1048</v>
      </c>
      <c r="E10" s="2140"/>
      <c r="F10" s="2140"/>
      <c r="G10" s="2140"/>
      <c r="H10" s="2140"/>
      <c r="I10" s="2140"/>
      <c r="J10" s="2140"/>
      <c r="K10" s="924"/>
    </row>
    <row r="11" spans="1:11" x14ac:dyDescent="0.25">
      <c r="A11" s="925"/>
      <c r="B11" s="926"/>
      <c r="C11" s="925"/>
      <c r="D11" s="2140" t="s">
        <v>1049</v>
      </c>
      <c r="E11" s="2140"/>
      <c r="F11" s="2140"/>
      <c r="G11" s="2140"/>
      <c r="H11" s="2140"/>
      <c r="I11" s="2140"/>
      <c r="J11" s="2140"/>
      <c r="K11" s="924"/>
    </row>
    <row r="12" spans="1:11" x14ac:dyDescent="0.25">
      <c r="A12" s="925"/>
      <c r="B12" s="926"/>
      <c r="C12" s="925"/>
      <c r="D12" s="2140" t="s">
        <v>1052</v>
      </c>
      <c r="E12" s="2140"/>
      <c r="F12" s="2140"/>
      <c r="G12" s="2140"/>
      <c r="H12" s="2140"/>
      <c r="I12" s="2140"/>
      <c r="J12" s="2140"/>
      <c r="K12" s="937"/>
    </row>
    <row r="13" spans="1:11" x14ac:dyDescent="0.25">
      <c r="A13" s="925"/>
      <c r="B13" s="926"/>
      <c r="C13" s="925"/>
      <c r="D13" s="2140"/>
      <c r="E13" s="2140"/>
      <c r="F13" s="2140"/>
      <c r="G13" s="2140"/>
      <c r="H13" s="2140"/>
      <c r="I13" s="2140"/>
      <c r="J13" s="2140"/>
      <c r="K13" s="902"/>
    </row>
    <row r="14" spans="1:11" x14ac:dyDescent="0.25">
      <c r="A14" s="925"/>
      <c r="B14" s="926"/>
      <c r="C14" s="925"/>
      <c r="D14" s="2140" t="s">
        <v>1053</v>
      </c>
      <c r="E14" s="2140"/>
      <c r="F14" s="2140"/>
      <c r="G14" s="2140"/>
      <c r="H14" s="2140"/>
      <c r="I14" s="2140"/>
      <c r="J14" s="1083"/>
      <c r="K14" s="902"/>
    </row>
    <row r="15" spans="1:11" x14ac:dyDescent="0.25">
      <c r="A15" s="925"/>
      <c r="B15" s="926"/>
      <c r="C15" s="925"/>
      <c r="D15" s="2140" t="s">
        <v>1095</v>
      </c>
      <c r="E15" s="2140"/>
      <c r="F15" s="2140"/>
      <c r="G15" s="2140"/>
      <c r="H15" s="2140"/>
      <c r="I15" s="2140"/>
      <c r="J15" s="2140"/>
      <c r="K15" s="924"/>
    </row>
    <row r="16" spans="1:11" x14ac:dyDescent="0.25">
      <c r="A16" s="928"/>
      <c r="B16" s="929"/>
      <c r="C16" s="928"/>
      <c r="D16" s="2140"/>
      <c r="E16" s="2140"/>
      <c r="F16" s="2140"/>
      <c r="G16" s="2140"/>
      <c r="H16" s="2140"/>
      <c r="I16" s="2140"/>
      <c r="J16" s="2140"/>
      <c r="K16" s="912"/>
    </row>
    <row r="17" spans="1:11" x14ac:dyDescent="0.25">
      <c r="A17" s="928"/>
      <c r="B17" s="929"/>
      <c r="C17" s="928"/>
      <c r="D17" s="2140" t="s">
        <v>1055</v>
      </c>
      <c r="E17" s="2140"/>
      <c r="F17" s="2140"/>
      <c r="G17" s="2140"/>
      <c r="H17" s="2140"/>
      <c r="I17" s="2140"/>
      <c r="J17" s="2140"/>
      <c r="K17" s="907"/>
    </row>
    <row r="18" spans="1:11" x14ac:dyDescent="0.25">
      <c r="A18" s="928"/>
      <c r="B18" s="929"/>
      <c r="C18" s="928"/>
      <c r="D18" s="2140"/>
      <c r="E18" s="2140"/>
      <c r="F18" s="2140"/>
      <c r="G18" s="2140"/>
      <c r="H18" s="2140"/>
      <c r="I18" s="2140"/>
      <c r="J18" s="2140"/>
      <c r="K18" s="912"/>
    </row>
    <row r="19" spans="1:11" x14ac:dyDescent="0.25">
      <c r="A19" s="895"/>
      <c r="B19" s="896"/>
      <c r="C19" s="895"/>
      <c r="D19" s="2149" t="s">
        <v>1061</v>
      </c>
      <c r="E19" s="2149"/>
      <c r="F19" s="2149"/>
      <c r="G19" s="2149"/>
      <c r="H19" s="2149"/>
      <c r="I19" s="2149"/>
      <c r="J19" s="2149"/>
      <c r="K19" s="909"/>
    </row>
    <row r="20" spans="1:11" x14ac:dyDescent="0.25">
      <c r="A20" s="895"/>
      <c r="B20" s="896"/>
      <c r="C20" s="895"/>
      <c r="D20" s="2157" t="s">
        <v>1067</v>
      </c>
      <c r="E20" s="2157"/>
      <c r="F20" s="2157"/>
      <c r="G20" s="2157"/>
      <c r="H20" s="2157"/>
      <c r="I20" s="2157"/>
      <c r="J20" s="2157"/>
      <c r="K20" s="909"/>
    </row>
    <row r="21" spans="1:11" x14ac:dyDescent="0.25">
      <c r="A21" s="895"/>
      <c r="B21" s="896"/>
      <c r="C21" s="895"/>
      <c r="D21" s="2158" t="s">
        <v>1102</v>
      </c>
      <c r="E21" s="2157"/>
      <c r="F21" s="2157"/>
      <c r="G21" s="2157"/>
      <c r="H21" s="2157"/>
      <c r="I21" s="2157"/>
      <c r="J21" s="1084"/>
      <c r="K21" s="909"/>
    </row>
    <row r="22" spans="1:11" x14ac:dyDescent="0.25">
      <c r="A22" s="895"/>
      <c r="B22" s="896"/>
      <c r="C22" s="895"/>
      <c r="D22" s="2158" t="s">
        <v>1464</v>
      </c>
      <c r="E22" s="2158"/>
      <c r="F22" s="2158"/>
      <c r="G22" s="2158"/>
      <c r="H22" s="2158"/>
      <c r="I22" s="2158"/>
      <c r="J22" s="1084"/>
      <c r="K22" s="909"/>
    </row>
    <row r="23" spans="1:11" x14ac:dyDescent="0.25">
      <c r="A23" s="895"/>
      <c r="B23" s="896"/>
      <c r="C23" s="895"/>
      <c r="D23" s="1081"/>
      <c r="E23" s="1081"/>
      <c r="F23" s="1081"/>
      <c r="G23" s="1081"/>
      <c r="H23" s="1081"/>
      <c r="I23" s="1081"/>
      <c r="J23" s="1080"/>
      <c r="K23" s="909"/>
    </row>
    <row r="24" spans="1:11" x14ac:dyDescent="0.25">
      <c r="A24" s="2139" t="s">
        <v>1056</v>
      </c>
      <c r="B24" s="2139"/>
      <c r="C24" s="2139"/>
      <c r="D24" s="2139"/>
      <c r="E24" s="2139"/>
      <c r="F24" s="2139"/>
      <c r="G24" s="2139"/>
      <c r="H24" s="2139"/>
      <c r="I24" s="924"/>
      <c r="J24" s="924"/>
      <c r="K24" s="924"/>
    </row>
    <row r="25" spans="1:11" x14ac:dyDescent="0.25">
      <c r="A25" s="1082"/>
      <c r="B25" s="1082"/>
      <c r="C25" s="1082"/>
      <c r="D25" s="877" t="s">
        <v>1103</v>
      </c>
      <c r="E25" s="1082"/>
      <c r="F25" s="1082"/>
      <c r="G25" s="1082"/>
      <c r="H25" s="1082"/>
      <c r="I25" s="924"/>
      <c r="J25" s="924"/>
      <c r="K25" s="924"/>
    </row>
    <row r="26" spans="1:11" x14ac:dyDescent="0.25">
      <c r="A26" s="924"/>
      <c r="B26" s="931"/>
      <c r="C26" s="924"/>
      <c r="D26" s="877" t="s">
        <v>1072</v>
      </c>
      <c r="E26" s="913"/>
      <c r="F26" s="913"/>
      <c r="G26" s="914"/>
      <c r="H26" s="914"/>
      <c r="I26" s="914"/>
      <c r="J26" s="914"/>
      <c r="K26" s="924"/>
    </row>
    <row r="27" spans="1:11" x14ac:dyDescent="0.25">
      <c r="A27" s="924"/>
      <c r="B27" s="931"/>
      <c r="C27" s="924"/>
      <c r="D27" s="877" t="s">
        <v>1104</v>
      </c>
      <c r="E27" s="913"/>
      <c r="F27" s="913"/>
      <c r="G27" s="914"/>
      <c r="H27" s="914"/>
      <c r="I27" s="914"/>
      <c r="J27" s="914"/>
      <c r="K27" s="924"/>
    </row>
    <row r="28" spans="1:11" x14ac:dyDescent="0.25">
      <c r="A28" s="924"/>
      <c r="B28" s="931"/>
      <c r="C28" s="924"/>
      <c r="D28" s="877" t="s">
        <v>1074</v>
      </c>
      <c r="E28" s="913"/>
      <c r="F28" s="913"/>
      <c r="G28" s="914"/>
      <c r="H28" s="914"/>
      <c r="I28" s="914"/>
      <c r="J28" s="914"/>
      <c r="K28" s="924"/>
    </row>
    <row r="29" spans="1:11" x14ac:dyDescent="0.25">
      <c r="A29" s="925"/>
      <c r="B29" s="926"/>
      <c r="C29" s="925"/>
      <c r="D29" s="2140" t="s">
        <v>1050</v>
      </c>
      <c r="E29" s="2140"/>
      <c r="F29" s="2140"/>
      <c r="G29" s="2140"/>
      <c r="H29" s="2140"/>
      <c r="I29" s="2140"/>
      <c r="J29" s="2140"/>
      <c r="K29" s="924"/>
    </row>
    <row r="30" spans="1:11" x14ac:dyDescent="0.25">
      <c r="A30" s="925"/>
      <c r="B30" s="926"/>
      <c r="C30" s="925"/>
      <c r="D30" s="2140" t="s">
        <v>1051</v>
      </c>
      <c r="E30" s="2140"/>
      <c r="F30" s="2140"/>
      <c r="G30" s="2140"/>
      <c r="H30" s="2140"/>
      <c r="I30" s="2140"/>
      <c r="J30" s="2140"/>
      <c r="K30" s="924"/>
    </row>
    <row r="31" spans="1:11" x14ac:dyDescent="0.25">
      <c r="A31" s="925"/>
      <c r="B31" s="926"/>
      <c r="C31" s="925"/>
      <c r="D31" s="877" t="s">
        <v>1465</v>
      </c>
      <c r="E31" s="1083"/>
      <c r="F31" s="1083"/>
      <c r="G31" s="1083"/>
      <c r="H31" s="1083"/>
      <c r="I31" s="1083"/>
      <c r="J31" s="1083"/>
      <c r="K31" s="924"/>
    </row>
    <row r="32" spans="1:11" x14ac:dyDescent="0.25">
      <c r="A32" s="925"/>
      <c r="B32" s="926"/>
      <c r="C32" s="925"/>
      <c r="D32" s="877" t="s">
        <v>1466</v>
      </c>
      <c r="E32" s="1083"/>
      <c r="F32" s="1083"/>
      <c r="G32" s="1083"/>
      <c r="H32" s="1083"/>
      <c r="I32" s="1083"/>
      <c r="J32" s="1083"/>
      <c r="K32" s="924"/>
    </row>
    <row r="33" spans="1:11" x14ac:dyDescent="0.25">
      <c r="A33" s="925"/>
      <c r="B33" s="926"/>
      <c r="C33" s="925"/>
      <c r="D33" s="2152" t="s">
        <v>1105</v>
      </c>
      <c r="E33" s="2152"/>
      <c r="F33" s="2152"/>
      <c r="G33" s="2152"/>
      <c r="H33" s="2152"/>
      <c r="I33" s="2152"/>
      <c r="J33" s="2152"/>
      <c r="K33" s="941"/>
    </row>
    <row r="34" spans="1:11" x14ac:dyDescent="0.25">
      <c r="A34" s="925"/>
      <c r="B34" s="918"/>
      <c r="C34" s="924"/>
      <c r="D34" s="1255" t="s">
        <v>2205</v>
      </c>
      <c r="E34" s="924"/>
      <c r="F34" s="924"/>
      <c r="G34" s="924"/>
      <c r="H34" s="924"/>
      <c r="I34" s="924"/>
      <c r="J34" s="924"/>
      <c r="K34" s="941"/>
    </row>
    <row r="35" spans="1:11" x14ac:dyDescent="0.25">
      <c r="A35" s="925"/>
      <c r="B35" s="918"/>
      <c r="C35" s="924"/>
      <c r="D35" s="2140" t="s">
        <v>2199</v>
      </c>
      <c r="E35" s="2140"/>
      <c r="F35" s="2140"/>
      <c r="G35" s="2140"/>
      <c r="H35" s="2140"/>
      <c r="I35" s="2140"/>
      <c r="J35" s="2140"/>
      <c r="K35" s="941"/>
    </row>
    <row r="36" spans="1:11" x14ac:dyDescent="0.25">
      <c r="A36" s="925"/>
      <c r="B36" s="918"/>
      <c r="C36" s="924"/>
      <c r="D36" s="2140" t="s">
        <v>2200</v>
      </c>
      <c r="E36" s="2140"/>
      <c r="F36" s="2140"/>
      <c r="G36" s="2140"/>
      <c r="H36" s="2140"/>
      <c r="I36" s="2140"/>
      <c r="J36" s="2140"/>
      <c r="K36" s="941"/>
    </row>
    <row r="37" spans="1:11" x14ac:dyDescent="0.25">
      <c r="A37" s="925"/>
      <c r="B37" s="918"/>
      <c r="C37" s="924"/>
      <c r="D37" s="2140" t="s">
        <v>2201</v>
      </c>
      <c r="E37" s="2140"/>
      <c r="F37" s="2140"/>
      <c r="G37" s="2140"/>
      <c r="H37" s="2140"/>
      <c r="I37" s="2140"/>
      <c r="J37" s="2140"/>
      <c r="K37" s="941"/>
    </row>
    <row r="38" spans="1:11" x14ac:dyDescent="0.25">
      <c r="A38" s="925"/>
      <c r="B38" s="918"/>
      <c r="C38" s="924"/>
      <c r="D38" s="2140" t="s">
        <v>2202</v>
      </c>
      <c r="E38" s="2140"/>
      <c r="F38" s="2140"/>
      <c r="G38" s="2140"/>
      <c r="H38" s="2140"/>
      <c r="I38" s="2140"/>
      <c r="J38" s="2140"/>
      <c r="K38" s="941"/>
    </row>
    <row r="39" spans="1:11" x14ac:dyDescent="0.25">
      <c r="A39" s="925"/>
      <c r="B39" s="926"/>
      <c r="C39" s="925"/>
      <c r="D39" s="1257"/>
      <c r="E39" s="1257"/>
      <c r="F39" s="1257"/>
      <c r="G39" s="1257"/>
      <c r="H39" s="1257"/>
      <c r="I39" s="1257"/>
      <c r="J39" s="1257"/>
      <c r="K39" s="941"/>
    </row>
    <row r="40" spans="1:11" x14ac:dyDescent="0.25">
      <c r="A40" s="2147" t="s">
        <v>1063</v>
      </c>
      <c r="B40" s="2147"/>
      <c r="C40" s="2147"/>
      <c r="D40" s="2147"/>
      <c r="E40" s="2147"/>
      <c r="F40" s="2147"/>
      <c r="G40" s="924"/>
      <c r="H40" s="924"/>
      <c r="I40" s="924"/>
      <c r="J40" s="924"/>
      <c r="K40" s="924"/>
    </row>
    <row r="41" spans="1:11" x14ac:dyDescent="0.25">
      <c r="A41" s="917"/>
      <c r="B41" s="918"/>
      <c r="C41" s="924"/>
      <c r="D41" s="2140" t="s">
        <v>1076</v>
      </c>
      <c r="E41" s="2140"/>
      <c r="F41" s="2140"/>
      <c r="G41" s="2140"/>
      <c r="H41" s="2140"/>
      <c r="I41" s="2140"/>
      <c r="J41" s="2140"/>
      <c r="K41" s="924"/>
    </row>
    <row r="42" spans="1:11" x14ac:dyDescent="0.25">
      <c r="A42" s="917"/>
      <c r="B42" s="918"/>
      <c r="C42" s="924"/>
      <c r="D42" s="919" t="s">
        <v>1064</v>
      </c>
      <c r="E42" s="924"/>
      <c r="F42" s="924"/>
      <c r="G42" s="924"/>
      <c r="H42" s="924"/>
      <c r="I42" s="924"/>
      <c r="J42" s="924"/>
      <c r="K42" s="924"/>
    </row>
    <row r="43" spans="1:11" x14ac:dyDescent="0.25">
      <c r="A43" s="917"/>
      <c r="B43" s="918"/>
      <c r="C43" s="924"/>
      <c r="D43" s="919" t="s">
        <v>1086</v>
      </c>
      <c r="E43" s="924"/>
      <c r="F43" s="924"/>
      <c r="G43" s="924"/>
      <c r="H43" s="924"/>
      <c r="I43" s="924"/>
      <c r="J43" s="924"/>
      <c r="K43" s="924"/>
    </row>
    <row r="44" spans="1:11" x14ac:dyDescent="0.25">
      <c r="A44" s="917"/>
      <c r="B44" s="918"/>
      <c r="C44" s="924"/>
      <c r="D44" s="919" t="s">
        <v>1087</v>
      </c>
      <c r="E44" s="924"/>
      <c r="F44" s="924"/>
      <c r="G44" s="924"/>
      <c r="H44" s="924"/>
      <c r="I44" s="924"/>
      <c r="J44" s="924"/>
      <c r="K44" s="924"/>
    </row>
    <row r="45" spans="1:11" x14ac:dyDescent="0.25">
      <c r="A45" s="917"/>
      <c r="B45" s="918"/>
      <c r="C45" s="924"/>
      <c r="D45" s="932" t="s">
        <v>1088</v>
      </c>
      <c r="E45" s="924"/>
      <c r="F45" s="924"/>
      <c r="G45" s="924"/>
      <c r="H45" s="924"/>
      <c r="I45" s="924"/>
      <c r="J45" s="924"/>
      <c r="K45" s="924"/>
    </row>
    <row r="46" spans="1:11" x14ac:dyDescent="0.25">
      <c r="A46" s="917"/>
      <c r="B46" s="918"/>
      <c r="C46" s="924"/>
      <c r="D46" s="932"/>
      <c r="E46" s="924"/>
      <c r="F46" s="924"/>
      <c r="G46" s="924"/>
      <c r="H46" s="924"/>
      <c r="I46" s="924"/>
      <c r="J46" s="924"/>
      <c r="K46" s="924"/>
    </row>
    <row r="47" spans="1:11" x14ac:dyDescent="0.25">
      <c r="A47" s="917"/>
      <c r="B47" s="918"/>
      <c r="C47" s="924"/>
      <c r="D47" s="909"/>
      <c r="E47" s="909"/>
      <c r="F47" s="909"/>
      <c r="G47" s="909"/>
      <c r="H47" s="909"/>
      <c r="I47" s="909"/>
      <c r="J47" s="924"/>
      <c r="K47" s="924"/>
    </row>
    <row r="48" spans="1:11" x14ac:dyDescent="0.25">
      <c r="A48" s="920" t="s">
        <v>1057</v>
      </c>
      <c r="B48" s="918"/>
      <c r="C48" s="919"/>
      <c r="D48" s="919"/>
      <c r="E48" s="921" t="str">
        <f>Hoja_Cambio!H8</f>
        <v>Nombre del Ejecutivo</v>
      </c>
      <c r="F48" s="933"/>
      <c r="G48" s="924"/>
      <c r="H48" s="924"/>
      <c r="I48" s="924"/>
      <c r="J48" s="924"/>
      <c r="K48" s="924"/>
    </row>
    <row r="49" spans="1:11" x14ac:dyDescent="0.25">
      <c r="A49" s="922" t="s">
        <v>462</v>
      </c>
      <c r="B49" s="934"/>
      <c r="C49" s="933"/>
      <c r="D49" s="933"/>
      <c r="E49" s="935" t="str">
        <f>Hoja_Cambio!H10</f>
        <v>ELIJA UNA OPCIÓN</v>
      </c>
      <c r="F49" s="933"/>
      <c r="G49" s="924"/>
      <c r="H49" s="924"/>
      <c r="I49" s="924"/>
      <c r="J49" s="924"/>
      <c r="K49" s="924"/>
    </row>
    <row r="50" spans="1:11" x14ac:dyDescent="0.25">
      <c r="A50" s="922" t="s">
        <v>1058</v>
      </c>
      <c r="B50" s="931"/>
      <c r="C50" s="924"/>
      <c r="D50" s="924"/>
      <c r="E50" s="924"/>
      <c r="F50" s="924"/>
      <c r="G50" s="924"/>
      <c r="H50" s="2137" t="s">
        <v>1059</v>
      </c>
      <c r="I50" s="2137"/>
      <c r="J50" s="2137"/>
      <c r="K50" s="924"/>
    </row>
  </sheetData>
  <mergeCells count="25">
    <mergeCell ref="A40:F40"/>
    <mergeCell ref="D41:J41"/>
    <mergeCell ref="H50:J50"/>
    <mergeCell ref="D21:I21"/>
    <mergeCell ref="D22:I22"/>
    <mergeCell ref="A24:H24"/>
    <mergeCell ref="D29:J29"/>
    <mergeCell ref="D30:J30"/>
    <mergeCell ref="D33:J33"/>
    <mergeCell ref="D35:J35"/>
    <mergeCell ref="D36:J36"/>
    <mergeCell ref="D37:J37"/>
    <mergeCell ref="D38:J38"/>
    <mergeCell ref="D20:J20"/>
    <mergeCell ref="A5:J5"/>
    <mergeCell ref="A6:I6"/>
    <mergeCell ref="A8:H8"/>
    <mergeCell ref="D9:J9"/>
    <mergeCell ref="D10:J10"/>
    <mergeCell ref="D11:J11"/>
    <mergeCell ref="D12:J13"/>
    <mergeCell ref="D14:I14"/>
    <mergeCell ref="D15:J16"/>
    <mergeCell ref="D17:J18"/>
    <mergeCell ref="D19:J19"/>
  </mergeCell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dimension ref="B1:L48"/>
  <sheetViews>
    <sheetView showGridLines="0" workbookViewId="0">
      <selection activeCell="C2" sqref="C2"/>
    </sheetView>
  </sheetViews>
  <sheetFormatPr baseColWidth="10" defaultRowHeight="15" x14ac:dyDescent="0.25"/>
  <cols>
    <col min="2" max="2" width="11.140625" customWidth="1"/>
    <col min="3" max="3" width="9.85546875" customWidth="1"/>
    <col min="4" max="4" width="9.42578125" customWidth="1"/>
    <col min="5" max="5" width="3.85546875" customWidth="1"/>
    <col min="6" max="6" width="7.5703125" customWidth="1"/>
    <col min="9" max="9" width="14.42578125" customWidth="1"/>
    <col min="10" max="10" width="20.140625" customWidth="1"/>
    <col min="11" max="11" width="11.42578125" customWidth="1"/>
  </cols>
  <sheetData>
    <row r="1" spans="2:12" ht="15.75" thickBot="1" x14ac:dyDescent="0.3"/>
    <row r="2" spans="2:12" x14ac:dyDescent="0.25">
      <c r="B2" s="234"/>
      <c r="C2" s="235"/>
      <c r="D2" s="235"/>
      <c r="E2" s="235"/>
      <c r="F2" s="235"/>
      <c r="G2" s="235"/>
      <c r="H2" s="235"/>
      <c r="I2" s="235"/>
      <c r="J2" s="235"/>
      <c r="K2" s="236"/>
    </row>
    <row r="3" spans="2:12" ht="21" x14ac:dyDescent="0.35">
      <c r="B3" s="237"/>
      <c r="C3" s="149"/>
      <c r="D3" s="2164" t="s">
        <v>876</v>
      </c>
      <c r="E3" s="2164"/>
      <c r="F3" s="2164"/>
      <c r="G3" s="2164"/>
      <c r="H3" s="2164"/>
      <c r="I3" s="2164"/>
      <c r="J3" s="2164"/>
      <c r="K3" s="238"/>
    </row>
    <row r="4" spans="2:12" ht="21" x14ac:dyDescent="0.35">
      <c r="B4" s="237"/>
      <c r="C4" s="149"/>
      <c r="D4" s="149"/>
      <c r="E4" s="149"/>
      <c r="F4" s="149"/>
      <c r="G4" s="239"/>
      <c r="H4" s="239"/>
      <c r="I4" s="239"/>
      <c r="J4" s="239"/>
      <c r="K4" s="238"/>
    </row>
    <row r="5" spans="2:12" x14ac:dyDescent="0.25">
      <c r="B5" s="237"/>
      <c r="C5" s="149"/>
      <c r="D5" s="149"/>
      <c r="E5" s="149"/>
      <c r="F5" s="149"/>
      <c r="G5" s="149"/>
      <c r="H5" s="149"/>
      <c r="I5" s="149"/>
      <c r="J5" s="149"/>
      <c r="K5" s="240"/>
    </row>
    <row r="6" spans="2:12" x14ac:dyDescent="0.25">
      <c r="B6" s="237"/>
      <c r="C6" s="241" t="s">
        <v>877</v>
      </c>
      <c r="D6" s="241"/>
      <c r="E6" s="149" t="s">
        <v>878</v>
      </c>
      <c r="F6" s="241"/>
      <c r="G6" s="241"/>
      <c r="H6" s="241"/>
      <c r="I6" s="241" t="s">
        <v>443</v>
      </c>
      <c r="J6" s="149" t="s">
        <v>879</v>
      </c>
      <c r="K6" s="240"/>
    </row>
    <row r="7" spans="2:12" x14ac:dyDescent="0.25">
      <c r="B7" s="237"/>
      <c r="C7" s="149"/>
      <c r="D7" s="149"/>
      <c r="E7" s="149"/>
      <c r="F7" s="149"/>
      <c r="G7" s="149"/>
      <c r="H7" s="149"/>
      <c r="I7" s="149"/>
      <c r="J7" s="149"/>
      <c r="K7" s="240"/>
    </row>
    <row r="8" spans="2:12" x14ac:dyDescent="0.25">
      <c r="B8" s="237"/>
      <c r="C8" s="149"/>
      <c r="D8" s="149"/>
      <c r="E8" s="149"/>
      <c r="F8" s="149"/>
      <c r="G8" s="149"/>
      <c r="H8" s="149"/>
      <c r="I8" s="149"/>
      <c r="J8" s="149"/>
      <c r="K8" s="240"/>
    </row>
    <row r="9" spans="2:12" x14ac:dyDescent="0.25">
      <c r="B9" s="237"/>
      <c r="C9" s="149"/>
      <c r="D9" s="149"/>
      <c r="E9" s="149"/>
      <c r="F9" s="149"/>
      <c r="G9" s="149"/>
      <c r="H9" s="149"/>
      <c r="I9" s="149"/>
      <c r="J9" s="149"/>
      <c r="K9" s="240"/>
    </row>
    <row r="10" spans="2:12" x14ac:dyDescent="0.25">
      <c r="B10" s="242"/>
      <c r="C10" s="241" t="s">
        <v>880</v>
      </c>
      <c r="D10" s="241"/>
      <c r="E10" s="149" t="s">
        <v>881</v>
      </c>
      <c r="F10" s="149"/>
      <c r="G10" s="149"/>
      <c r="H10" s="149"/>
      <c r="I10" s="149"/>
      <c r="J10" s="149"/>
      <c r="K10" s="240"/>
    </row>
    <row r="11" spans="2:12" x14ac:dyDescent="0.25">
      <c r="B11" s="242"/>
      <c r="C11" s="241" t="s">
        <v>64</v>
      </c>
      <c r="D11" s="241"/>
      <c r="E11" s="149" t="s">
        <v>881</v>
      </c>
      <c r="F11" s="149"/>
      <c r="G11" s="149"/>
      <c r="H11" s="149"/>
      <c r="I11" s="149"/>
      <c r="J11" s="149"/>
      <c r="K11" s="240"/>
    </row>
    <row r="12" spans="2:12" ht="15.75" x14ac:dyDescent="0.25">
      <c r="B12" s="237"/>
      <c r="C12" s="243" t="s">
        <v>882</v>
      </c>
      <c r="D12" s="241"/>
      <c r="E12" s="149" t="s">
        <v>881</v>
      </c>
      <c r="F12" s="149"/>
      <c r="G12" s="149"/>
      <c r="H12" s="149"/>
      <c r="I12" s="149"/>
      <c r="J12" s="149"/>
      <c r="K12" s="240"/>
    </row>
    <row r="13" spans="2:12" x14ac:dyDescent="0.25">
      <c r="B13" s="237"/>
      <c r="C13" s="241"/>
      <c r="D13" s="241"/>
      <c r="E13" s="149"/>
      <c r="F13" s="149"/>
      <c r="G13" s="149"/>
      <c r="H13" s="149"/>
      <c r="I13" s="149"/>
      <c r="J13" s="149"/>
      <c r="K13" s="240"/>
    </row>
    <row r="14" spans="2:12" x14ac:dyDescent="0.25">
      <c r="B14" s="237"/>
      <c r="C14" s="241" t="s">
        <v>883</v>
      </c>
      <c r="D14" s="241"/>
      <c r="E14" s="149"/>
      <c r="F14" s="149" t="s">
        <v>884</v>
      </c>
      <c r="G14" s="149"/>
      <c r="H14" s="149"/>
      <c r="I14" s="149"/>
      <c r="J14" s="149"/>
      <c r="K14" s="240"/>
    </row>
    <row r="15" spans="2:12" x14ac:dyDescent="0.25">
      <c r="B15" s="237"/>
      <c r="C15" s="244" t="s">
        <v>885</v>
      </c>
      <c r="D15" s="241"/>
      <c r="E15" s="149"/>
      <c r="F15" s="149" t="s">
        <v>886</v>
      </c>
      <c r="G15" s="245"/>
      <c r="H15" s="149"/>
      <c r="I15" s="246"/>
      <c r="J15" s="246"/>
      <c r="K15" s="247"/>
      <c r="L15" s="48"/>
    </row>
    <row r="16" spans="2:12" x14ac:dyDescent="0.25">
      <c r="B16" s="237"/>
      <c r="C16" s="244"/>
      <c r="D16" s="241"/>
      <c r="E16" s="149"/>
      <c r="F16" s="149"/>
      <c r="G16" s="245"/>
      <c r="H16" s="149"/>
      <c r="I16" s="246"/>
      <c r="J16" s="246"/>
      <c r="K16" s="247"/>
      <c r="L16" s="48"/>
    </row>
    <row r="17" spans="2:12" x14ac:dyDescent="0.25">
      <c r="B17" s="237"/>
      <c r="C17" s="244" t="s">
        <v>887</v>
      </c>
      <c r="D17" s="241"/>
      <c r="E17" s="149" t="s">
        <v>888</v>
      </c>
      <c r="F17" s="149"/>
      <c r="G17" s="245"/>
      <c r="H17" s="149"/>
      <c r="I17" s="246"/>
      <c r="J17" s="246"/>
      <c r="K17" s="247"/>
      <c r="L17" s="48"/>
    </row>
    <row r="18" spans="2:12" x14ac:dyDescent="0.25">
      <c r="B18" s="237"/>
      <c r="C18" s="244" t="s">
        <v>889</v>
      </c>
      <c r="D18" s="241"/>
      <c r="E18" s="149" t="s">
        <v>888</v>
      </c>
      <c r="F18" s="149"/>
      <c r="G18" s="245"/>
      <c r="H18" s="149"/>
      <c r="I18" s="246"/>
      <c r="J18" s="246"/>
      <c r="K18" s="247"/>
      <c r="L18" s="48"/>
    </row>
    <row r="19" spans="2:12" x14ac:dyDescent="0.25">
      <c r="B19" s="237"/>
      <c r="C19" s="244" t="s">
        <v>52</v>
      </c>
      <c r="D19" s="241"/>
      <c r="E19" s="149" t="s">
        <v>890</v>
      </c>
      <c r="F19" s="149"/>
      <c r="G19" s="245"/>
      <c r="H19" s="149"/>
      <c r="I19" s="246"/>
      <c r="J19" s="246"/>
      <c r="K19" s="247"/>
      <c r="L19" s="48"/>
    </row>
    <row r="20" spans="2:12" x14ac:dyDescent="0.25">
      <c r="B20" s="237"/>
      <c r="C20" s="244" t="s">
        <v>891</v>
      </c>
      <c r="D20" s="241"/>
      <c r="E20" s="149"/>
      <c r="F20" s="149" t="s">
        <v>892</v>
      </c>
      <c r="G20" s="245"/>
      <c r="H20" s="149"/>
      <c r="I20" s="246"/>
      <c r="J20" s="246"/>
      <c r="K20" s="247"/>
      <c r="L20" s="48"/>
    </row>
    <row r="21" spans="2:12" x14ac:dyDescent="0.25">
      <c r="B21" s="237"/>
      <c r="C21" s="244"/>
      <c r="D21" s="241"/>
      <c r="E21" s="149"/>
      <c r="F21" s="149"/>
      <c r="G21" s="245"/>
      <c r="H21" s="149"/>
      <c r="I21" s="246"/>
      <c r="J21" s="246"/>
      <c r="K21" s="247"/>
      <c r="L21" s="48"/>
    </row>
    <row r="22" spans="2:12" x14ac:dyDescent="0.25">
      <c r="B22" s="237"/>
      <c r="C22" s="241"/>
      <c r="D22" s="241"/>
      <c r="E22" s="149"/>
      <c r="F22" s="149"/>
      <c r="G22" s="149"/>
      <c r="H22" s="149"/>
      <c r="I22" s="149"/>
      <c r="J22" s="149"/>
      <c r="K22" s="240"/>
    </row>
    <row r="23" spans="2:12" x14ac:dyDescent="0.25">
      <c r="B23" s="237"/>
      <c r="C23" s="241" t="s">
        <v>893</v>
      </c>
      <c r="D23" s="241"/>
      <c r="E23" s="149" t="s">
        <v>894</v>
      </c>
      <c r="F23" s="149"/>
      <c r="G23" s="149"/>
      <c r="H23" s="149"/>
      <c r="I23" s="149"/>
      <c r="J23" s="149"/>
      <c r="K23" s="240"/>
    </row>
    <row r="24" spans="2:12" x14ac:dyDescent="0.25">
      <c r="B24" s="237"/>
      <c r="C24" s="241"/>
      <c r="D24" s="241"/>
      <c r="E24" s="149" t="s">
        <v>894</v>
      </c>
      <c r="F24" s="149"/>
      <c r="G24" s="149"/>
      <c r="H24" s="149"/>
      <c r="I24" s="149"/>
      <c r="J24" s="149"/>
      <c r="K24" s="240"/>
    </row>
    <row r="25" spans="2:12" x14ac:dyDescent="0.25">
      <c r="B25" s="237"/>
      <c r="C25" s="241" t="s">
        <v>895</v>
      </c>
      <c r="D25" s="241"/>
      <c r="E25" s="149" t="s">
        <v>894</v>
      </c>
      <c r="F25" s="149"/>
      <c r="G25" s="149"/>
      <c r="H25" s="149"/>
      <c r="I25" s="149"/>
      <c r="J25" s="149"/>
      <c r="K25" s="240"/>
    </row>
    <row r="26" spans="2:12" x14ac:dyDescent="0.25">
      <c r="B26" s="237"/>
      <c r="C26" s="149"/>
      <c r="D26" s="149"/>
      <c r="E26" s="149"/>
      <c r="F26" s="149"/>
      <c r="G26" s="149"/>
      <c r="H26" s="149"/>
      <c r="I26" s="149"/>
      <c r="J26" s="149"/>
      <c r="K26" s="240"/>
    </row>
    <row r="27" spans="2:12" ht="21" x14ac:dyDescent="0.35">
      <c r="B27" s="237"/>
      <c r="C27" s="149"/>
      <c r="D27" s="149"/>
      <c r="E27" s="239"/>
      <c r="F27" s="2165" t="s">
        <v>896</v>
      </c>
      <c r="G27" s="2165"/>
      <c r="H27" s="2165"/>
      <c r="I27" s="2165"/>
      <c r="J27" s="149"/>
      <c r="K27" s="240"/>
    </row>
    <row r="28" spans="2:12" ht="21" x14ac:dyDescent="0.35">
      <c r="B28" s="237"/>
      <c r="C28" s="149"/>
      <c r="D28" s="149"/>
      <c r="E28" s="239"/>
      <c r="F28" s="248"/>
      <c r="G28" s="149"/>
      <c r="H28" s="149"/>
      <c r="I28" s="149"/>
      <c r="J28" s="149"/>
      <c r="K28" s="240"/>
    </row>
    <row r="29" spans="2:12" x14ac:dyDescent="0.25">
      <c r="B29" s="237"/>
      <c r="C29" s="241" t="s">
        <v>897</v>
      </c>
      <c r="D29" s="149"/>
      <c r="E29" s="149"/>
      <c r="G29" s="241"/>
      <c r="H29" s="241"/>
      <c r="I29" s="249" t="s">
        <v>898</v>
      </c>
      <c r="K29" s="240"/>
    </row>
    <row r="30" spans="2:12" x14ac:dyDescent="0.25">
      <c r="B30" s="237"/>
      <c r="C30" s="149"/>
      <c r="D30" s="149"/>
      <c r="E30" s="149"/>
      <c r="F30" s="149"/>
      <c r="G30" s="149"/>
      <c r="H30" s="149"/>
      <c r="I30" s="149"/>
      <c r="J30" s="149"/>
      <c r="K30" s="240"/>
    </row>
    <row r="31" spans="2:12" x14ac:dyDescent="0.25">
      <c r="B31" s="237"/>
      <c r="C31" s="250" t="s">
        <v>899</v>
      </c>
      <c r="D31" s="250"/>
      <c r="E31" s="250"/>
      <c r="F31" s="250"/>
      <c r="G31" s="250"/>
      <c r="H31" s="250"/>
      <c r="I31" s="250"/>
      <c r="J31" s="250"/>
      <c r="K31" s="251"/>
    </row>
    <row r="32" spans="2:12" x14ac:dyDescent="0.25">
      <c r="B32" s="237"/>
      <c r="C32" s="250" t="s">
        <v>900</v>
      </c>
      <c r="D32" s="250"/>
      <c r="E32" s="250"/>
      <c r="F32" s="250"/>
      <c r="G32" s="250"/>
      <c r="H32" s="250"/>
      <c r="I32" s="250"/>
      <c r="J32" s="250"/>
      <c r="K32" s="251"/>
    </row>
    <row r="33" spans="2:11" x14ac:dyDescent="0.25">
      <c r="B33" s="237"/>
      <c r="C33" s="250" t="s">
        <v>672</v>
      </c>
      <c r="D33" s="250"/>
      <c r="E33" s="250"/>
      <c r="F33" s="250"/>
      <c r="G33" s="250"/>
      <c r="H33" s="250"/>
      <c r="I33" s="250"/>
      <c r="J33" s="250"/>
      <c r="K33" s="251"/>
    </row>
    <row r="34" spans="2:11" x14ac:dyDescent="0.25">
      <c r="B34" s="237"/>
      <c r="C34" s="252" t="s">
        <v>901</v>
      </c>
      <c r="D34" s="250"/>
      <c r="E34" s="250"/>
      <c r="F34" s="250"/>
      <c r="G34" s="250"/>
      <c r="H34" s="250"/>
      <c r="I34" s="250"/>
      <c r="J34" s="250"/>
      <c r="K34" s="251"/>
    </row>
    <row r="35" spans="2:11" x14ac:dyDescent="0.25">
      <c r="B35" s="237"/>
      <c r="C35" s="252" t="s">
        <v>673</v>
      </c>
      <c r="D35" s="250"/>
      <c r="E35" s="250"/>
      <c r="F35" s="250"/>
      <c r="G35" s="250"/>
      <c r="H35" s="250"/>
      <c r="I35" s="250"/>
      <c r="J35" s="250"/>
      <c r="K35" s="251"/>
    </row>
    <row r="36" spans="2:11" x14ac:dyDescent="0.25">
      <c r="B36" s="237"/>
      <c r="C36" s="252" t="s">
        <v>902</v>
      </c>
      <c r="D36" s="250"/>
      <c r="E36" s="250"/>
      <c r="F36" s="250"/>
      <c r="G36" s="250"/>
      <c r="H36" s="250"/>
      <c r="I36" s="250"/>
      <c r="J36" s="250"/>
      <c r="K36" s="251"/>
    </row>
    <row r="37" spans="2:11" x14ac:dyDescent="0.25">
      <c r="B37" s="237"/>
      <c r="C37" s="252" t="s">
        <v>903</v>
      </c>
      <c r="D37" s="250"/>
      <c r="E37" s="250"/>
      <c r="F37" s="250"/>
      <c r="G37" s="250"/>
      <c r="H37" s="250"/>
      <c r="I37" s="250"/>
      <c r="J37" s="250"/>
      <c r="K37" s="251"/>
    </row>
    <row r="38" spans="2:11" x14ac:dyDescent="0.25">
      <c r="B38" s="237"/>
      <c r="C38" s="252" t="s">
        <v>904</v>
      </c>
      <c r="D38" s="250"/>
      <c r="E38" s="250"/>
      <c r="F38" s="250"/>
      <c r="G38" s="250"/>
      <c r="H38" s="250"/>
      <c r="I38" s="250"/>
      <c r="J38" s="250"/>
      <c r="K38" s="251"/>
    </row>
    <row r="39" spans="2:11" x14ac:dyDescent="0.25">
      <c r="B39" s="237"/>
      <c r="C39" s="252" t="s">
        <v>905</v>
      </c>
      <c r="D39" s="250"/>
      <c r="E39" s="250"/>
      <c r="F39" s="250"/>
      <c r="G39" s="250"/>
      <c r="H39" s="250"/>
      <c r="I39" s="250"/>
      <c r="J39" s="250"/>
      <c r="K39" s="251"/>
    </row>
    <row r="40" spans="2:11" x14ac:dyDescent="0.25">
      <c r="B40" s="237"/>
      <c r="C40" s="252" t="s">
        <v>906</v>
      </c>
      <c r="D40" s="252"/>
      <c r="E40" s="252"/>
      <c r="F40" s="252"/>
      <c r="G40" s="252"/>
      <c r="H40" s="252"/>
      <c r="I40" s="252"/>
      <c r="J40" s="252"/>
      <c r="K40" s="240"/>
    </row>
    <row r="41" spans="2:11" x14ac:dyDescent="0.25">
      <c r="B41" s="237"/>
      <c r="C41" s="252" t="s">
        <v>907</v>
      </c>
      <c r="D41" s="252"/>
      <c r="E41" s="252"/>
      <c r="F41" s="252"/>
      <c r="G41" s="252"/>
      <c r="H41" s="252"/>
      <c r="I41" s="252"/>
      <c r="J41" s="252"/>
      <c r="K41" s="253"/>
    </row>
    <row r="42" spans="2:11" x14ac:dyDescent="0.25">
      <c r="B42" s="237"/>
      <c r="C42" s="252" t="s">
        <v>908</v>
      </c>
      <c r="D42" s="252"/>
      <c r="E42" s="252"/>
      <c r="F42" s="252"/>
      <c r="G42" s="252"/>
      <c r="H42" s="252"/>
      <c r="I42" s="252"/>
      <c r="J42" s="252"/>
      <c r="K42" s="253"/>
    </row>
    <row r="43" spans="2:11" x14ac:dyDescent="0.25">
      <c r="B43" s="237"/>
      <c r="C43" s="252" t="s">
        <v>909</v>
      </c>
      <c r="D43" s="252"/>
      <c r="E43" s="252"/>
      <c r="F43" s="252"/>
      <c r="G43" s="252"/>
      <c r="H43" s="252"/>
      <c r="I43" s="252"/>
      <c r="J43" s="252"/>
      <c r="K43" s="253"/>
    </row>
    <row r="44" spans="2:11" x14ac:dyDescent="0.25">
      <c r="B44" s="237"/>
      <c r="C44" s="153"/>
      <c r="D44" s="149"/>
      <c r="E44" s="149"/>
      <c r="F44" s="149"/>
      <c r="G44" s="149"/>
      <c r="H44" s="149"/>
      <c r="I44" s="149"/>
      <c r="J44" s="149"/>
      <c r="K44" s="240"/>
    </row>
    <row r="45" spans="2:11" x14ac:dyDescent="0.25">
      <c r="B45" s="237"/>
      <c r="C45" s="254" t="s">
        <v>910</v>
      </c>
      <c r="D45" s="241"/>
      <c r="E45" s="241"/>
      <c r="F45" s="241" t="s">
        <v>911</v>
      </c>
      <c r="G45" s="149"/>
      <c r="H45" s="149"/>
      <c r="I45" s="149"/>
      <c r="J45" s="149"/>
      <c r="K45" s="240"/>
    </row>
    <row r="46" spans="2:11" x14ac:dyDescent="0.25">
      <c r="B46" s="237"/>
      <c r="C46" s="254" t="s">
        <v>912</v>
      </c>
      <c r="D46" s="241"/>
      <c r="E46" s="241"/>
      <c r="F46" s="241"/>
      <c r="G46" s="149" t="s">
        <v>881</v>
      </c>
      <c r="H46" s="149"/>
      <c r="I46" s="149"/>
      <c r="J46" s="149"/>
      <c r="K46" s="240"/>
    </row>
    <row r="47" spans="2:11" x14ac:dyDescent="0.25">
      <c r="B47" s="237"/>
      <c r="C47" s="153"/>
      <c r="D47" s="149"/>
      <c r="E47" s="149"/>
      <c r="F47" s="149"/>
      <c r="G47" s="149"/>
      <c r="H47" s="149"/>
      <c r="I47" s="149"/>
      <c r="J47" s="149"/>
      <c r="K47" s="240"/>
    </row>
    <row r="48" spans="2:11" ht="15.75" thickBot="1" x14ac:dyDescent="0.3">
      <c r="B48" s="255"/>
      <c r="C48" s="256"/>
      <c r="D48" s="256"/>
      <c r="E48" s="256"/>
      <c r="F48" s="256"/>
      <c r="G48" s="256"/>
      <c r="H48" s="256"/>
      <c r="I48" s="256"/>
      <c r="J48" s="256"/>
      <c r="K48" s="257"/>
    </row>
  </sheetData>
  <mergeCells count="2">
    <mergeCell ref="D3:J3"/>
    <mergeCell ref="F27:I27"/>
  </mergeCells>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0"/>
  <dimension ref="A1:K50"/>
  <sheetViews>
    <sheetView showGridLines="0" workbookViewId="0">
      <selection activeCell="A6" sqref="A6:H6"/>
    </sheetView>
  </sheetViews>
  <sheetFormatPr baseColWidth="10" defaultRowHeight="15" x14ac:dyDescent="0.25"/>
  <cols>
    <col min="1" max="1" width="2.140625" customWidth="1"/>
    <col min="2" max="2" width="4.28515625" customWidth="1"/>
    <col min="3" max="3" width="1.85546875" customWidth="1"/>
  </cols>
  <sheetData>
    <row r="1" spans="1:11" x14ac:dyDescent="0.25">
      <c r="A1" s="894"/>
      <c r="B1" s="893"/>
      <c r="C1" s="894"/>
      <c r="D1" s="894"/>
      <c r="E1" s="894"/>
      <c r="F1" s="894"/>
      <c r="G1" s="894"/>
      <c r="H1" s="894"/>
      <c r="I1" s="894"/>
      <c r="J1" s="894"/>
      <c r="K1" s="894"/>
    </row>
    <row r="2" spans="1:11" x14ac:dyDescent="0.25">
      <c r="A2" s="894"/>
      <c r="B2" s="893"/>
      <c r="C2" s="894"/>
      <c r="D2" s="894"/>
      <c r="E2" s="894"/>
      <c r="F2" s="894"/>
      <c r="G2" s="894"/>
      <c r="H2" s="894"/>
      <c r="I2" s="894"/>
      <c r="J2" s="894"/>
      <c r="K2" s="894"/>
    </row>
    <row r="3" spans="1:11" x14ac:dyDescent="0.25">
      <c r="A3" s="892"/>
      <c r="B3" s="893"/>
      <c r="C3" s="892"/>
      <c r="D3" s="892"/>
      <c r="E3" s="892"/>
      <c r="F3" s="892"/>
      <c r="G3" s="892"/>
      <c r="H3" s="892"/>
      <c r="I3" s="892"/>
      <c r="J3" s="892"/>
      <c r="K3" s="892"/>
    </row>
    <row r="4" spans="1:11" ht="15.75" x14ac:dyDescent="0.25">
      <c r="A4" s="2142" t="s">
        <v>1045</v>
      </c>
      <c r="B4" s="2142"/>
      <c r="C4" s="2142"/>
      <c r="D4" s="2142"/>
      <c r="E4" s="2142"/>
      <c r="F4" s="2142"/>
      <c r="G4" s="2142"/>
      <c r="H4" s="2142"/>
      <c r="I4" s="2142"/>
      <c r="J4" s="2142"/>
      <c r="K4" s="892"/>
    </row>
    <row r="5" spans="1:11" x14ac:dyDescent="0.25">
      <c r="A5" s="895"/>
      <c r="B5" s="896"/>
      <c r="C5" s="895"/>
      <c r="D5" s="951"/>
      <c r="E5" s="951"/>
      <c r="F5" s="951"/>
      <c r="G5" s="951"/>
      <c r="H5" s="951"/>
      <c r="I5" s="951"/>
      <c r="J5" s="951"/>
      <c r="K5" s="924"/>
    </row>
    <row r="6" spans="1:11" x14ac:dyDescent="0.25">
      <c r="A6" s="2144" t="s">
        <v>1046</v>
      </c>
      <c r="B6" s="2151"/>
      <c r="C6" s="2151"/>
      <c r="D6" s="2151"/>
      <c r="E6" s="2151"/>
      <c r="F6" s="2151"/>
      <c r="G6" s="2151"/>
      <c r="H6" s="2151"/>
      <c r="I6" s="924"/>
      <c r="J6" s="924"/>
      <c r="K6" s="924"/>
    </row>
    <row r="7" spans="1:11" x14ac:dyDescent="0.25">
      <c r="A7" s="898"/>
      <c r="B7" s="899"/>
      <c r="C7" s="895"/>
      <c r="D7" s="2140" t="s">
        <v>1047</v>
      </c>
      <c r="E7" s="2140"/>
      <c r="F7" s="2140"/>
      <c r="G7" s="2140"/>
      <c r="H7" s="2140"/>
      <c r="I7" s="2140"/>
      <c r="J7" s="2140"/>
      <c r="K7" s="924"/>
    </row>
    <row r="8" spans="1:11" x14ac:dyDescent="0.25">
      <c r="A8" s="925"/>
      <c r="B8" s="926"/>
      <c r="C8" s="925"/>
      <c r="D8" s="2140" t="s">
        <v>1048</v>
      </c>
      <c r="E8" s="2140"/>
      <c r="F8" s="2140"/>
      <c r="G8" s="2140"/>
      <c r="H8" s="2140"/>
      <c r="I8" s="2140"/>
      <c r="J8" s="2140"/>
      <c r="K8" s="924"/>
    </row>
    <row r="9" spans="1:11" x14ac:dyDescent="0.25">
      <c r="A9" s="925"/>
      <c r="B9" s="926"/>
      <c r="C9" s="925"/>
      <c r="D9" s="2140" t="s">
        <v>1049</v>
      </c>
      <c r="E9" s="2140"/>
      <c r="F9" s="2140"/>
      <c r="G9" s="2140"/>
      <c r="H9" s="2140"/>
      <c r="I9" s="2140"/>
      <c r="J9" s="2140"/>
      <c r="K9" s="924"/>
    </row>
    <row r="10" spans="1:11" x14ac:dyDescent="0.25">
      <c r="A10" s="925"/>
      <c r="B10" s="926"/>
      <c r="C10" s="925"/>
      <c r="D10" s="2140" t="s">
        <v>1052</v>
      </c>
      <c r="E10" s="2140"/>
      <c r="F10" s="2140"/>
      <c r="G10" s="2140"/>
      <c r="H10" s="2140"/>
      <c r="I10" s="2140"/>
      <c r="J10" s="2140"/>
      <c r="K10" s="937"/>
    </row>
    <row r="11" spans="1:11" x14ac:dyDescent="0.25">
      <c r="A11" s="925"/>
      <c r="B11" s="926"/>
      <c r="C11" s="925"/>
      <c r="D11" s="2140"/>
      <c r="E11" s="2140"/>
      <c r="F11" s="2140"/>
      <c r="G11" s="2140"/>
      <c r="H11" s="2140"/>
      <c r="I11" s="2140"/>
      <c r="J11" s="2140"/>
      <c r="K11" s="902"/>
    </row>
    <row r="12" spans="1:11" x14ac:dyDescent="0.25">
      <c r="A12" s="925"/>
      <c r="B12" s="926"/>
      <c r="C12" s="925"/>
      <c r="D12" s="2140" t="s">
        <v>1053</v>
      </c>
      <c r="E12" s="2140"/>
      <c r="F12" s="2140"/>
      <c r="G12" s="2140"/>
      <c r="H12" s="2140"/>
      <c r="I12" s="2140"/>
      <c r="J12" s="927"/>
      <c r="K12" s="902"/>
    </row>
    <row r="13" spans="1:11" x14ac:dyDescent="0.25">
      <c r="A13" s="925"/>
      <c r="B13" s="926"/>
      <c r="C13" s="925"/>
      <c r="D13" s="2140" t="s">
        <v>1095</v>
      </c>
      <c r="E13" s="2140"/>
      <c r="F13" s="2140"/>
      <c r="G13" s="2140"/>
      <c r="H13" s="2140"/>
      <c r="I13" s="2140"/>
      <c r="J13" s="2140"/>
      <c r="K13" s="924"/>
    </row>
    <row r="14" spans="1:11" x14ac:dyDescent="0.25">
      <c r="A14" s="928"/>
      <c r="B14" s="929"/>
      <c r="C14" s="928"/>
      <c r="D14" s="2140"/>
      <c r="E14" s="2140"/>
      <c r="F14" s="2140"/>
      <c r="G14" s="2140"/>
      <c r="H14" s="2140"/>
      <c r="I14" s="2140"/>
      <c r="J14" s="2140"/>
      <c r="K14" s="912"/>
    </row>
    <row r="15" spans="1:11" x14ac:dyDescent="0.25">
      <c r="A15" s="928"/>
      <c r="B15" s="929"/>
      <c r="C15" s="928"/>
      <c r="D15" s="2140" t="s">
        <v>1055</v>
      </c>
      <c r="E15" s="2140"/>
      <c r="F15" s="2140"/>
      <c r="G15" s="2140"/>
      <c r="H15" s="2140"/>
      <c r="I15" s="2140"/>
      <c r="J15" s="2140"/>
      <c r="K15" s="907"/>
    </row>
    <row r="16" spans="1:11" x14ac:dyDescent="0.25">
      <c r="A16" s="928"/>
      <c r="B16" s="929"/>
      <c r="C16" s="928"/>
      <c r="D16" s="2140"/>
      <c r="E16" s="2140"/>
      <c r="F16" s="2140"/>
      <c r="G16" s="2140"/>
      <c r="H16" s="2140"/>
      <c r="I16" s="2140"/>
      <c r="J16" s="2140"/>
      <c r="K16" s="912"/>
    </row>
    <row r="17" spans="1:11" x14ac:dyDescent="0.25">
      <c r="A17" s="895"/>
      <c r="B17" s="896"/>
      <c r="C17" s="895"/>
      <c r="D17" s="2166" t="s">
        <v>1061</v>
      </c>
      <c r="E17" s="2166"/>
      <c r="F17" s="2166"/>
      <c r="G17" s="2166"/>
      <c r="H17" s="2166"/>
      <c r="I17" s="2166"/>
      <c r="J17" s="2166"/>
      <c r="K17" s="909"/>
    </row>
    <row r="18" spans="1:11" x14ac:dyDescent="0.25">
      <c r="A18" s="895"/>
      <c r="B18" s="896"/>
      <c r="C18" s="895"/>
      <c r="D18" s="2166" t="s">
        <v>1067</v>
      </c>
      <c r="E18" s="2166"/>
      <c r="F18" s="2166"/>
      <c r="G18" s="2166"/>
      <c r="H18" s="2166"/>
      <c r="I18" s="2166"/>
      <c r="J18" s="2166"/>
      <c r="K18" s="909"/>
    </row>
    <row r="19" spans="1:11" x14ac:dyDescent="0.25">
      <c r="A19" s="895"/>
      <c r="B19" s="896"/>
      <c r="C19" s="895"/>
      <c r="D19" s="2166" t="s">
        <v>1106</v>
      </c>
      <c r="E19" s="2166"/>
      <c r="F19" s="2166"/>
      <c r="G19" s="2166"/>
      <c r="H19" s="2166"/>
      <c r="I19" s="2166"/>
      <c r="J19" s="952"/>
      <c r="K19" s="909"/>
    </row>
    <row r="20" spans="1:11" x14ac:dyDescent="0.25">
      <c r="A20" s="895"/>
      <c r="B20" s="896"/>
      <c r="C20" s="895"/>
      <c r="D20" s="2166" t="s">
        <v>1107</v>
      </c>
      <c r="E20" s="2166"/>
      <c r="F20" s="2166"/>
      <c r="G20" s="2166"/>
      <c r="H20" s="2166"/>
      <c r="I20" s="2166"/>
      <c r="J20" s="952"/>
      <c r="K20" s="909"/>
    </row>
    <row r="21" spans="1:11" x14ac:dyDescent="0.25">
      <c r="A21" s="895"/>
      <c r="B21" s="896"/>
      <c r="C21" s="895"/>
      <c r="D21" s="930"/>
      <c r="E21" s="930"/>
      <c r="F21" s="930"/>
      <c r="G21" s="930"/>
      <c r="H21" s="930"/>
      <c r="I21" s="930"/>
      <c r="J21" s="908"/>
      <c r="K21" s="909"/>
    </row>
    <row r="22" spans="1:11" x14ac:dyDescent="0.25">
      <c r="A22" s="2139" t="s">
        <v>1056</v>
      </c>
      <c r="B22" s="2139"/>
      <c r="C22" s="2139"/>
      <c r="D22" s="2139"/>
      <c r="E22" s="2139"/>
      <c r="F22" s="2139"/>
      <c r="G22" s="2139"/>
      <c r="H22" s="2139"/>
      <c r="I22" s="924"/>
      <c r="J22" s="924"/>
      <c r="K22" s="924"/>
    </row>
    <row r="23" spans="1:11" x14ac:dyDescent="0.25">
      <c r="A23" s="910"/>
      <c r="B23" s="910"/>
      <c r="C23" s="910"/>
      <c r="D23" s="932" t="s">
        <v>1108</v>
      </c>
      <c r="E23" s="932"/>
      <c r="F23" s="932"/>
      <c r="G23" s="910"/>
      <c r="H23" s="910"/>
      <c r="I23" s="924"/>
      <c r="J23" s="924"/>
      <c r="K23" s="924"/>
    </row>
    <row r="24" spans="1:11" x14ac:dyDescent="0.25">
      <c r="A24" s="910"/>
      <c r="B24" s="910"/>
      <c r="C24" s="910"/>
      <c r="D24" s="932" t="s">
        <v>1109</v>
      </c>
      <c r="E24" s="932"/>
      <c r="F24" s="932"/>
      <c r="G24" s="910"/>
      <c r="H24" s="910"/>
      <c r="I24" s="924"/>
      <c r="J24" s="924"/>
      <c r="K24" s="924"/>
    </row>
    <row r="25" spans="1:11" x14ac:dyDescent="0.25">
      <c r="A25" s="910"/>
      <c r="B25" s="910"/>
      <c r="C25" s="910"/>
      <c r="D25" s="932" t="s">
        <v>672</v>
      </c>
      <c r="E25" s="932"/>
      <c r="F25" s="932"/>
      <c r="G25" s="910"/>
      <c r="H25" s="910"/>
      <c r="I25" s="924"/>
      <c r="J25" s="924"/>
      <c r="K25" s="924"/>
    </row>
    <row r="26" spans="1:11" x14ac:dyDescent="0.25">
      <c r="A26" s="910"/>
      <c r="B26" s="910"/>
      <c r="C26" s="910"/>
      <c r="D26" s="932" t="s">
        <v>1110</v>
      </c>
      <c r="E26" s="932"/>
      <c r="F26" s="932"/>
      <c r="G26" s="910"/>
      <c r="H26" s="910"/>
      <c r="I26" s="924"/>
      <c r="J26" s="924"/>
      <c r="K26" s="924"/>
    </row>
    <row r="27" spans="1:11" x14ac:dyDescent="0.25">
      <c r="A27" s="910"/>
      <c r="B27" s="910"/>
      <c r="C27" s="910"/>
      <c r="D27" s="932" t="s">
        <v>1111</v>
      </c>
      <c r="E27" s="932"/>
      <c r="F27" s="932"/>
      <c r="G27" s="910"/>
      <c r="H27" s="910"/>
      <c r="I27" s="924"/>
      <c r="J27" s="924"/>
      <c r="K27" s="924"/>
    </row>
    <row r="28" spans="1:11" x14ac:dyDescent="0.25">
      <c r="A28" s="910"/>
      <c r="B28" s="910"/>
      <c r="C28" s="910"/>
      <c r="D28" s="932" t="s">
        <v>1112</v>
      </c>
      <c r="E28" s="932"/>
      <c r="F28" s="932"/>
      <c r="G28" s="910"/>
      <c r="H28" s="910"/>
      <c r="I28" s="924"/>
      <c r="J28" s="924"/>
      <c r="K28" s="924"/>
    </row>
    <row r="29" spans="1:11" x14ac:dyDescent="0.25">
      <c r="A29" s="910"/>
      <c r="B29" s="910"/>
      <c r="C29" s="910"/>
      <c r="D29" s="932" t="s">
        <v>673</v>
      </c>
      <c r="E29" s="932"/>
      <c r="F29" s="932"/>
      <c r="G29" s="910"/>
      <c r="H29" s="910"/>
      <c r="I29" s="924"/>
      <c r="J29" s="924"/>
      <c r="K29" s="924"/>
    </row>
    <row r="30" spans="1:11" x14ac:dyDescent="0.25">
      <c r="A30" s="910"/>
      <c r="B30" s="910"/>
      <c r="C30" s="910"/>
      <c r="D30" s="932" t="s">
        <v>1113</v>
      </c>
      <c r="E30" s="932"/>
      <c r="F30" s="932"/>
      <c r="G30" s="910"/>
      <c r="H30" s="910"/>
      <c r="I30" s="924"/>
      <c r="J30" s="924"/>
      <c r="K30" s="924"/>
    </row>
    <row r="31" spans="1:11" x14ac:dyDescent="0.25">
      <c r="A31" s="910"/>
      <c r="B31" s="910"/>
      <c r="C31" s="910"/>
      <c r="D31" s="932" t="s">
        <v>1114</v>
      </c>
      <c r="E31" s="932"/>
      <c r="F31" s="932"/>
      <c r="G31" s="910"/>
      <c r="H31" s="910"/>
      <c r="I31" s="924"/>
      <c r="J31" s="924"/>
      <c r="K31" s="924"/>
    </row>
    <row r="32" spans="1:11" x14ac:dyDescent="0.25">
      <c r="A32" s="910"/>
      <c r="B32" s="910"/>
      <c r="C32" s="910"/>
      <c r="D32" s="932" t="s">
        <v>1115</v>
      </c>
      <c r="E32" s="932"/>
      <c r="F32" s="932"/>
      <c r="G32" s="910"/>
      <c r="H32" s="910"/>
      <c r="I32" s="924"/>
      <c r="J32" s="924"/>
      <c r="K32" s="924"/>
    </row>
    <row r="33" spans="1:11" x14ac:dyDescent="0.25">
      <c r="A33" s="910"/>
      <c r="B33" s="910"/>
      <c r="C33" s="910"/>
      <c r="D33" s="932" t="s">
        <v>1116</v>
      </c>
      <c r="E33" s="932"/>
      <c r="F33" s="932"/>
      <c r="G33" s="910"/>
      <c r="H33" s="910"/>
      <c r="I33" s="924"/>
      <c r="J33" s="924"/>
      <c r="K33" s="924"/>
    </row>
    <row r="34" spans="1:11" x14ac:dyDescent="0.25">
      <c r="A34" s="910"/>
      <c r="B34" s="910"/>
      <c r="C34" s="910"/>
      <c r="D34" s="932" t="s">
        <v>1117</v>
      </c>
      <c r="E34" s="932"/>
      <c r="F34" s="932"/>
      <c r="G34" s="910"/>
      <c r="H34" s="910"/>
      <c r="I34" s="924"/>
      <c r="J34" s="924"/>
      <c r="K34" s="924"/>
    </row>
    <row r="35" spans="1:11" x14ac:dyDescent="0.25">
      <c r="A35" s="910"/>
      <c r="B35" s="910"/>
      <c r="C35" s="910"/>
      <c r="D35" s="932" t="s">
        <v>1118</v>
      </c>
      <c r="E35" s="932"/>
      <c r="F35" s="932"/>
      <c r="G35" s="910"/>
      <c r="H35" s="910"/>
      <c r="I35" s="924"/>
      <c r="J35" s="924"/>
      <c r="K35" s="924"/>
    </row>
    <row r="36" spans="1:11" x14ac:dyDescent="0.25">
      <c r="A36" s="910"/>
      <c r="B36" s="910"/>
      <c r="C36" s="910"/>
      <c r="D36" s="932" t="s">
        <v>1119</v>
      </c>
      <c r="E36" s="932"/>
      <c r="F36" s="932"/>
      <c r="G36" s="910"/>
      <c r="H36" s="910"/>
      <c r="I36" s="924"/>
      <c r="J36" s="924"/>
      <c r="K36" s="924"/>
    </row>
    <row r="37" spans="1:11" x14ac:dyDescent="0.25">
      <c r="A37" s="910"/>
      <c r="B37" s="910"/>
      <c r="C37" s="910"/>
      <c r="D37" s="932" t="s">
        <v>1120</v>
      </c>
      <c r="E37" s="932"/>
      <c r="F37" s="932"/>
      <c r="G37" s="910"/>
      <c r="H37" s="910"/>
      <c r="I37" s="924"/>
      <c r="J37" s="924"/>
      <c r="K37" s="924"/>
    </row>
    <row r="38" spans="1:11" x14ac:dyDescent="0.25">
      <c r="A38" s="910"/>
      <c r="B38" s="910"/>
      <c r="C38" s="910"/>
      <c r="D38" s="2167" t="s">
        <v>1121</v>
      </c>
      <c r="E38" s="2167"/>
      <c r="F38" s="2167"/>
      <c r="G38" s="2167"/>
      <c r="H38" s="2167"/>
      <c r="I38" s="2167"/>
      <c r="J38" s="2167"/>
      <c r="K38" s="2167"/>
    </row>
    <row r="39" spans="1:11" x14ac:dyDescent="0.25">
      <c r="A39" s="910"/>
      <c r="B39" s="910"/>
      <c r="C39" s="910"/>
      <c r="D39" s="953" t="s">
        <v>1122</v>
      </c>
      <c r="E39" s="953"/>
      <c r="F39" s="953"/>
      <c r="G39" s="953"/>
      <c r="H39" s="953"/>
      <c r="I39" s="953"/>
      <c r="J39" s="953"/>
      <c r="K39" s="953"/>
    </row>
    <row r="40" spans="1:11" x14ac:dyDescent="0.25">
      <c r="A40" s="910"/>
      <c r="B40" s="910"/>
      <c r="C40" s="910"/>
      <c r="D40" s="932" t="s">
        <v>1074</v>
      </c>
      <c r="E40" s="932"/>
      <c r="F40" s="932"/>
      <c r="G40" s="910"/>
      <c r="H40" s="910"/>
      <c r="I40" s="924"/>
      <c r="J40" s="924"/>
      <c r="K40" s="924"/>
    </row>
    <row r="41" spans="1:11" x14ac:dyDescent="0.25">
      <c r="A41" s="2147" t="s">
        <v>1063</v>
      </c>
      <c r="B41" s="2147"/>
      <c r="C41" s="2147"/>
      <c r="D41" s="2147"/>
      <c r="E41" s="2147"/>
      <c r="F41" s="2147"/>
      <c r="G41" s="924"/>
      <c r="H41" s="924"/>
      <c r="I41" s="924"/>
      <c r="J41" s="924"/>
      <c r="K41" s="924"/>
    </row>
    <row r="42" spans="1:11" x14ac:dyDescent="0.25">
      <c r="A42" s="917"/>
      <c r="B42" s="918"/>
      <c r="C42" s="924"/>
      <c r="D42" s="2140" t="s">
        <v>1076</v>
      </c>
      <c r="E42" s="2140"/>
      <c r="F42" s="2140"/>
      <c r="G42" s="2140"/>
      <c r="H42" s="2140"/>
      <c r="I42" s="2140"/>
      <c r="J42" s="2140"/>
      <c r="K42" s="924"/>
    </row>
    <row r="43" spans="1:11" x14ac:dyDescent="0.25">
      <c r="A43" s="917"/>
      <c r="B43" s="918"/>
      <c r="C43" s="924"/>
      <c r="D43" s="919" t="s">
        <v>1064</v>
      </c>
      <c r="E43" s="924"/>
      <c r="F43" s="924"/>
      <c r="G43" s="924"/>
      <c r="H43" s="924"/>
      <c r="I43" s="924"/>
      <c r="J43" s="924"/>
      <c r="K43" s="924"/>
    </row>
    <row r="44" spans="1:11" x14ac:dyDescent="0.25">
      <c r="A44" s="917"/>
      <c r="B44" s="918"/>
      <c r="C44" s="924"/>
      <c r="D44" s="919" t="s">
        <v>1086</v>
      </c>
      <c r="E44" s="924"/>
      <c r="F44" s="924"/>
      <c r="G44" s="924"/>
      <c r="H44" s="924"/>
      <c r="I44" s="924"/>
      <c r="J44" s="924"/>
      <c r="K44" s="924"/>
    </row>
    <row r="45" spans="1:11" x14ac:dyDescent="0.25">
      <c r="A45" s="917"/>
      <c r="B45" s="918"/>
      <c r="C45" s="924"/>
      <c r="D45" s="919" t="s">
        <v>1087</v>
      </c>
      <c r="E45" s="924"/>
      <c r="F45" s="924"/>
      <c r="G45" s="924"/>
      <c r="H45" s="924"/>
      <c r="I45" s="924"/>
      <c r="J45" s="924"/>
      <c r="K45" s="924"/>
    </row>
    <row r="46" spans="1:11" x14ac:dyDescent="0.25">
      <c r="A46" s="917"/>
      <c r="B46" s="918"/>
      <c r="C46" s="924"/>
      <c r="D46" s="932" t="s">
        <v>1088</v>
      </c>
      <c r="E46" s="924"/>
      <c r="F46" s="924"/>
      <c r="G46" s="924"/>
      <c r="H46" s="924"/>
      <c r="I46" s="924"/>
      <c r="J46" s="924"/>
      <c r="K46" s="924"/>
    </row>
    <row r="47" spans="1:11" x14ac:dyDescent="0.25">
      <c r="A47" s="917"/>
      <c r="B47" s="918"/>
      <c r="C47" s="894"/>
      <c r="D47" s="909"/>
      <c r="E47" s="909"/>
      <c r="F47" s="909"/>
      <c r="G47" s="909"/>
      <c r="H47" s="909"/>
      <c r="I47" s="909"/>
      <c r="J47" s="894"/>
      <c r="K47" s="894"/>
    </row>
    <row r="48" spans="1:11" x14ac:dyDescent="0.25">
      <c r="A48" s="920" t="s">
        <v>1057</v>
      </c>
      <c r="B48" s="918"/>
      <c r="C48" s="919"/>
      <c r="D48" s="919"/>
      <c r="E48" s="921" t="str">
        <f>'1.Hoja_de_Cotización'!H8</f>
        <v xml:space="preserve">Yahaira De La Cruz </v>
      </c>
      <c r="F48" s="933"/>
      <c r="G48" s="894"/>
      <c r="H48" s="894"/>
      <c r="I48" s="894"/>
      <c r="J48" s="894"/>
      <c r="K48" s="894"/>
    </row>
    <row r="49" spans="1:11" x14ac:dyDescent="0.25">
      <c r="A49" s="922" t="s">
        <v>462</v>
      </c>
      <c r="B49" s="923"/>
      <c r="C49" s="48"/>
      <c r="D49" s="48"/>
      <c r="E49" s="935" t="str">
        <f>'1.Hoja_de_Cotización'!H12</f>
        <v>CAPITAL HUMANO</v>
      </c>
      <c r="F49" s="933"/>
      <c r="G49" s="894"/>
      <c r="H49" s="894"/>
      <c r="I49" s="894"/>
      <c r="J49" s="894"/>
      <c r="K49" s="894"/>
    </row>
    <row r="50" spans="1:11" x14ac:dyDescent="0.25">
      <c r="A50" s="922" t="s">
        <v>1058</v>
      </c>
      <c r="B50" s="893"/>
      <c r="C50" s="894"/>
      <c r="D50" s="894"/>
      <c r="E50" s="894"/>
      <c r="F50" s="894"/>
      <c r="G50" s="894"/>
      <c r="H50" s="2137" t="s">
        <v>1059</v>
      </c>
      <c r="I50" s="2137"/>
      <c r="J50" s="2137"/>
      <c r="K50" s="894"/>
    </row>
  </sheetData>
  <mergeCells count="18">
    <mergeCell ref="D10:J11"/>
    <mergeCell ref="A4:J4"/>
    <mergeCell ref="A6:H6"/>
    <mergeCell ref="D7:J7"/>
    <mergeCell ref="D8:J8"/>
    <mergeCell ref="D9:J9"/>
    <mergeCell ref="H50:J50"/>
    <mergeCell ref="D12:I12"/>
    <mergeCell ref="D13:J14"/>
    <mergeCell ref="D15:J16"/>
    <mergeCell ref="D17:J17"/>
    <mergeCell ref="D18:J18"/>
    <mergeCell ref="D19:I19"/>
    <mergeCell ref="D20:I20"/>
    <mergeCell ref="A22:H22"/>
    <mergeCell ref="D38:K38"/>
    <mergeCell ref="A41:F41"/>
    <mergeCell ref="D42:J42"/>
  </mergeCell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1"/>
  <dimension ref="A1:K47"/>
  <sheetViews>
    <sheetView showGridLines="0" workbookViewId="0">
      <selection activeCell="A8" sqref="A8:H8"/>
    </sheetView>
  </sheetViews>
  <sheetFormatPr baseColWidth="10" defaultRowHeight="15" x14ac:dyDescent="0.25"/>
  <cols>
    <col min="1" max="1" width="2.7109375" customWidth="1"/>
    <col min="2" max="2" width="4.42578125" customWidth="1"/>
    <col min="3" max="3" width="0.85546875" customWidth="1"/>
  </cols>
  <sheetData>
    <row r="1" spans="1:11" x14ac:dyDescent="0.25">
      <c r="A1" s="894"/>
      <c r="B1" s="893"/>
      <c r="C1" s="894"/>
      <c r="D1" s="894"/>
      <c r="E1" s="894"/>
      <c r="F1" s="894"/>
      <c r="G1" s="894"/>
      <c r="H1" s="894"/>
      <c r="I1" s="894"/>
      <c r="J1" s="894"/>
      <c r="K1" s="894"/>
    </row>
    <row r="2" spans="1:11" x14ac:dyDescent="0.25">
      <c r="A2" s="894"/>
      <c r="B2" s="893"/>
      <c r="C2" s="894"/>
      <c r="D2" s="894"/>
      <c r="E2" s="894"/>
      <c r="F2" s="894"/>
      <c r="G2" s="894"/>
      <c r="H2" s="894"/>
      <c r="I2" s="894"/>
      <c r="J2" s="894"/>
      <c r="K2" s="894"/>
    </row>
    <row r="3" spans="1:11" x14ac:dyDescent="0.25">
      <c r="A3" s="894"/>
      <c r="B3" s="893"/>
      <c r="C3" s="894"/>
      <c r="D3" s="894"/>
      <c r="E3" s="894"/>
      <c r="F3" s="894"/>
      <c r="G3" s="894"/>
      <c r="H3" s="894"/>
      <c r="I3" s="894"/>
      <c r="J3" s="894"/>
      <c r="K3" s="894"/>
    </row>
    <row r="4" spans="1:11" x14ac:dyDescent="0.25">
      <c r="A4" s="892"/>
      <c r="B4" s="893"/>
      <c r="C4" s="892"/>
      <c r="D4" s="892"/>
      <c r="E4" s="892"/>
      <c r="F4" s="892"/>
      <c r="G4" s="892"/>
      <c r="H4" s="892"/>
      <c r="I4" s="892"/>
      <c r="J4" s="892"/>
      <c r="K4" s="892"/>
    </row>
    <row r="5" spans="1:11" ht="15.75" x14ac:dyDescent="0.25">
      <c r="A5" s="2142" t="s">
        <v>1045</v>
      </c>
      <c r="B5" s="2142"/>
      <c r="C5" s="2142"/>
      <c r="D5" s="2142"/>
      <c r="E5" s="2142"/>
      <c r="F5" s="2142"/>
      <c r="G5" s="2142"/>
      <c r="H5" s="2142"/>
      <c r="I5" s="2142"/>
      <c r="J5" s="2142"/>
      <c r="K5" s="892"/>
    </row>
    <row r="6" spans="1:11" x14ac:dyDescent="0.25">
      <c r="A6" s="2143" t="s">
        <v>1123</v>
      </c>
      <c r="B6" s="2143"/>
      <c r="C6" s="2143"/>
      <c r="D6" s="2143"/>
      <c r="E6" s="2143"/>
      <c r="F6" s="2143"/>
      <c r="G6" s="2143"/>
      <c r="H6" s="2143"/>
      <c r="I6" s="2143"/>
      <c r="J6" s="892"/>
      <c r="K6" s="892"/>
    </row>
    <row r="7" spans="1:11" x14ac:dyDescent="0.25">
      <c r="A7" s="895"/>
      <c r="B7" s="896"/>
      <c r="C7" s="895"/>
      <c r="D7" s="897"/>
      <c r="E7" s="897"/>
      <c r="F7" s="897"/>
      <c r="G7" s="897"/>
      <c r="H7" s="897"/>
      <c r="I7" s="897"/>
      <c r="J7" s="897"/>
      <c r="K7" s="894"/>
    </row>
    <row r="8" spans="1:11" x14ac:dyDescent="0.25">
      <c r="A8" s="2144" t="s">
        <v>1046</v>
      </c>
      <c r="B8" s="2151"/>
      <c r="C8" s="2151"/>
      <c r="D8" s="2151"/>
      <c r="E8" s="2151"/>
      <c r="F8" s="2151"/>
      <c r="G8" s="2151"/>
      <c r="H8" s="2151"/>
      <c r="I8" s="924"/>
      <c r="J8" s="924"/>
      <c r="K8" s="894"/>
    </row>
    <row r="9" spans="1:11" x14ac:dyDescent="0.25">
      <c r="A9" s="898"/>
      <c r="B9" s="899"/>
      <c r="C9" s="895"/>
      <c r="D9" s="2140" t="s">
        <v>1047</v>
      </c>
      <c r="E9" s="2140"/>
      <c r="F9" s="2140"/>
      <c r="G9" s="2140"/>
      <c r="H9" s="2140"/>
      <c r="I9" s="2140"/>
      <c r="J9" s="2140"/>
      <c r="K9" s="894"/>
    </row>
    <row r="10" spans="1:11" x14ac:dyDescent="0.25">
      <c r="A10" s="925"/>
      <c r="B10" s="926"/>
      <c r="C10" s="925"/>
      <c r="D10" s="2140" t="s">
        <v>1048</v>
      </c>
      <c r="E10" s="2140"/>
      <c r="F10" s="2140"/>
      <c r="G10" s="2140"/>
      <c r="H10" s="2140"/>
      <c r="I10" s="2140"/>
      <c r="J10" s="2140"/>
      <c r="K10" s="894"/>
    </row>
    <row r="11" spans="1:11" x14ac:dyDescent="0.25">
      <c r="A11" s="925"/>
      <c r="B11" s="926"/>
      <c r="C11" s="925"/>
      <c r="D11" s="2140" t="s">
        <v>1049</v>
      </c>
      <c r="E11" s="2140"/>
      <c r="F11" s="2140"/>
      <c r="G11" s="2140"/>
      <c r="H11" s="2140"/>
      <c r="I11" s="2140"/>
      <c r="J11" s="2140"/>
      <c r="K11" s="894"/>
    </row>
    <row r="12" spans="1:11" x14ac:dyDescent="0.25">
      <c r="A12" s="925"/>
      <c r="B12" s="926"/>
      <c r="C12" s="925"/>
      <c r="D12" s="2140" t="s">
        <v>1050</v>
      </c>
      <c r="E12" s="2140"/>
      <c r="F12" s="2140"/>
      <c r="G12" s="2140"/>
      <c r="H12" s="2140"/>
      <c r="I12" s="2140"/>
      <c r="J12" s="2140"/>
      <c r="K12" s="894"/>
    </row>
    <row r="13" spans="1:11" x14ac:dyDescent="0.25">
      <c r="A13" s="925"/>
      <c r="B13" s="926"/>
      <c r="C13" s="925"/>
      <c r="D13" s="2140" t="s">
        <v>1051</v>
      </c>
      <c r="E13" s="2140"/>
      <c r="F13" s="2140"/>
      <c r="G13" s="2140"/>
      <c r="H13" s="2140"/>
      <c r="I13" s="2140"/>
      <c r="J13" s="2140"/>
      <c r="K13" s="894"/>
    </row>
    <row r="14" spans="1:11" x14ac:dyDescent="0.25">
      <c r="A14" s="925"/>
      <c r="B14" s="926"/>
      <c r="C14" s="925"/>
      <c r="D14" s="2140" t="s">
        <v>1052</v>
      </c>
      <c r="E14" s="2140"/>
      <c r="F14" s="2140"/>
      <c r="G14" s="2140"/>
      <c r="H14" s="2140"/>
      <c r="I14" s="2140"/>
      <c r="J14" s="2140"/>
      <c r="K14" s="892"/>
    </row>
    <row r="15" spans="1:11" x14ac:dyDescent="0.25">
      <c r="A15" s="925"/>
      <c r="B15" s="926"/>
      <c r="C15" s="925"/>
      <c r="D15" s="2140"/>
      <c r="E15" s="2140"/>
      <c r="F15" s="2140"/>
      <c r="G15" s="2140"/>
      <c r="H15" s="2140"/>
      <c r="I15" s="2140"/>
      <c r="J15" s="2140"/>
      <c r="K15" s="902"/>
    </row>
    <row r="16" spans="1:11" x14ac:dyDescent="0.25">
      <c r="A16" s="925"/>
      <c r="B16" s="926"/>
      <c r="C16" s="925"/>
      <c r="D16" s="2140" t="s">
        <v>1053</v>
      </c>
      <c r="E16" s="2140"/>
      <c r="F16" s="2140"/>
      <c r="G16" s="2140"/>
      <c r="H16" s="2140"/>
      <c r="I16" s="2140"/>
      <c r="J16" s="927"/>
      <c r="K16" s="902"/>
    </row>
    <row r="17" spans="1:11" x14ac:dyDescent="0.25">
      <c r="A17" s="925"/>
      <c r="B17" s="926"/>
      <c r="C17" s="925"/>
      <c r="D17" s="2140" t="s">
        <v>1095</v>
      </c>
      <c r="E17" s="2140"/>
      <c r="F17" s="2140"/>
      <c r="G17" s="2140"/>
      <c r="H17" s="2140"/>
      <c r="I17" s="2140"/>
      <c r="J17" s="2140"/>
      <c r="K17" s="894"/>
    </row>
    <row r="18" spans="1:11" x14ac:dyDescent="0.25">
      <c r="A18" s="928"/>
      <c r="B18" s="929"/>
      <c r="C18" s="928"/>
      <c r="D18" s="2140"/>
      <c r="E18" s="2140"/>
      <c r="F18" s="2140"/>
      <c r="G18" s="2140"/>
      <c r="H18" s="2140"/>
      <c r="I18" s="2140"/>
      <c r="J18" s="2140"/>
      <c r="K18" s="906"/>
    </row>
    <row r="19" spans="1:11" x14ac:dyDescent="0.25">
      <c r="A19" s="928"/>
      <c r="B19" s="929"/>
      <c r="C19" s="928"/>
      <c r="D19" s="2140" t="s">
        <v>1090</v>
      </c>
      <c r="E19" s="2140"/>
      <c r="F19" s="2140"/>
      <c r="G19" s="2140"/>
      <c r="H19" s="2140"/>
      <c r="I19" s="2140"/>
      <c r="J19" s="2140"/>
      <c r="K19" s="907"/>
    </row>
    <row r="20" spans="1:11" x14ac:dyDescent="0.25">
      <c r="A20" s="928"/>
      <c r="B20" s="929"/>
      <c r="C20" s="928"/>
      <c r="D20" s="2140"/>
      <c r="E20" s="2140"/>
      <c r="F20" s="2140"/>
      <c r="G20" s="2140"/>
      <c r="H20" s="2140"/>
      <c r="I20" s="2140"/>
      <c r="J20" s="2140"/>
      <c r="K20" s="906"/>
    </row>
    <row r="21" spans="1:11" x14ac:dyDescent="0.25">
      <c r="A21" s="895"/>
      <c r="B21" s="896"/>
      <c r="C21" s="895"/>
      <c r="D21" s="2140" t="s">
        <v>1124</v>
      </c>
      <c r="E21" s="2140"/>
      <c r="F21" s="2140"/>
      <c r="G21" s="2140"/>
      <c r="H21" s="2140"/>
      <c r="I21" s="2140"/>
      <c r="J21" s="2140"/>
      <c r="K21" s="909"/>
    </row>
    <row r="22" spans="1:11" ht="24.75" customHeight="1" x14ac:dyDescent="0.25">
      <c r="A22" s="895"/>
      <c r="B22" s="896"/>
      <c r="C22" s="895"/>
      <c r="D22" s="2140"/>
      <c r="E22" s="2140"/>
      <c r="F22" s="2140"/>
      <c r="G22" s="2140"/>
      <c r="H22" s="2140"/>
      <c r="I22" s="2140"/>
      <c r="J22" s="2140"/>
      <c r="K22" s="909"/>
    </row>
    <row r="23" spans="1:11" x14ac:dyDescent="0.25">
      <c r="A23" s="895"/>
      <c r="B23" s="896"/>
      <c r="C23" s="895"/>
      <c r="D23" s="2140" t="s">
        <v>1125</v>
      </c>
      <c r="E23" s="2140"/>
      <c r="F23" s="2140"/>
      <c r="G23" s="2140"/>
      <c r="H23" s="2140"/>
      <c r="I23" s="2140"/>
      <c r="J23" s="2140"/>
      <c r="K23" s="909"/>
    </row>
    <row r="24" spans="1:11" x14ac:dyDescent="0.25">
      <c r="A24" s="895"/>
      <c r="B24" s="896"/>
      <c r="C24" s="895"/>
      <c r="D24" s="2140"/>
      <c r="E24" s="2140"/>
      <c r="F24" s="2140"/>
      <c r="G24" s="2140"/>
      <c r="H24" s="2140"/>
      <c r="I24" s="2140"/>
      <c r="J24" s="2140"/>
      <c r="K24" s="909"/>
    </row>
    <row r="25" spans="1:11" x14ac:dyDescent="0.25">
      <c r="A25" s="895"/>
      <c r="B25" s="896"/>
      <c r="C25" s="895"/>
      <c r="D25" s="2149" t="s">
        <v>1126</v>
      </c>
      <c r="E25" s="2149"/>
      <c r="F25" s="2149"/>
      <c r="G25" s="2149"/>
      <c r="H25" s="2149"/>
      <c r="I25" s="2149"/>
      <c r="J25" s="2149"/>
      <c r="K25" s="909"/>
    </row>
    <row r="26" spans="1:11" x14ac:dyDescent="0.25">
      <c r="A26" s="895"/>
      <c r="B26" s="896"/>
      <c r="C26" s="895"/>
      <c r="D26" s="2149" t="s">
        <v>1067</v>
      </c>
      <c r="E26" s="2149"/>
      <c r="F26" s="2149"/>
      <c r="G26" s="2149"/>
      <c r="H26" s="2149"/>
      <c r="I26" s="2149"/>
      <c r="J26" s="2149"/>
      <c r="K26" s="909"/>
    </row>
    <row r="27" spans="1:11" x14ac:dyDescent="0.25">
      <c r="A27" s="895"/>
      <c r="B27" s="896"/>
      <c r="C27" s="895"/>
      <c r="D27" s="930"/>
      <c r="E27" s="930"/>
      <c r="F27" s="930"/>
      <c r="G27" s="930"/>
      <c r="H27" s="930"/>
      <c r="I27" s="930"/>
      <c r="J27" s="908"/>
      <c r="K27" s="909"/>
    </row>
    <row r="28" spans="1:11" x14ac:dyDescent="0.25">
      <c r="A28" s="2139" t="s">
        <v>1056</v>
      </c>
      <c r="B28" s="2139"/>
      <c r="C28" s="2139"/>
      <c r="D28" s="2139"/>
      <c r="E28" s="2139"/>
      <c r="F28" s="2139"/>
      <c r="G28" s="2139"/>
      <c r="H28" s="2139"/>
      <c r="I28" s="924"/>
      <c r="J28" s="924"/>
      <c r="K28" s="894"/>
    </row>
    <row r="29" spans="1:11" x14ac:dyDescent="0.25">
      <c r="A29" s="924"/>
      <c r="B29" s="931"/>
      <c r="C29" s="924"/>
      <c r="D29" s="2150" t="s">
        <v>1068</v>
      </c>
      <c r="E29" s="2150"/>
      <c r="F29" s="2150"/>
      <c r="G29" s="2150"/>
      <c r="H29" s="2150"/>
      <c r="I29" s="2150"/>
      <c r="J29" s="2150"/>
      <c r="K29" s="894"/>
    </row>
    <row r="30" spans="1:11" x14ac:dyDescent="0.25">
      <c r="A30" s="924"/>
      <c r="B30" s="931"/>
      <c r="C30" s="924"/>
      <c r="D30" s="941" t="s">
        <v>1069</v>
      </c>
      <c r="E30" s="913"/>
      <c r="F30" s="913"/>
      <c r="G30" s="914"/>
      <c r="H30" s="914"/>
      <c r="I30" s="914"/>
      <c r="J30" s="914"/>
      <c r="K30" s="894"/>
    </row>
    <row r="31" spans="1:11" x14ac:dyDescent="0.25">
      <c r="A31" s="924"/>
      <c r="B31" s="931"/>
      <c r="C31" s="924"/>
      <c r="D31" s="877" t="s">
        <v>1071</v>
      </c>
      <c r="E31" s="913"/>
      <c r="F31" s="913"/>
      <c r="G31" s="914"/>
      <c r="H31" s="914"/>
      <c r="I31" s="914"/>
      <c r="J31" s="914"/>
      <c r="K31" s="894"/>
    </row>
    <row r="32" spans="1:11" x14ac:dyDescent="0.25">
      <c r="A32" s="924"/>
      <c r="B32" s="931"/>
      <c r="C32" s="924"/>
      <c r="D32" s="877" t="s">
        <v>1072</v>
      </c>
      <c r="E32" s="913"/>
      <c r="F32" s="913"/>
      <c r="G32" s="914"/>
      <c r="H32" s="914"/>
      <c r="I32" s="914"/>
      <c r="J32" s="914"/>
      <c r="K32" s="894"/>
    </row>
    <row r="33" spans="1:11" x14ac:dyDescent="0.25">
      <c r="A33" s="924"/>
      <c r="B33" s="931"/>
      <c r="C33" s="924"/>
      <c r="D33" s="877" t="s">
        <v>1073</v>
      </c>
      <c r="E33" s="913"/>
      <c r="F33" s="913"/>
      <c r="G33" s="914"/>
      <c r="H33" s="914"/>
      <c r="I33" s="914"/>
      <c r="J33" s="914"/>
      <c r="K33" s="894"/>
    </row>
    <row r="34" spans="1:11" x14ac:dyDescent="0.25">
      <c r="A34" s="924"/>
      <c r="B34" s="931"/>
      <c r="C34" s="924"/>
      <c r="D34" s="877" t="s">
        <v>1074</v>
      </c>
      <c r="E34" s="913"/>
      <c r="F34" s="913"/>
      <c r="G34" s="914"/>
      <c r="H34" s="914"/>
      <c r="I34" s="914"/>
      <c r="J34" s="914"/>
      <c r="K34" s="894"/>
    </row>
    <row r="35" spans="1:11" x14ac:dyDescent="0.25">
      <c r="A35" s="924"/>
      <c r="B35" s="931"/>
      <c r="C35" s="924"/>
      <c r="D35" s="941" t="s">
        <v>1075</v>
      </c>
      <c r="E35" s="941"/>
      <c r="F35" s="941"/>
      <c r="G35" s="941"/>
      <c r="H35" s="941"/>
      <c r="I35" s="914"/>
      <c r="J35" s="914"/>
      <c r="K35" s="894"/>
    </row>
    <row r="36" spans="1:11" x14ac:dyDescent="0.25">
      <c r="A36" s="924"/>
      <c r="B36" s="931"/>
      <c r="C36" s="924"/>
      <c r="D36" s="912"/>
      <c r="E36" s="913"/>
      <c r="F36" s="913"/>
      <c r="G36" s="914"/>
      <c r="H36" s="914"/>
      <c r="I36" s="914"/>
      <c r="J36" s="914"/>
      <c r="K36" s="894"/>
    </row>
    <row r="37" spans="1:11" x14ac:dyDescent="0.25">
      <c r="A37" s="2147" t="s">
        <v>1063</v>
      </c>
      <c r="B37" s="2147"/>
      <c r="C37" s="2147"/>
      <c r="D37" s="2147"/>
      <c r="E37" s="2147"/>
      <c r="F37" s="2147"/>
      <c r="G37" s="924"/>
      <c r="H37" s="924"/>
      <c r="I37" s="924"/>
      <c r="J37" s="924"/>
      <c r="K37" s="894"/>
    </row>
    <row r="38" spans="1:11" x14ac:dyDescent="0.25">
      <c r="A38" s="917"/>
      <c r="B38" s="918"/>
      <c r="C38" s="924"/>
      <c r="D38" s="2140" t="s">
        <v>1076</v>
      </c>
      <c r="E38" s="2140"/>
      <c r="F38" s="2140"/>
      <c r="G38" s="2140"/>
      <c r="H38" s="2140"/>
      <c r="I38" s="2140"/>
      <c r="J38" s="2140"/>
      <c r="K38" s="894"/>
    </row>
    <row r="39" spans="1:11" x14ac:dyDescent="0.25">
      <c r="A39" s="917"/>
      <c r="B39" s="918"/>
      <c r="C39" s="924"/>
      <c r="D39" s="919" t="s">
        <v>1064</v>
      </c>
      <c r="E39" s="924"/>
      <c r="F39" s="924"/>
      <c r="G39" s="924"/>
      <c r="H39" s="924"/>
      <c r="I39" s="924"/>
      <c r="J39" s="924"/>
      <c r="K39" s="894"/>
    </row>
    <row r="40" spans="1:11" x14ac:dyDescent="0.25">
      <c r="A40" s="917"/>
      <c r="B40" s="918"/>
      <c r="C40" s="924"/>
      <c r="D40" s="919" t="s">
        <v>1086</v>
      </c>
      <c r="E40" s="924"/>
      <c r="F40" s="924"/>
      <c r="G40" s="924"/>
      <c r="H40" s="924"/>
      <c r="I40" s="924"/>
      <c r="J40" s="924"/>
      <c r="K40" s="894"/>
    </row>
    <row r="41" spans="1:11" x14ac:dyDescent="0.25">
      <c r="A41" s="917"/>
      <c r="B41" s="918"/>
      <c r="C41" s="924"/>
      <c r="D41" s="919" t="s">
        <v>1087</v>
      </c>
      <c r="E41" s="924"/>
      <c r="F41" s="924"/>
      <c r="G41" s="924"/>
      <c r="H41" s="924"/>
      <c r="I41" s="924"/>
      <c r="J41" s="924"/>
      <c r="K41" s="894"/>
    </row>
    <row r="42" spans="1:11" x14ac:dyDescent="0.25">
      <c r="A42" s="917"/>
      <c r="B42" s="918"/>
      <c r="C42" s="924"/>
      <c r="D42" s="932" t="s">
        <v>1088</v>
      </c>
      <c r="E42" s="924"/>
      <c r="F42" s="924"/>
      <c r="G42" s="924"/>
      <c r="H42" s="924"/>
      <c r="I42" s="924"/>
      <c r="J42" s="924"/>
      <c r="K42" s="894"/>
    </row>
    <row r="43" spans="1:11" x14ac:dyDescent="0.25">
      <c r="A43" s="917"/>
      <c r="B43" s="918"/>
      <c r="C43" s="894"/>
      <c r="D43" s="932"/>
      <c r="E43" s="894"/>
      <c r="F43" s="894"/>
      <c r="G43" s="894"/>
      <c r="H43" s="894"/>
      <c r="I43" s="894"/>
      <c r="J43" s="894"/>
      <c r="K43" s="894"/>
    </row>
    <row r="44" spans="1:11" x14ac:dyDescent="0.25">
      <c r="A44" s="917"/>
      <c r="B44" s="918"/>
      <c r="C44" s="894"/>
      <c r="D44" s="909"/>
      <c r="E44" s="909"/>
      <c r="F44" s="909"/>
      <c r="G44" s="909"/>
      <c r="H44" s="909"/>
      <c r="I44" s="909"/>
      <c r="J44" s="894"/>
      <c r="K44" s="894"/>
    </row>
    <row r="45" spans="1:11" x14ac:dyDescent="0.25">
      <c r="A45" s="920" t="s">
        <v>1057</v>
      </c>
      <c r="B45" s="918"/>
      <c r="C45" s="919"/>
      <c r="D45" s="919"/>
      <c r="E45" s="921" t="str">
        <f>'1.Hoja_de_Cotización'!H8</f>
        <v xml:space="preserve">Yahaira De La Cruz </v>
      </c>
      <c r="F45" s="48"/>
      <c r="G45" s="894"/>
      <c r="H45" s="894"/>
      <c r="I45" s="894"/>
      <c r="J45" s="894"/>
      <c r="K45" s="894"/>
    </row>
    <row r="46" spans="1:11" x14ac:dyDescent="0.25">
      <c r="A46" s="922" t="s">
        <v>462</v>
      </c>
      <c r="B46" s="923"/>
      <c r="C46" s="48"/>
      <c r="D46" s="48"/>
      <c r="E46" s="935" t="str">
        <f>'1.Hoja_de_Cotización'!H12</f>
        <v>CAPITAL HUMANO</v>
      </c>
      <c r="F46" s="48"/>
      <c r="G46" s="894"/>
      <c r="H46" s="894"/>
      <c r="I46" s="894"/>
      <c r="J46" s="894"/>
      <c r="K46" s="894"/>
    </row>
    <row r="47" spans="1:11" x14ac:dyDescent="0.25">
      <c r="A47" s="922" t="s">
        <v>1058</v>
      </c>
      <c r="B47" s="893"/>
      <c r="C47" s="894"/>
      <c r="D47" s="894"/>
      <c r="E47" s="894"/>
      <c r="F47" s="894"/>
      <c r="G47" s="894"/>
      <c r="H47" s="2137" t="s">
        <v>1059</v>
      </c>
      <c r="I47" s="2137"/>
      <c r="J47" s="2137"/>
      <c r="K47" s="894"/>
    </row>
  </sheetData>
  <mergeCells count="21">
    <mergeCell ref="D19:J20"/>
    <mergeCell ref="A5:J5"/>
    <mergeCell ref="A6:I6"/>
    <mergeCell ref="A8:H8"/>
    <mergeCell ref="D9:J9"/>
    <mergeCell ref="D10:J10"/>
    <mergeCell ref="D11:J11"/>
    <mergeCell ref="D12:J12"/>
    <mergeCell ref="D13:J13"/>
    <mergeCell ref="D14:J15"/>
    <mergeCell ref="D16:I16"/>
    <mergeCell ref="D17:J18"/>
    <mergeCell ref="A37:F37"/>
    <mergeCell ref="D38:J38"/>
    <mergeCell ref="H47:J47"/>
    <mergeCell ref="D21:J22"/>
    <mergeCell ref="D23:J24"/>
    <mergeCell ref="D25:J25"/>
    <mergeCell ref="D26:J26"/>
    <mergeCell ref="A28:H28"/>
    <mergeCell ref="D29:J2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5"/>
  <dimension ref="A1:H15"/>
  <sheetViews>
    <sheetView workbookViewId="0">
      <selection activeCell="F10" sqref="F10"/>
    </sheetView>
  </sheetViews>
  <sheetFormatPr baseColWidth="10" defaultRowHeight="15" x14ac:dyDescent="0.25"/>
  <cols>
    <col min="3" max="3" width="15" bestFit="1" customWidth="1"/>
    <col min="4" max="4" width="15" customWidth="1"/>
    <col min="6" max="6" width="11.85546875" bestFit="1" customWidth="1"/>
  </cols>
  <sheetData>
    <row r="1" spans="1:8" x14ac:dyDescent="0.25">
      <c r="A1" s="1412">
        <f>IF(calculadora!E10="",0,IF('C.Tasa'!F2,'C.Tasa'!G2,IF('C.Tasa'!F3,'C.Tasa'!G3,IF('C.Tasa'!F4,'C.Tasa'!G4,IF('C.Tasa'!F5,'C.Tasa'!G5,IF('C.Tasa'!F6,'C.Tasa'!G6,IF('C.Tasa'!F7,'C.Tasa'!G7, IF('C.Tasa'!F8,'C.Tasa'!G8,IF('C.Tasa'!F9,'C.Tasa'!G9,IF('C.Tasa'!F10,'C.Tasa'!G10,0))))))))))</f>
        <v>0</v>
      </c>
    </row>
    <row r="2" spans="1:8" x14ac:dyDescent="0.25">
      <c r="B2" t="s">
        <v>2512</v>
      </c>
      <c r="C2" t="s">
        <v>2514</v>
      </c>
      <c r="E2" s="1411">
        <v>0.02</v>
      </c>
      <c r="F2" t="b">
        <f>AND(calculadora!E7="Vivienda nueva",calculadora!E8&lt;=120000)</f>
        <v>0</v>
      </c>
      <c r="G2">
        <v>0.02</v>
      </c>
    </row>
    <row r="3" spans="1:8" x14ac:dyDescent="0.25">
      <c r="B3" t="s">
        <v>2512</v>
      </c>
      <c r="C3" t="s">
        <v>2515</v>
      </c>
      <c r="E3" s="1411">
        <v>0.05</v>
      </c>
      <c r="F3" t="b">
        <f>AND(calculadora!$E$7="Vivienda nueva",calculadora!$E$8&gt;120000,calculadora!$E$8&lt;=250000)</f>
        <v>0</v>
      </c>
      <c r="G3">
        <v>0.05</v>
      </c>
    </row>
    <row r="4" spans="1:8" x14ac:dyDescent="0.25">
      <c r="B4" t="s">
        <v>2512</v>
      </c>
      <c r="C4" t="s">
        <v>2519</v>
      </c>
      <c r="E4" s="1411">
        <v>0.1</v>
      </c>
      <c r="F4" t="b">
        <f>AND(calculadora!$E$7="Vivienda nueva",calculadora!$E$8&gt;250000,calculadora!$E$8&lt;=450000)</f>
        <v>0</v>
      </c>
      <c r="G4">
        <v>0.1</v>
      </c>
    </row>
    <row r="5" spans="1:8" x14ac:dyDescent="0.25">
      <c r="B5" t="s">
        <v>2512</v>
      </c>
      <c r="C5" t="s">
        <v>2520</v>
      </c>
      <c r="E5" s="1411">
        <v>0.2</v>
      </c>
      <c r="F5" t="b">
        <f>AND(calculadora!$E$7="Vivienda nueva",calculadora!$E$8&gt;450000,calculadora!$E$8&lt;=600000)</f>
        <v>0</v>
      </c>
      <c r="G5">
        <v>0.2</v>
      </c>
    </row>
    <row r="6" spans="1:8" x14ac:dyDescent="0.25">
      <c r="B6" t="s">
        <v>2512</v>
      </c>
      <c r="C6" s="1410">
        <v>600</v>
      </c>
      <c r="D6" s="1410"/>
      <c r="E6" s="1411">
        <v>0.25</v>
      </c>
      <c r="F6" t="b">
        <f>AND(calculadora!$E$7="Vivienda nueva",calculadora!$E$8&gt;600000)</f>
        <v>0</v>
      </c>
      <c r="G6">
        <v>0.25</v>
      </c>
    </row>
    <row r="7" spans="1:8" x14ac:dyDescent="0.25">
      <c r="B7" t="s">
        <v>2513</v>
      </c>
      <c r="C7" t="s">
        <v>2516</v>
      </c>
      <c r="E7" s="1411">
        <v>0.3</v>
      </c>
      <c r="F7" t="b">
        <f>AND(calculadora!$E$7="Vivienda vacacional",calculadora!$E$8&gt;50000,calculadora!$E$8&lt;10000000)</f>
        <v>0</v>
      </c>
      <c r="G7">
        <v>0.3</v>
      </c>
    </row>
    <row r="8" spans="1:8" x14ac:dyDescent="0.25">
      <c r="B8" t="s">
        <v>125</v>
      </c>
      <c r="C8" t="s">
        <v>2517</v>
      </c>
      <c r="E8" s="1411">
        <v>0.1</v>
      </c>
      <c r="F8" t="b">
        <f>AND(calculadora!$E$7="Vivienda usada",calculadora!$E$8&gt;40000,calculadora!$E$8&lt;200000)</f>
        <v>0</v>
      </c>
      <c r="G8">
        <v>0.1</v>
      </c>
    </row>
    <row r="9" spans="1:8" x14ac:dyDescent="0.25">
      <c r="B9" t="s">
        <v>125</v>
      </c>
      <c r="C9" t="s">
        <v>2516</v>
      </c>
      <c r="E9" s="1411">
        <v>0.2</v>
      </c>
      <c r="F9" t="b">
        <f>AND(calculadora!$E$7="Vivienda usada",calculadora!$E$8&gt;=200000,calculadora!$E$8&lt;400000)</f>
        <v>0</v>
      </c>
      <c r="G9">
        <v>0.2</v>
      </c>
    </row>
    <row r="10" spans="1:8" x14ac:dyDescent="0.25">
      <c r="B10" t="s">
        <v>125</v>
      </c>
      <c r="C10" t="s">
        <v>2518</v>
      </c>
      <c r="E10" s="1411">
        <v>0.3</v>
      </c>
      <c r="F10" t="b">
        <f>AND(calculadora!$E$7="Vivienda usada",calculadora!E8&gt;400000)</f>
        <v>0</v>
      </c>
      <c r="G10">
        <v>0.3</v>
      </c>
    </row>
    <row r="13" spans="1:8" x14ac:dyDescent="0.25">
      <c r="B13" t="s">
        <v>2521</v>
      </c>
      <c r="C13">
        <v>5</v>
      </c>
      <c r="D13">
        <v>10</v>
      </c>
      <c r="E13">
        <v>15</v>
      </c>
      <c r="F13">
        <v>20</v>
      </c>
      <c r="G13">
        <v>25</v>
      </c>
      <c r="H13">
        <v>30</v>
      </c>
    </row>
    <row r="15" spans="1:8" x14ac:dyDescent="0.25">
      <c r="B15" t="s">
        <v>2513</v>
      </c>
      <c r="C15">
        <v>5</v>
      </c>
      <c r="D15">
        <v>10</v>
      </c>
      <c r="E15">
        <v>15</v>
      </c>
      <c r="F15">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N65"/>
  <sheetViews>
    <sheetView showGridLines="0" zoomScale="80" zoomScaleNormal="80" workbookViewId="0">
      <selection activeCell="L27" sqref="L27"/>
    </sheetView>
  </sheetViews>
  <sheetFormatPr baseColWidth="10" defaultColWidth="11.42578125" defaultRowHeight="14.25" x14ac:dyDescent="0.2"/>
  <cols>
    <col min="1" max="1" width="5.42578125" style="89" customWidth="1"/>
    <col min="2" max="2" width="21.5703125" style="89" customWidth="1"/>
    <col min="3" max="3" width="30.28515625" style="89" customWidth="1"/>
    <col min="4" max="4" width="19" style="89" customWidth="1"/>
    <col min="5" max="5" width="9" style="89" customWidth="1"/>
    <col min="6" max="6" width="26.85546875" style="89" customWidth="1"/>
    <col min="7" max="7" width="16.42578125" style="89" customWidth="1"/>
    <col min="8" max="8" width="14.140625" style="89" bestFit="1" customWidth="1"/>
    <col min="9" max="9" width="12" style="89" bestFit="1" customWidth="1"/>
    <col min="10" max="16384" width="11.42578125" style="89"/>
  </cols>
  <sheetData>
    <row r="1" spans="1:10" s="49" customFormat="1" ht="33.75" customHeight="1" x14ac:dyDescent="0.25">
      <c r="A1" s="1524"/>
      <c r="B1" s="1525"/>
      <c r="C1" s="1525"/>
      <c r="D1" s="1525"/>
      <c r="E1" s="1525"/>
      <c r="F1" s="1525"/>
      <c r="G1" s="1525"/>
      <c r="H1" s="1526" t="s">
        <v>439</v>
      </c>
      <c r="I1" s="1527"/>
    </row>
    <row r="2" spans="1:10" s="49" customFormat="1" ht="11.25" customHeight="1" x14ac:dyDescent="0.25">
      <c r="A2" s="1528"/>
      <c r="B2" s="1529"/>
      <c r="C2" s="1529"/>
      <c r="D2" s="1529"/>
      <c r="E2" s="1529"/>
      <c r="F2" s="1529"/>
      <c r="G2" s="1529"/>
      <c r="H2" s="1529"/>
      <c r="I2" s="1530"/>
    </row>
    <row r="3" spans="1:10" s="49" customFormat="1" ht="10.5" customHeight="1" x14ac:dyDescent="0.25">
      <c r="A3" s="1531"/>
      <c r="B3" s="1532"/>
      <c r="C3" s="1532"/>
      <c r="D3" s="1532"/>
      <c r="E3" s="1532"/>
      <c r="F3" s="1532"/>
      <c r="G3" s="1532"/>
      <c r="H3" s="1532"/>
      <c r="I3" s="1533"/>
    </row>
    <row r="4" spans="1:10" s="49" customFormat="1" ht="17.25" customHeight="1" x14ac:dyDescent="0.25">
      <c r="A4" s="1534" t="s">
        <v>440</v>
      </c>
      <c r="B4" s="1535"/>
      <c r="C4" s="1535"/>
      <c r="D4" s="194" t="str">
        <f>IF('1.Hoja_de_Cotización'!R7=5,CONCATENATE(Hoja_Cambio!C16,"-",Hoja_Cambio!C18,"-",Hoja_Cambio!C20),(CONCATENATE('1.Hoja_de_Cotización'!C16,"-",'1.Hoja_de_Cotización'!C18,"-",'1.Hoja_de_Cotización'!C20,"-",'1.Hoja_de_Cotización'!C22,"-",'1.Hoja_de_Cotización'!C24)))</f>
        <v>Compra Vivienda Vacacional-Individual-Residencial-Nueva-Casa</v>
      </c>
      <c r="F4" s="50"/>
      <c r="G4" s="51"/>
      <c r="H4" s="51"/>
      <c r="I4" s="52"/>
    </row>
    <row r="5" spans="1:10" s="49" customFormat="1" ht="18.75" customHeight="1" x14ac:dyDescent="0.25">
      <c r="A5" s="1521" t="s">
        <v>441</v>
      </c>
      <c r="B5" s="1522"/>
      <c r="C5" s="1522"/>
      <c r="D5" s="1522"/>
      <c r="E5" s="1522"/>
      <c r="F5" s="1522"/>
      <c r="G5" s="1522"/>
      <c r="H5" s="1522"/>
      <c r="I5" s="1523"/>
    </row>
    <row r="6" spans="1:10" s="49" customFormat="1" ht="44.25" customHeight="1" x14ac:dyDescent="0.2">
      <c r="A6" s="53" t="s">
        <v>442</v>
      </c>
      <c r="B6" s="53" t="s">
        <v>81</v>
      </c>
      <c r="C6" s="53" t="s">
        <v>184</v>
      </c>
      <c r="D6" s="54" t="s">
        <v>443</v>
      </c>
      <c r="E6" s="53" t="s">
        <v>101</v>
      </c>
      <c r="F6" s="54" t="s">
        <v>444</v>
      </c>
      <c r="G6" s="127" t="s">
        <v>488</v>
      </c>
      <c r="H6" s="53" t="s">
        <v>445</v>
      </c>
      <c r="I6" s="53" t="s">
        <v>446</v>
      </c>
    </row>
    <row r="7" spans="1:10" s="49" customFormat="1" ht="17.25" customHeight="1" x14ac:dyDescent="0.2">
      <c r="A7" s="55">
        <v>1</v>
      </c>
      <c r="B7" s="171" t="str">
        <f>IF('1.Hoja_de_Cotización'!C68="","",'1.Hoja_de_Cotización'!C68)</f>
        <v>Dueño y Deudor</v>
      </c>
      <c r="C7" s="171" t="str">
        <f>IF('1.Hoja_de_Cotización'!C69="","",'1.Hoja_de_Cotización'!C69)</f>
        <v/>
      </c>
      <c r="D7" s="171" t="str">
        <f>IF('1.Hoja_de_Cotización'!C70="","",'1.Hoja_de_Cotización'!C70)</f>
        <v/>
      </c>
      <c r="E7" s="172" t="str">
        <f>Cálculos!D4</f>
        <v/>
      </c>
      <c r="F7" s="232" t="str">
        <f>IF('1.Hoja_de_Cotización'!C76="","",'1.Hoja_de_Cotización'!C76)</f>
        <v/>
      </c>
      <c r="G7" s="793" t="str">
        <f>IF('1.Hoja_de_Cotización'!C78="","",'1.Hoja_de_Cotización'!C78)</f>
        <v/>
      </c>
      <c r="H7" s="173">
        <f>IF('1.Hoja_de_Cotización'!C80="","",'1.Hoja_de_Cotización'!C80)</f>
        <v>500</v>
      </c>
      <c r="I7" s="174" t="str">
        <f>IF('1.Hoja_de_Cotización'!C81="","",'1.Hoja_de_Cotización'!C81)</f>
        <v/>
      </c>
    </row>
    <row r="8" spans="1:10" s="49" customFormat="1" ht="17.25" customHeight="1" x14ac:dyDescent="0.2">
      <c r="A8" s="57">
        <v>2</v>
      </c>
      <c r="B8" s="146" t="str">
        <f>IF('1.Hoja_de_Cotización'!E68="","",'1.Hoja_de_Cotización'!E68)</f>
        <v>Dueño y Deudor</v>
      </c>
      <c r="C8" s="146" t="str">
        <f>IF('1.Hoja_de_Cotización'!E69="","",'1.Hoja_de_Cotización'!E69)</f>
        <v/>
      </c>
      <c r="D8" s="146" t="str">
        <f>IF('1.Hoja_de_Cotización'!E70="","",'1.Hoja_de_Cotización'!E70)</f>
        <v/>
      </c>
      <c r="E8" s="175" t="str">
        <f>Cálculos!E4</f>
        <v/>
      </c>
      <c r="F8" s="232" t="str">
        <f>IF('1.Hoja_de_Cotización'!E76="","",'1.Hoja_de_Cotización'!E76)</f>
        <v/>
      </c>
      <c r="G8" s="176" t="str">
        <f>IF('1.Hoja_de_Cotización'!E78="","",'1.Hoja_de_Cotización'!E78)</f>
        <v/>
      </c>
      <c r="H8" s="177">
        <f>IF('1.Hoja_de_Cotización'!E80="","",'1.Hoja_de_Cotización'!E80)</f>
        <v>500</v>
      </c>
      <c r="I8" s="178" t="str">
        <f>IF('1.Hoja_de_Cotización'!E81="","",'1.Hoja_de_Cotización'!E81)</f>
        <v/>
      </c>
    </row>
    <row r="9" spans="1:10" s="49" customFormat="1" ht="15" customHeight="1" x14ac:dyDescent="0.25">
      <c r="A9" s="57">
        <v>3</v>
      </c>
      <c r="B9" s="146" t="str">
        <f>IF('1.Hoja_de_Cotización'!G68="","",'1.Hoja_de_Cotización'!G68)</f>
        <v>Fiador Solidario</v>
      </c>
      <c r="C9" s="146" t="str">
        <f>IF('1.Hoja_de_Cotización'!G69="","",'1.Hoja_de_Cotización'!G69)</f>
        <v>DSJT Soluciones E.</v>
      </c>
      <c r="D9" s="146" t="str">
        <f>IF('1.Hoja_de_Cotización'!G70="","",'1.Hoja_de_Cotización'!G70)</f>
        <v/>
      </c>
      <c r="E9" s="175" t="str">
        <f>Cálculos!F4</f>
        <v/>
      </c>
      <c r="F9" s="232" t="str">
        <f>IF('1.Hoja_de_Cotización'!G76="","",'1.Hoja_de_Cotización'!G76)</f>
        <v/>
      </c>
      <c r="G9" s="176" t="str">
        <f>IF('1.Hoja_de_Cotización'!G78="","",'1.Hoja_de_Cotización'!G78)</f>
        <v/>
      </c>
      <c r="H9" s="177" t="str">
        <f>IF('1.Hoja_de_Cotización'!G80="","",'1.Hoja_de_Cotización'!G80)</f>
        <v/>
      </c>
      <c r="I9" s="178" t="str">
        <f>IF('1.Hoja_de_Cotización'!G81="","",'1.Hoja_de_Cotización'!G81)</f>
        <v/>
      </c>
      <c r="J9" s="627"/>
    </row>
    <row r="10" spans="1:10" s="49" customFormat="1" ht="15" customHeight="1" x14ac:dyDescent="0.2">
      <c r="A10" s="57">
        <v>4</v>
      </c>
      <c r="B10" s="146" t="str">
        <f>IF('1.Hoja_de_Cotización'!H68="","",'1.Hoja_de_Cotización'!H68)</f>
        <v/>
      </c>
      <c r="C10" s="146" t="str">
        <f>IF('1.Hoja_de_Cotización'!H69="","",'1.Hoja_de_Cotización'!H69)</f>
        <v/>
      </c>
      <c r="D10" s="146" t="str">
        <f>IF('1.Hoja_de_Cotización'!H70="","",'1.Hoja_de_Cotización'!H70)</f>
        <v/>
      </c>
      <c r="E10" s="175" t="str">
        <f>Cálculos!G4</f>
        <v/>
      </c>
      <c r="F10" s="232" t="str">
        <f>IF('1.Hoja_de_Cotización'!H76="","",'1.Hoja_de_Cotización'!H76)</f>
        <v/>
      </c>
      <c r="G10" s="176" t="str">
        <f>IF('1.Hoja_de_Cotización'!H78="","",'1.Hoja_de_Cotización'!H78)</f>
        <v/>
      </c>
      <c r="H10" s="177" t="str">
        <f>IF('1.Hoja_de_Cotización'!H80="","",'1.Hoja_de_Cotización'!H80)</f>
        <v/>
      </c>
      <c r="I10" s="178" t="str">
        <f>IF('1.Hoja_de_Cotización'!H81="","",'1.Hoja_de_Cotización'!H81)</f>
        <v/>
      </c>
    </row>
    <row r="11" spans="1:10" s="49" customFormat="1" ht="15" x14ac:dyDescent="0.25">
      <c r="A11" s="59"/>
      <c r="B11" s="709" t="s">
        <v>486</v>
      </c>
      <c r="C11" s="709" t="s">
        <v>485</v>
      </c>
      <c r="D11" s="60" t="s">
        <v>447</v>
      </c>
      <c r="H11" s="109">
        <f>(Cálculos!B159+Cálculos!B160)</f>
        <v>1000</v>
      </c>
      <c r="I11" s="63"/>
    </row>
    <row r="12" spans="1:10" s="49" customFormat="1" x14ac:dyDescent="0.2">
      <c r="A12" s="64"/>
      <c r="B12" s="134" t="str">
        <f>IF('1.Hoja_de_Cotización'!C73="","",'1.Hoja_de_Cotización'!C73)</f>
        <v>205-1962</v>
      </c>
      <c r="C12" s="135" t="str">
        <f>IF('1.Hoja_de_Cotización'!E73="","",'1.Hoja_de_Cotización'!E73)</f>
        <v>205-1776</v>
      </c>
      <c r="D12" s="184" t="s">
        <v>796</v>
      </c>
      <c r="E12" s="61"/>
      <c r="F12" s="61"/>
      <c r="G12" s="61"/>
      <c r="H12" s="109">
        <f>IF(Cálculos!A216=0,Cálculos!B161,Cálculos!A216)</f>
        <v>0</v>
      </c>
      <c r="I12" s="63"/>
    </row>
    <row r="13" spans="1:10" s="49" customFormat="1" ht="15" x14ac:dyDescent="0.25">
      <c r="A13" s="64"/>
      <c r="B13" s="710" t="s">
        <v>483</v>
      </c>
      <c r="C13" s="710" t="s">
        <v>484</v>
      </c>
      <c r="D13" s="61" t="s">
        <v>795</v>
      </c>
      <c r="E13" s="61"/>
      <c r="F13" s="61"/>
      <c r="G13" s="61"/>
      <c r="H13" s="109">
        <f>IF(Cálculos!A216=0,Cálculos!B162,Cálculos!A216)</f>
        <v>0</v>
      </c>
      <c r="I13" s="63"/>
    </row>
    <row r="14" spans="1:10" s="49" customFormat="1" x14ac:dyDescent="0.2">
      <c r="A14" s="64"/>
      <c r="B14" s="136" t="str">
        <f>IF('1.Hoja_de_Cotización'!G73="","",'1.Hoja_de_Cotización'!G73)</f>
        <v/>
      </c>
      <c r="C14" s="137" t="str">
        <f>IF('1.Hoja_de_Cotización'!H73="","",'1.Hoja_de_Cotización'!H73)</f>
        <v/>
      </c>
      <c r="D14" s="49" t="s">
        <v>791</v>
      </c>
      <c r="E14" s="61"/>
      <c r="F14" s="61"/>
      <c r="G14" s="61"/>
      <c r="H14" s="109">
        <f>IF(Cálculos!A216=0,Cálculos!B163,Cálculos!A216)</f>
        <v>0</v>
      </c>
      <c r="I14" s="63"/>
    </row>
    <row r="15" spans="1:10" s="49" customFormat="1" x14ac:dyDescent="0.2">
      <c r="A15" s="60"/>
      <c r="B15" s="61"/>
      <c r="C15" s="61"/>
      <c r="D15" s="61" t="s">
        <v>792</v>
      </c>
      <c r="E15" s="61"/>
      <c r="F15" s="61"/>
      <c r="G15" s="61"/>
      <c r="H15" s="109">
        <f>IF(Cálculos!A216=0,Cálculos!B164,Cálculos!A216)</f>
        <v>2284.59</v>
      </c>
      <c r="I15" s="200"/>
    </row>
    <row r="16" spans="1:10" s="49" customFormat="1" ht="12.75" customHeight="1" x14ac:dyDescent="0.25">
      <c r="A16" s="201"/>
      <c r="B16" s="202"/>
      <c r="C16" s="202"/>
      <c r="D16" s="183" t="s">
        <v>677</v>
      </c>
      <c r="E16" s="202"/>
      <c r="F16" s="202"/>
      <c r="G16" s="202"/>
      <c r="H16" s="185">
        <f>IFERROR(IF('1.Hoja_de_Cotización'!R1=2,Cálculos!F189,Cálculos!F188),"")</f>
        <v>300</v>
      </c>
      <c r="I16" s="203"/>
    </row>
    <row r="17" spans="1:14" s="49" customFormat="1" ht="16.5" customHeight="1" x14ac:dyDescent="0.25">
      <c r="A17" s="1536" t="s">
        <v>448</v>
      </c>
      <c r="B17" s="1537"/>
      <c r="C17" s="1537"/>
      <c r="D17" s="1537"/>
      <c r="E17" s="1537"/>
      <c r="F17" s="1537"/>
      <c r="G17" s="1537"/>
      <c r="H17" s="1537"/>
      <c r="I17" s="1538"/>
    </row>
    <row r="18" spans="1:14" s="49" customFormat="1" ht="28.5" customHeight="1" x14ac:dyDescent="0.2">
      <c r="A18" s="60"/>
      <c r="B18" s="61" t="s">
        <v>47</v>
      </c>
      <c r="C18" s="1539" t="str">
        <f>IF('1.Hoja_de_Cotización'!C26 = "","",'1.Hoja_de_Cotización'!C26)</f>
        <v>X</v>
      </c>
      <c r="D18" s="1539"/>
      <c r="E18" s="67"/>
      <c r="F18" s="66" t="str">
        <f>IF(OR('1.Hoja_de_Cotización'!R1=2,'1.Hoja_de_Cotización'!R1=4),"","Valor mejoras")</f>
        <v>Valor mejoras</v>
      </c>
      <c r="G18" s="66"/>
      <c r="H18" s="109">
        <f>IF(OR('1.Hoja_de_Cotización'!R1=2,'1.Hoja_de_Cotización'!R1=4),"",'1.Hoja_de_Cotización'!C35)</f>
        <v>0</v>
      </c>
      <c r="I18" s="63"/>
    </row>
    <row r="19" spans="1:14" s="49" customFormat="1" ht="15" x14ac:dyDescent="0.25">
      <c r="A19" s="60"/>
      <c r="B19" s="61" t="s">
        <v>48</v>
      </c>
      <c r="C19" s="1539" t="str">
        <f>IF('1.Hoja_de_Cotización'!C28 = "","",'1.Hoja_de_Cotización'!C28)</f>
        <v>X</v>
      </c>
      <c r="D19" s="1539"/>
      <c r="E19" s="67"/>
      <c r="F19" s="626" t="str">
        <f>IF(OR('1.Hoja_de_Cotización'!R1=2,'1.Hoja_de_Cotización'!R1=4),"Valor propiedad/Venta Rápida","Valor Propiedad")</f>
        <v>Valor Propiedad</v>
      </c>
      <c r="G19" s="66"/>
      <c r="H19" s="113">
        <f>IF('1.Hoja_de_Cotización'!R7=5,Hoja_Cambio!C32,'1.Hoja_de_Cotización'!C33)</f>
        <v>0</v>
      </c>
      <c r="I19" s="63"/>
    </row>
    <row r="20" spans="1:14" s="49" customFormat="1" x14ac:dyDescent="0.2">
      <c r="A20" s="60"/>
      <c r="B20" s="61" t="s">
        <v>449</v>
      </c>
      <c r="C20" s="182">
        <f>IF('1.Hoja_de_Cotización'!G26&lt;&gt;"",'1.Hoja_de_Cotización'!G26,"")</f>
        <v>43525</v>
      </c>
      <c r="D20" s="56"/>
      <c r="E20" s="56"/>
      <c r="F20" s="66" t="str">
        <f>IF(OR('1.Hoja_de_Cotización'!R1=2,'1.Hoja_de_Cotización'!R1=4),"","Abono inicial")</f>
        <v>Abono inicial</v>
      </c>
      <c r="G20" s="66"/>
      <c r="H20" s="109">
        <f>IF(OR('1.Hoja_de_Cotización'!R1=2,'1.Hoja_de_Cotización'!R1=4),"",IF('1.Hoja_de_Cotización'!C42&gt;0,'1.Hoja_de_Cotización'!C42,'1.Hoja_de_Cotización'!C41))</f>
        <v>0</v>
      </c>
      <c r="I20" s="126" t="str">
        <f>IFERROR(H20/H19,"")</f>
        <v/>
      </c>
    </row>
    <row r="21" spans="1:14" s="49" customFormat="1" ht="15" x14ac:dyDescent="0.25">
      <c r="A21" s="68"/>
      <c r="B21" s="69"/>
      <c r="C21" s="69"/>
      <c r="D21" s="69"/>
      <c r="E21" s="69"/>
      <c r="F21" s="626" t="s">
        <v>961</v>
      </c>
      <c r="G21" s="66"/>
      <c r="H21" s="113">
        <f>IF('1.Hoja_de_Cotización'!R1=2,'1.Hoja_de_Cotización'!C43,'1.Hoja_de_Cotización'!C44)</f>
        <v>0</v>
      </c>
      <c r="I21" s="126" t="str">
        <f>IFERROR(H21/H19,"")</f>
        <v/>
      </c>
    </row>
    <row r="22" spans="1:14" s="49" customFormat="1" ht="15" x14ac:dyDescent="0.25">
      <c r="A22" s="68"/>
      <c r="B22" s="1540" t="str">
        <f>IF(Cálculos!B64&gt;0,"TASA               +              FECI/FONDO","TASA")</f>
        <v>TASA               +              FECI/FONDO</v>
      </c>
      <c r="C22" s="1540"/>
      <c r="D22" s="737">
        <f>IF(Cálculos!C64&gt;0,(Cálculos!B65+Cálculos!C64),Cálculos!B65)</f>
        <v>0.01</v>
      </c>
      <c r="E22" s="69"/>
      <c r="F22" s="71" t="str">
        <f>IF('1.Hoja_de_Cotización'!H120=0,"","Cancelaciones")</f>
        <v/>
      </c>
      <c r="G22" s="66"/>
      <c r="H22" s="138" t="str">
        <f>IF('1.Hoja_de_Cotización'!H120=0,"",'1.Hoja_de_Cotización'!H120)</f>
        <v/>
      </c>
      <c r="I22" s="73"/>
    </row>
    <row r="23" spans="1:14" s="49" customFormat="1" ht="15" x14ac:dyDescent="0.25">
      <c r="A23" s="68"/>
      <c r="B23" s="736">
        <f>IF(Cálculos!C64&gt;0,Cálculos!B65,"")</f>
        <v>0</v>
      </c>
      <c r="C23" s="736">
        <f>IF(Cálculos!C64&gt;0,Cálculos!C64,"")</f>
        <v>0.01</v>
      </c>
      <c r="D23" s="70"/>
      <c r="E23" s="69"/>
      <c r="F23" s="71" t="str">
        <f>IF('1.Hoja_de_Cotización'!H121=0,"","Apróximado a recibir")</f>
        <v/>
      </c>
      <c r="G23" s="74"/>
      <c r="H23" s="139" t="str">
        <f>IF('1.Hoja_de_Cotización'!H121=0,"",'1.Hoja_de_Cotización'!H121)</f>
        <v/>
      </c>
      <c r="I23" s="75"/>
      <c r="L23" s="71"/>
      <c r="N23" s="72"/>
    </row>
    <row r="24" spans="1:14" s="49" customFormat="1" ht="30" x14ac:dyDescent="0.25">
      <c r="A24" s="60"/>
      <c r="B24" s="61"/>
      <c r="C24" s="61"/>
      <c r="D24" s="977" t="s">
        <v>1278</v>
      </c>
      <c r="E24" s="61"/>
      <c r="F24" s="977" t="s">
        <v>1277</v>
      </c>
      <c r="G24" s="974"/>
      <c r="H24" s="974"/>
      <c r="I24" s="76"/>
    </row>
    <row r="25" spans="1:14" s="49" customFormat="1" ht="15" x14ac:dyDescent="0.25">
      <c r="A25" s="60"/>
      <c r="B25" s="56" t="s">
        <v>52</v>
      </c>
      <c r="C25" s="77"/>
      <c r="D25" s="750">
        <f>Cálculos!B148</f>
        <v>0</v>
      </c>
      <c r="E25" s="70"/>
      <c r="F25" s="750">
        <f>Cálculos!B148</f>
        <v>0</v>
      </c>
      <c r="G25" s="79"/>
      <c r="H25" s="80"/>
      <c r="I25" s="81"/>
    </row>
    <row r="26" spans="1:14" s="49" customFormat="1" ht="15" x14ac:dyDescent="0.25">
      <c r="A26" s="60"/>
      <c r="B26" s="56" t="s">
        <v>450</v>
      </c>
      <c r="C26" s="82"/>
      <c r="D26" s="145" t="str">
        <f>Cálculos!B10</f>
        <v/>
      </c>
      <c r="E26" s="78"/>
      <c r="F26" s="144" t="str">
        <f>Cálculos!C10</f>
        <v/>
      </c>
      <c r="G26" s="84"/>
      <c r="H26" s="85"/>
      <c r="I26" s="86"/>
    </row>
    <row r="27" spans="1:14" s="49" customFormat="1" ht="15" x14ac:dyDescent="0.2">
      <c r="A27" s="60"/>
      <c r="B27" s="56" t="s">
        <v>118</v>
      </c>
      <c r="C27" s="61"/>
      <c r="D27" s="144">
        <f>Cálculos!B11</f>
        <v>0</v>
      </c>
      <c r="E27" s="976" t="str">
        <f>IF(Cálculos!A232=TRUE,"Endosa",IF(D27=0,"","*"))</f>
        <v>Endosa</v>
      </c>
      <c r="F27" s="145">
        <f>Cálculos!C11</f>
        <v>0</v>
      </c>
      <c r="G27" s="878"/>
      <c r="H27" s="878"/>
      <c r="I27" s="879"/>
    </row>
    <row r="28" spans="1:14" s="49" customFormat="1" x14ac:dyDescent="0.2">
      <c r="A28" s="60"/>
      <c r="B28" s="56" t="s">
        <v>119</v>
      </c>
      <c r="C28" s="88"/>
      <c r="D28" s="145">
        <f>Cálculos!B12</f>
        <v>0</v>
      </c>
      <c r="E28" s="976" t="str">
        <f>IF(Cálculos!A233=TRUE,"Endosa","")</f>
        <v>Endosa</v>
      </c>
      <c r="F28" s="145">
        <f>Cálculos!C12</f>
        <v>0</v>
      </c>
      <c r="G28" s="69"/>
      <c r="H28" s="69"/>
      <c r="I28" s="76"/>
    </row>
    <row r="29" spans="1:14" s="49" customFormat="1" x14ac:dyDescent="0.2">
      <c r="A29" s="60"/>
      <c r="B29" s="146" t="str">
        <f>IF(D29="","","Manejo")</f>
        <v>Manejo</v>
      </c>
      <c r="C29" s="88"/>
      <c r="D29" s="145">
        <f>Cálculos!B13</f>
        <v>4.28</v>
      </c>
      <c r="E29" s="975"/>
      <c r="F29" s="145">
        <f>Cálculos!C13</f>
        <v>4.28</v>
      </c>
      <c r="G29" s="69"/>
      <c r="H29" s="69"/>
      <c r="I29" s="76"/>
    </row>
    <row r="30" spans="1:14" s="49" customFormat="1" x14ac:dyDescent="0.2">
      <c r="A30" s="60"/>
      <c r="B30" s="115" t="str">
        <f>IF(D30="","","Comisión Fideicomiso")</f>
        <v/>
      </c>
      <c r="C30" s="88"/>
      <c r="D30" s="144" t="str">
        <f>IF(Cálculos!B14= "0.00","",Cálculos!B14)</f>
        <v/>
      </c>
      <c r="E30" s="87"/>
      <c r="F30" s="144" t="str">
        <f>IF(Cálculos!C14="0.00","",Cálculos!C14)</f>
        <v/>
      </c>
      <c r="G30" s="69"/>
      <c r="H30" s="69"/>
      <c r="I30" s="76"/>
    </row>
    <row r="31" spans="1:14" s="49" customFormat="1" ht="15" x14ac:dyDescent="0.25">
      <c r="A31" s="60"/>
      <c r="B31" s="90" t="s">
        <v>120</v>
      </c>
      <c r="C31" s="88"/>
      <c r="D31" s="143">
        <f>Cálculos!B15</f>
        <v>4.28</v>
      </c>
      <c r="E31" s="91"/>
      <c r="F31" s="143">
        <f>Cálculos!C15</f>
        <v>4.28</v>
      </c>
    </row>
    <row r="32" spans="1:14" s="49" customFormat="1" ht="17.25" customHeight="1" x14ac:dyDescent="0.25">
      <c r="A32" s="60"/>
      <c r="B32" s="93"/>
      <c r="C32" s="94"/>
      <c r="D32" s="95"/>
      <c r="E32" s="91"/>
      <c r="F32" s="96"/>
      <c r="G32" s="66"/>
      <c r="H32" s="66"/>
      <c r="I32" s="92"/>
      <c r="M32" s="114"/>
    </row>
    <row r="33" spans="1:9" s="49" customFormat="1" ht="15" x14ac:dyDescent="0.25">
      <c r="A33" s="60"/>
      <c r="B33" s="61" t="s">
        <v>452</v>
      </c>
      <c r="C33" s="97"/>
      <c r="D33" s="140">
        <f>IF(Cálculos!B184=TRUE,((D31+Cálculos!B163)/0.35),((D31+Cálculos!B163)/0.3))</f>
        <v>14.266666666666667</v>
      </c>
      <c r="E33" s="96"/>
      <c r="F33" s="69"/>
      <c r="G33" s="69"/>
      <c r="H33" s="69"/>
      <c r="I33" s="76"/>
    </row>
    <row r="34" spans="1:9" s="49" customFormat="1" x14ac:dyDescent="0.2">
      <c r="A34" s="60"/>
      <c r="B34" s="61" t="s">
        <v>475</v>
      </c>
      <c r="C34" s="98"/>
      <c r="D34" s="141">
        <f>'1.Hoja_de_Cotización'!E88</f>
        <v>2.2888700000000002</v>
      </c>
      <c r="E34" s="58"/>
      <c r="F34" s="69"/>
      <c r="G34" s="69"/>
      <c r="H34" s="69"/>
      <c r="I34" s="76"/>
    </row>
    <row r="35" spans="1:9" s="49" customFormat="1" ht="15" x14ac:dyDescent="0.25">
      <c r="A35" s="60"/>
      <c r="B35" s="61" t="s">
        <v>108</v>
      </c>
      <c r="C35" s="99"/>
      <c r="D35" s="142">
        <f>'1.Hoja_de_Cotización'!C88</f>
        <v>2.2888700000000002</v>
      </c>
      <c r="E35" s="100"/>
      <c r="F35" s="1541" t="s">
        <v>451</v>
      </c>
      <c r="G35" s="1542"/>
      <c r="H35" s="740">
        <f>Cálculos!L40</f>
        <v>0</v>
      </c>
      <c r="I35" s="76"/>
    </row>
    <row r="36" spans="1:9" s="49" customFormat="1" x14ac:dyDescent="0.2">
      <c r="A36" s="60"/>
      <c r="B36" s="89"/>
      <c r="C36" s="101"/>
      <c r="D36" s="102"/>
      <c r="E36" s="103"/>
      <c r="F36" s="69"/>
      <c r="G36" s="69"/>
      <c r="H36" s="69"/>
      <c r="I36" s="76"/>
    </row>
    <row r="37" spans="1:9" s="49" customFormat="1" ht="15" x14ac:dyDescent="0.25">
      <c r="A37" s="60"/>
      <c r="B37" s="1543" t="s">
        <v>417</v>
      </c>
      <c r="C37" s="1544"/>
      <c r="D37" s="1544"/>
      <c r="E37" s="104"/>
      <c r="F37" s="1545" t="s">
        <v>418</v>
      </c>
      <c r="G37" s="1546"/>
      <c r="H37" s="1544"/>
      <c r="I37" s="105"/>
    </row>
    <row r="38" spans="1:9" s="49" customFormat="1" ht="12.75" customHeight="1" x14ac:dyDescent="0.2">
      <c r="A38" s="60"/>
      <c r="B38" s="1581" t="str">
        <f>Cálculos!K16</f>
        <v>Servicios especiales</v>
      </c>
      <c r="C38" s="1581"/>
      <c r="D38" s="106">
        <f>Cálculos!L16</f>
        <v>0</v>
      </c>
      <c r="E38" s="101"/>
      <c r="F38" s="1582" t="str">
        <f>Cálculos!N13</f>
        <v>Notaría</v>
      </c>
      <c r="G38" s="1582"/>
      <c r="H38" s="107">
        <f>IF('1.Hoja_de_Cotización'!R8=2,0,Cálculos!O13)</f>
        <v>0</v>
      </c>
      <c r="I38" s="108"/>
    </row>
    <row r="39" spans="1:9" s="49" customFormat="1" ht="13.5" customHeight="1" x14ac:dyDescent="0.2">
      <c r="A39" s="60"/>
      <c r="B39" s="1582" t="str">
        <f>Cálculos!K13</f>
        <v>Comisión de cierre</v>
      </c>
      <c r="C39" s="1582"/>
      <c r="D39" s="109">
        <f>IF('1.Hoja_de_Cotización'!R14=1,0,Cálculos!L13)</f>
        <v>0</v>
      </c>
      <c r="E39" s="61"/>
      <c r="F39" s="1582" t="str">
        <f>Cálculos!N14</f>
        <v>Registro</v>
      </c>
      <c r="G39" s="1582"/>
      <c r="H39" s="107">
        <f>IF('1.Hoja_de_Cotización'!R8= 2, 0,Cálculos!O14)</f>
        <v>0</v>
      </c>
      <c r="I39" s="108"/>
    </row>
    <row r="40" spans="1:9" s="49" customFormat="1" x14ac:dyDescent="0.2">
      <c r="A40" s="60"/>
      <c r="B40" s="1582" t="str">
        <f>Cálculos!K14</f>
        <v>Tramitación del préstamo</v>
      </c>
      <c r="C40" s="1582"/>
      <c r="D40" s="109">
        <f>IF('1.Hoja_de_Cotización'!R14=1,0,Cálculos!L14)</f>
        <v>0</v>
      </c>
      <c r="E40" s="88"/>
      <c r="F40" s="1582" t="str">
        <f>Cálculos!N15</f>
        <v>Certificado ley</v>
      </c>
      <c r="G40" s="1582"/>
      <c r="H40" s="110">
        <f>Cálculos!O15</f>
        <v>0</v>
      </c>
      <c r="I40" s="108"/>
    </row>
    <row r="41" spans="1:9" s="49" customFormat="1" ht="15" x14ac:dyDescent="0.25">
      <c r="A41" s="60"/>
      <c r="B41" s="1582" t="str">
        <f>Cálculos!K15</f>
        <v>Servicios legales</v>
      </c>
      <c r="C41" s="1582"/>
      <c r="D41" s="109">
        <f>IF('1.Hoja_de_Cotización'!R14=1,0,Cálculos!L15)</f>
        <v>0</v>
      </c>
      <c r="E41" s="62"/>
      <c r="F41" s="1584" t="str">
        <f>IF('1.Hoja_de_Cotización'!R8=2,Cálculos!N17,Cálculos!N18)</f>
        <v xml:space="preserve">Sub-total </v>
      </c>
      <c r="G41" s="1584"/>
      <c r="H41" s="111">
        <f>IF('1.Hoja_de_Cotización'!R8=2,Cálculos!O17,Cálculos!O18)</f>
        <v>0</v>
      </c>
      <c r="I41" s="108"/>
    </row>
    <row r="42" spans="1:9" s="49" customFormat="1" ht="15" x14ac:dyDescent="0.25">
      <c r="A42" s="60"/>
      <c r="B42" s="1584" t="str">
        <f>Cálculos!K17</f>
        <v>Total de comisiones</v>
      </c>
      <c r="C42" s="1584"/>
      <c r="D42" s="112">
        <f>IF('1.Hoja_de_Cotización'!R14=1,0,Cálculos!L17)</f>
        <v>0</v>
      </c>
      <c r="E42" s="62"/>
      <c r="F42" s="1585"/>
      <c r="G42" s="1585"/>
      <c r="H42" s="110"/>
      <c r="I42" s="108"/>
    </row>
    <row r="43" spans="1:9" s="49" customFormat="1" ht="15" x14ac:dyDescent="0.25">
      <c r="A43" s="60"/>
      <c r="B43" s="1583" t="str">
        <f>Cálculos!K18</f>
        <v>ITBMS</v>
      </c>
      <c r="C43" s="1583"/>
      <c r="D43" s="113">
        <f>IF('1.Hoja_de_Cotización'!R14=1,0,Cálculos!L18)</f>
        <v>0</v>
      </c>
      <c r="E43" s="88"/>
      <c r="F43" s="49" t="s">
        <v>453</v>
      </c>
      <c r="H43" s="147">
        <f>Cálculos!O19</f>
        <v>0</v>
      </c>
      <c r="I43" s="108"/>
    </row>
    <row r="44" spans="1:9" s="49" customFormat="1" ht="17.25" customHeight="1" x14ac:dyDescent="0.2">
      <c r="A44" s="60"/>
      <c r="B44" s="115"/>
      <c r="C44" s="115"/>
      <c r="D44" s="115"/>
      <c r="E44" s="88"/>
      <c r="H44" s="114"/>
      <c r="I44" s="108"/>
    </row>
    <row r="45" spans="1:9" s="49" customFormat="1" ht="15.75" thickBot="1" x14ac:dyDescent="0.3">
      <c r="A45" s="60"/>
      <c r="B45" s="1579" t="str">
        <f>Cálculos!K20</f>
        <v>Sub-Total comisiones más impuestos</v>
      </c>
      <c r="C45" s="1579"/>
      <c r="D45" s="112">
        <f>IF('1.Hoja_de_Cotización'!R14=1,0,Cálculos!L20)</f>
        <v>0</v>
      </c>
      <c r="E45" s="88"/>
      <c r="F45" s="1580" t="str">
        <f>Cálculos!N22</f>
        <v>Total a Pagar por el cliente</v>
      </c>
      <c r="G45" s="1580"/>
      <c r="H45" s="116">
        <f>IF('1.Hoja_de_Cotización'!R14=1,(Cálculos!O22-Cálculos!L20),Cálculos!O22)</f>
        <v>0</v>
      </c>
      <c r="I45" s="108" t="s">
        <v>553</v>
      </c>
    </row>
    <row r="46" spans="1:9" s="49" customFormat="1" ht="15.75" thickTop="1" x14ac:dyDescent="0.25">
      <c r="A46" s="60"/>
      <c r="B46" s="89"/>
      <c r="C46" s="89"/>
      <c r="D46" s="89"/>
      <c r="E46" s="117"/>
      <c r="F46" s="1553" t="str">
        <f>IF(F47="","","Otras condiciones(%)")</f>
        <v/>
      </c>
      <c r="G46" s="1553"/>
      <c r="H46" s="1553"/>
      <c r="I46" s="108"/>
    </row>
    <row r="47" spans="1:9" s="49" customFormat="1" ht="15" x14ac:dyDescent="0.25">
      <c r="A47" s="65"/>
      <c r="B47" s="1554"/>
      <c r="C47" s="1555"/>
      <c r="D47" s="1556"/>
      <c r="E47" s="118"/>
      <c r="F47" s="1557" t="str">
        <f>IF(H47=" ","","Comisión de renovación")</f>
        <v/>
      </c>
      <c r="G47" s="1557"/>
      <c r="H47" s="119" t="str">
        <f>IF('1.Hoja_de_Cotización'!R10=1,Cálculos!B177," ")</f>
        <v xml:space="preserve"> </v>
      </c>
      <c r="I47" s="120"/>
    </row>
    <row r="48" spans="1:9" s="49" customFormat="1" ht="1.5" hidden="1" customHeight="1" x14ac:dyDescent="0.2">
      <c r="A48" s="1570" t="str">
        <f>IF('1.Hoja_de_Cotización'!R7=2,"FERIA",IF('1.Hoja_de_Cotización'!R7=4,"OFERTA A COLABORADORES DE COPA AIRLINES ",""))</f>
        <v/>
      </c>
      <c r="B48" s="1571"/>
      <c r="C48" s="1571"/>
      <c r="D48" s="1571"/>
      <c r="E48" s="1571"/>
      <c r="F48" s="1571"/>
      <c r="G48" s="1571"/>
      <c r="H48" s="1571"/>
      <c r="I48" s="1572"/>
    </row>
    <row r="49" spans="1:9" s="49" customFormat="1" ht="0.75" hidden="1" customHeight="1" x14ac:dyDescent="0.2">
      <c r="A49" s="1561" t="str">
        <f>IF(AND('1.Hoja_de_Cotización'!R7=4,'1.Hoja_de_Cotización'!R14=1),"Gastos Legales Gratis hasta B/.2,000.00 y 3% de penalización por cancelación antes de los 5 años","")</f>
        <v/>
      </c>
      <c r="B49" s="1562"/>
      <c r="C49" s="1562"/>
      <c r="D49" s="1562"/>
      <c r="E49" s="1562"/>
      <c r="F49" s="1562"/>
      <c r="G49" s="1562"/>
      <c r="H49" s="1562"/>
      <c r="I49" s="1563"/>
    </row>
    <row r="50" spans="1:9" s="49" customFormat="1" ht="15" customHeight="1" x14ac:dyDescent="0.2">
      <c r="A50" s="585" t="s">
        <v>454</v>
      </c>
      <c r="B50" s="593"/>
      <c r="C50" s="593"/>
      <c r="D50" s="593"/>
      <c r="E50" s="593"/>
      <c r="F50" s="593"/>
      <c r="G50" s="593"/>
      <c r="H50" s="593"/>
      <c r="I50" s="594"/>
    </row>
    <row r="51" spans="1:9" s="49" customFormat="1" ht="15" customHeight="1" x14ac:dyDescent="0.2">
      <c r="A51" s="1564" t="s">
        <v>2495</v>
      </c>
      <c r="B51" s="1565"/>
      <c r="C51" s="1565"/>
      <c r="D51" s="1565"/>
      <c r="E51" s="1565"/>
      <c r="F51" s="1565"/>
      <c r="G51" s="1565"/>
      <c r="H51" s="1565"/>
      <c r="I51" s="1566"/>
    </row>
    <row r="52" spans="1:9" s="49" customFormat="1" ht="8.25" customHeight="1" x14ac:dyDescent="0.2">
      <c r="A52" s="1564"/>
      <c r="B52" s="1565"/>
      <c r="C52" s="1565"/>
      <c r="D52" s="1565"/>
      <c r="E52" s="1565"/>
      <c r="F52" s="1565"/>
      <c r="G52" s="1565"/>
      <c r="H52" s="1565"/>
      <c r="I52" s="1566"/>
    </row>
    <row r="53" spans="1:9" s="49" customFormat="1" ht="9" customHeight="1" x14ac:dyDescent="0.2">
      <c r="A53" s="1567"/>
      <c r="B53" s="1568"/>
      <c r="C53" s="1568"/>
      <c r="D53" s="1568"/>
      <c r="E53" s="1568"/>
      <c r="F53" s="1568"/>
      <c r="G53" s="1568"/>
      <c r="H53" s="1568"/>
      <c r="I53" s="1569"/>
    </row>
    <row r="54" spans="1:9" s="49" customFormat="1" ht="12" customHeight="1" x14ac:dyDescent="0.2">
      <c r="A54" s="1558" t="s">
        <v>455</v>
      </c>
      <c r="B54" s="1559"/>
      <c r="C54" s="1559"/>
      <c r="D54" s="1559"/>
      <c r="E54" s="1559"/>
      <c r="F54" s="1559"/>
      <c r="G54" s="1559"/>
      <c r="H54" s="1559"/>
      <c r="I54" s="1560"/>
    </row>
    <row r="55" spans="1:9" s="49" customFormat="1" ht="14.25" customHeight="1" x14ac:dyDescent="0.2">
      <c r="A55" s="1547"/>
      <c r="B55" s="1548"/>
      <c r="C55" s="1548"/>
      <c r="D55" s="1548"/>
      <c r="E55" s="1548"/>
      <c r="F55" s="1548"/>
      <c r="G55" s="1548"/>
      <c r="H55" s="1548"/>
      <c r="I55" s="1549"/>
    </row>
    <row r="56" spans="1:9" s="49" customFormat="1" ht="12" customHeight="1" x14ac:dyDescent="0.2">
      <c r="A56" s="1547" t="s">
        <v>456</v>
      </c>
      <c r="B56" s="1548"/>
      <c r="C56" s="1548"/>
      <c r="D56" s="1548"/>
      <c r="E56" s="1548"/>
      <c r="F56" s="1548"/>
      <c r="G56" s="1548"/>
      <c r="H56" s="1548"/>
      <c r="I56" s="1549"/>
    </row>
    <row r="57" spans="1:9" s="49" customFormat="1" ht="15.75" customHeight="1" x14ac:dyDescent="0.2">
      <c r="A57" s="1547"/>
      <c r="B57" s="1548"/>
      <c r="C57" s="1548"/>
      <c r="D57" s="1548"/>
      <c r="E57" s="1548"/>
      <c r="F57" s="1548"/>
      <c r="G57" s="1548"/>
      <c r="H57" s="1548"/>
      <c r="I57" s="1549"/>
    </row>
    <row r="58" spans="1:9" s="49" customFormat="1" ht="14.25" customHeight="1" x14ac:dyDescent="0.2">
      <c r="A58" s="1547" t="s">
        <v>457</v>
      </c>
      <c r="B58" s="1548"/>
      <c r="C58" s="1548"/>
      <c r="D58" s="1548"/>
      <c r="E58" s="1548"/>
      <c r="F58" s="1548"/>
      <c r="G58" s="1548"/>
      <c r="H58" s="1548"/>
      <c r="I58" s="1549"/>
    </row>
    <row r="59" spans="1:9" s="49" customFormat="1" ht="13.5" customHeight="1" x14ac:dyDescent="0.2">
      <c r="A59" s="1547" t="s">
        <v>458</v>
      </c>
      <c r="B59" s="1548"/>
      <c r="C59" s="1548"/>
      <c r="D59" s="1548"/>
      <c r="E59" s="1548"/>
      <c r="F59" s="1548"/>
      <c r="G59" s="1548"/>
      <c r="H59" s="1548"/>
      <c r="I59" s="1549"/>
    </row>
    <row r="60" spans="1:9" s="49" customFormat="1" ht="29.25" customHeight="1" x14ac:dyDescent="0.2">
      <c r="A60" s="1573" t="s">
        <v>459</v>
      </c>
      <c r="B60" s="1574"/>
      <c r="C60" s="1574"/>
      <c r="D60" s="1574"/>
      <c r="E60" s="1574"/>
      <c r="F60" s="1574"/>
      <c r="G60" s="1574"/>
      <c r="H60" s="1574"/>
      <c r="I60" s="1575"/>
    </row>
    <row r="61" spans="1:9" s="49" customFormat="1" ht="28.5" customHeight="1" x14ac:dyDescent="0.2">
      <c r="A61" s="1576" t="s">
        <v>1680</v>
      </c>
      <c r="B61" s="1577"/>
      <c r="C61" s="1577"/>
      <c r="D61" s="1577"/>
      <c r="E61" s="1577"/>
      <c r="F61" s="1577"/>
      <c r="G61" s="1577"/>
      <c r="H61" s="1577"/>
      <c r="I61" s="1578"/>
    </row>
    <row r="62" spans="1:9" s="49" customFormat="1" ht="60" customHeight="1" x14ac:dyDescent="0.2">
      <c r="A62" s="1550" t="s">
        <v>1286</v>
      </c>
      <c r="B62" s="1551"/>
      <c r="C62" s="1551"/>
      <c r="D62" s="1551"/>
      <c r="E62" s="1551"/>
      <c r="F62" s="1551"/>
      <c r="G62" s="1551"/>
      <c r="H62" s="1551"/>
      <c r="I62" s="1552"/>
    </row>
    <row r="63" spans="1:9" s="49" customFormat="1" ht="17.25" customHeight="1" x14ac:dyDescent="0.2">
      <c r="A63" s="1593" t="s">
        <v>460</v>
      </c>
      <c r="B63" s="1594"/>
      <c r="C63" s="1595" t="str">
        <f>IF('1.Hoja_de_Cotización'!H8=0,"",'1.Hoja_de_Cotización'!H8)</f>
        <v xml:space="preserve">Yahaira De La Cruz </v>
      </c>
      <c r="D63" s="1595"/>
      <c r="E63" s="1596" t="s">
        <v>2489</v>
      </c>
      <c r="F63" s="1597"/>
      <c r="G63" s="121" t="s">
        <v>461</v>
      </c>
      <c r="H63" s="1598">
        <f ca="1">TODAY()</f>
        <v>43816</v>
      </c>
      <c r="I63" s="1599"/>
    </row>
    <row r="64" spans="1:9" s="49" customFormat="1" x14ac:dyDescent="0.2">
      <c r="A64" s="1586" t="s">
        <v>462</v>
      </c>
      <c r="B64" s="1586"/>
      <c r="C64" s="1587" t="str">
        <f>IF('1.Hoja_de_Cotización'!H12=0,"",'1.Hoja_de_Cotización'!H12)</f>
        <v>CAPITAL HUMANO</v>
      </c>
      <c r="D64" s="1588"/>
      <c r="E64" s="1588"/>
      <c r="F64" s="1589"/>
      <c r="G64" s="1590"/>
      <c r="H64" s="1591"/>
      <c r="I64" s="1592"/>
    </row>
    <row r="65" spans="1:9" s="49" customFormat="1" x14ac:dyDescent="0.2">
      <c r="A65" s="122"/>
      <c r="B65" s="122"/>
      <c r="C65" s="122"/>
      <c r="D65" s="122"/>
      <c r="E65" s="122"/>
      <c r="F65" s="122"/>
      <c r="G65" s="122"/>
      <c r="H65" s="122"/>
      <c r="I65" s="122"/>
    </row>
  </sheetData>
  <sheetProtection algorithmName="SHA-512" hashValue="XcFFQitIt36d3Ma5AYDnpTbnqdHYTuwwzKyA33tOandeCuqLy6J+LW3bVkf36ItID1gDtYtVuAAhgNgkZwGnEw==" saltValue="PZhkQkt2EAl63QupC7BreQ==" spinCount="100000" sheet="1" objects="1" scenarios="1"/>
  <mergeCells count="46">
    <mergeCell ref="A64:B64"/>
    <mergeCell ref="C64:F64"/>
    <mergeCell ref="G64:I64"/>
    <mergeCell ref="A63:B63"/>
    <mergeCell ref="C63:D63"/>
    <mergeCell ref="E63:F63"/>
    <mergeCell ref="H63:I63"/>
    <mergeCell ref="B45:C45"/>
    <mergeCell ref="F45:G45"/>
    <mergeCell ref="B38:C38"/>
    <mergeCell ref="F38:G38"/>
    <mergeCell ref="B39:C39"/>
    <mergeCell ref="F39:G39"/>
    <mergeCell ref="B43:C43"/>
    <mergeCell ref="B40:C40"/>
    <mergeCell ref="F40:G40"/>
    <mergeCell ref="B41:C41"/>
    <mergeCell ref="F41:G41"/>
    <mergeCell ref="B42:C42"/>
    <mergeCell ref="F42:G42"/>
    <mergeCell ref="A58:I58"/>
    <mergeCell ref="A59:I59"/>
    <mergeCell ref="A62:I62"/>
    <mergeCell ref="F46:H46"/>
    <mergeCell ref="B47:D47"/>
    <mergeCell ref="F47:G47"/>
    <mergeCell ref="A54:I55"/>
    <mergeCell ref="A56:I57"/>
    <mergeCell ref="A49:I49"/>
    <mergeCell ref="A51:I53"/>
    <mergeCell ref="A48:I48"/>
    <mergeCell ref="A60:I60"/>
    <mergeCell ref="A61:I61"/>
    <mergeCell ref="A17:I17"/>
    <mergeCell ref="C19:D19"/>
    <mergeCell ref="B22:C22"/>
    <mergeCell ref="F35:G35"/>
    <mergeCell ref="B37:D37"/>
    <mergeCell ref="F37:H37"/>
    <mergeCell ref="C18:D18"/>
    <mergeCell ref="A5:I5"/>
    <mergeCell ref="A1:G1"/>
    <mergeCell ref="H1:I1"/>
    <mergeCell ref="A2:I2"/>
    <mergeCell ref="A3:I3"/>
    <mergeCell ref="A4:C4"/>
  </mergeCells>
  <printOptions horizontalCentered="1"/>
  <pageMargins left="0.39370078740157483" right="0.39370078740157483" top="0.98425196850393704" bottom="0.98425196850393704" header="0" footer="0"/>
  <pageSetup scale="63" orientation="portrait" r:id="rId1"/>
  <headerFooter differentFirst="1" alignWithMargins="0">
    <oddFooter>&amp;LHipo-V2.06</oddFooter>
    <firstFooter>&amp;LHipo-V5.54</first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7"/>
  <dimension ref="A1:BG111"/>
  <sheetViews>
    <sheetView showGridLines="0" topLeftCell="A34" zoomScale="80" zoomScaleNormal="80" workbookViewId="0">
      <selection activeCell="L20" sqref="L20"/>
    </sheetView>
  </sheetViews>
  <sheetFormatPr baseColWidth="10" defaultColWidth="11.42578125" defaultRowHeight="15" x14ac:dyDescent="0.25"/>
  <cols>
    <col min="1" max="1" width="0.5703125" style="642" customWidth="1"/>
    <col min="2" max="2" width="25.42578125" style="642" customWidth="1"/>
    <col min="3" max="3" width="23.140625" style="642" customWidth="1"/>
    <col min="4" max="4" width="13.85546875" style="642" customWidth="1"/>
    <col min="5" max="5" width="11.42578125" style="642"/>
    <col min="6" max="6" width="14.140625" style="642" customWidth="1"/>
    <col min="7" max="7" width="24.42578125" style="642" customWidth="1"/>
    <col min="8" max="8" width="16" style="642" customWidth="1"/>
    <col min="9" max="9" width="14.140625" style="642" customWidth="1"/>
    <col min="10" max="12" width="11.42578125" style="642"/>
    <col min="13" max="13" width="18.42578125" style="642" customWidth="1"/>
    <col min="14" max="14" width="11.5703125" style="642" bestFit="1" customWidth="1"/>
    <col min="15" max="15" width="20.42578125" style="642" customWidth="1"/>
    <col min="16" max="16" width="11.42578125" style="642" customWidth="1"/>
    <col min="17" max="17" width="29" style="643" hidden="1" customWidth="1"/>
    <col min="18" max="18" width="13.7109375" style="643" hidden="1" customWidth="1"/>
    <col min="19" max="19" width="14.5703125" style="643" hidden="1" customWidth="1"/>
    <col min="20" max="21" width="11.42578125" style="642" hidden="1" customWidth="1"/>
    <col min="22" max="22" width="11.5703125" style="642" hidden="1" customWidth="1"/>
    <col min="23" max="24" width="11.42578125" style="642" hidden="1" customWidth="1"/>
    <col min="25" max="25" width="60.28515625" style="642" hidden="1" customWidth="1"/>
    <col min="26" max="26" width="15.140625" style="642" hidden="1" customWidth="1"/>
    <col min="27" max="30" width="11.42578125" style="642" hidden="1" customWidth="1"/>
    <col min="31" max="31" width="14.7109375" style="642" hidden="1" customWidth="1"/>
    <col min="32" max="32" width="18.7109375" style="642" hidden="1" customWidth="1"/>
    <col min="33" max="33" width="11.42578125" style="642" hidden="1" customWidth="1"/>
    <col min="34" max="34" width="21" style="642" hidden="1" customWidth="1"/>
    <col min="35" max="35" width="14.7109375" style="642" hidden="1" customWidth="1"/>
    <col min="36" max="41" width="11.42578125" style="642" hidden="1" customWidth="1"/>
    <col min="42" max="42" width="58.5703125" style="642" hidden="1" customWidth="1"/>
    <col min="43" max="43" width="8.7109375" style="642" hidden="1" customWidth="1"/>
    <col min="44" max="44" width="11.42578125" style="642" hidden="1" customWidth="1"/>
    <col min="45" max="45" width="67.42578125" style="642" hidden="1" customWidth="1"/>
    <col min="46" max="48" width="11.42578125" style="642" hidden="1" customWidth="1"/>
    <col min="49" max="49" width="12.7109375" style="642" hidden="1" customWidth="1"/>
    <col min="50" max="59" width="11.42578125" style="642" hidden="1" customWidth="1"/>
    <col min="60" max="16384" width="11.42578125" style="642"/>
  </cols>
  <sheetData>
    <row r="1" spans="2:53" ht="18" customHeight="1" x14ac:dyDescent="0.25">
      <c r="Q1" s="164" t="s">
        <v>5</v>
      </c>
      <c r="R1" s="165">
        <f>IF(ISBLANK(C16),"",VLOOKUP(C16,combo_finalidad,2,FALSE))</f>
        <v>6</v>
      </c>
      <c r="Y1" s="711" t="s">
        <v>949</v>
      </c>
      <c r="Z1" s="259" t="s">
        <v>165</v>
      </c>
      <c r="AA1" s="259" t="s">
        <v>96</v>
      </c>
      <c r="AB1" s="259" t="s">
        <v>97</v>
      </c>
      <c r="AC1" s="259" t="s">
        <v>98</v>
      </c>
      <c r="AE1" s="1621" t="s">
        <v>943</v>
      </c>
      <c r="AF1" s="1621"/>
      <c r="AH1" s="1613" t="s">
        <v>155</v>
      </c>
      <c r="AI1" s="1613"/>
      <c r="AJ1" s="1613"/>
      <c r="AK1" s="1613"/>
      <c r="AL1" s="1613"/>
      <c r="AM1" s="1613"/>
      <c r="AP1" s="1603" t="s">
        <v>479</v>
      </c>
      <c r="AQ1" s="1603"/>
      <c r="AR1" s="1603"/>
      <c r="AS1" s="1603"/>
      <c r="AV1" s="1608" t="s">
        <v>679</v>
      </c>
      <c r="AW1" s="1608"/>
      <c r="AX1" s="1608"/>
      <c r="AY1" s="1608"/>
      <c r="AZ1" s="1608"/>
      <c r="BA1" s="1608"/>
    </row>
    <row r="2" spans="2:53" ht="12" customHeight="1" x14ac:dyDescent="0.25">
      <c r="Q2" s="164" t="s">
        <v>69</v>
      </c>
      <c r="R2" s="165">
        <f>IF(ISBLANK(C18),"",VLOOKUP(C18,combo_tipoPrestamo,2,FALSE))</f>
        <v>1</v>
      </c>
      <c r="Y2" s="712" t="s">
        <v>947</v>
      </c>
      <c r="Z2" s="265" t="str">
        <f>IF(C69="","",C69)</f>
        <v/>
      </c>
      <c r="AA2" s="265" t="str">
        <f>IF(E69="","",E69)</f>
        <v/>
      </c>
      <c r="AB2" s="265" t="str">
        <f>IF(G69="","",G69)</f>
        <v/>
      </c>
      <c r="AC2" s="265" t="str">
        <f>IF(H69="","",H69)</f>
        <v/>
      </c>
      <c r="AE2" s="713" t="s">
        <v>941</v>
      </c>
      <c r="AF2" s="714" t="str">
        <f>IF(C36="","",C36)</f>
        <v/>
      </c>
      <c r="AH2" s="350" t="s">
        <v>156</v>
      </c>
      <c r="AI2" s="350" t="s">
        <v>157</v>
      </c>
      <c r="AJ2" s="350" t="s">
        <v>158</v>
      </c>
      <c r="AK2" s="286">
        <v>0</v>
      </c>
      <c r="AL2" s="286">
        <v>0</v>
      </c>
      <c r="AM2" s="286" t="e">
        <f>VLOOKUP(AI3,AK2:AL12,2,TRUE)</f>
        <v>#N/A</v>
      </c>
      <c r="AP2" s="364" t="s">
        <v>476</v>
      </c>
      <c r="AQ2" s="123">
        <f t="shared" ref="AQ2:AQ7" si="0">SUM(C75:I75)</f>
        <v>0</v>
      </c>
      <c r="AR2" s="1604" t="s">
        <v>953</v>
      </c>
      <c r="AS2" s="1605"/>
      <c r="AV2" s="401" t="s">
        <v>680</v>
      </c>
      <c r="AW2" s="402" t="s">
        <v>681</v>
      </c>
      <c r="AX2" s="402" t="s">
        <v>682</v>
      </c>
      <c r="AY2" s="402" t="s">
        <v>683</v>
      </c>
      <c r="AZ2" s="402" t="s">
        <v>684</v>
      </c>
      <c r="BA2" s="403" t="s">
        <v>685</v>
      </c>
    </row>
    <row r="3" spans="2:53" ht="17.25" customHeight="1" x14ac:dyDescent="0.25">
      <c r="Q3" s="164" t="s">
        <v>71</v>
      </c>
      <c r="R3" s="165">
        <f>IF(ISBLANK(C20),"",VLOOKUP(C20,combo_tipoTrámite,2,FALSE))</f>
        <v>1</v>
      </c>
      <c r="Y3" s="712" t="s">
        <v>100</v>
      </c>
      <c r="Z3" s="623">
        <f ca="1">TODAY()</f>
        <v>43816</v>
      </c>
      <c r="AA3" s="623">
        <f ca="1">TODAY()</f>
        <v>43816</v>
      </c>
      <c r="AB3" s="623">
        <f ca="1">TODAY()</f>
        <v>43816</v>
      </c>
      <c r="AC3" s="623">
        <f ca="1">TODAY()</f>
        <v>43816</v>
      </c>
      <c r="AE3" s="715" t="s">
        <v>100</v>
      </c>
      <c r="AF3" s="714">
        <f ca="1">TODAY()</f>
        <v>43816</v>
      </c>
      <c r="AH3" s="286" t="s">
        <v>159</v>
      </c>
      <c r="AI3" s="351" t="str">
        <f>Z4</f>
        <v/>
      </c>
      <c r="AJ3" s="290">
        <f>ROUND(IF(AND(AH10=TRUE,AI3&lt;=70),(H32*AM2),0)*1.05,2)</f>
        <v>0</v>
      </c>
      <c r="AK3" s="286">
        <v>18</v>
      </c>
      <c r="AL3" s="286">
        <v>2.0000000000000001E-4</v>
      </c>
      <c r="AM3" s="286" t="e">
        <f>VLOOKUP(AI4,AK3:AL12,2,TRUE)</f>
        <v>#N/A</v>
      </c>
      <c r="AP3" s="364" t="s">
        <v>477</v>
      </c>
      <c r="AQ3" s="123">
        <f t="shared" si="0"/>
        <v>0</v>
      </c>
      <c r="AR3" s="392">
        <f>SUM(AQ2:AQ3)</f>
        <v>0</v>
      </c>
      <c r="AS3" s="364" t="s">
        <v>951</v>
      </c>
      <c r="AV3" s="404">
        <f>C66</f>
        <v>0</v>
      </c>
      <c r="AW3" s="864" t="b">
        <v>0</v>
      </c>
      <c r="AX3" s="272">
        <f>IF(AW3=TRUE,0.55,0.5)</f>
        <v>0.5</v>
      </c>
      <c r="AY3" s="272" t="str">
        <f>IF(C75&gt;0,(AX3-((C77+C79)/C75))*C75,"")</f>
        <v/>
      </c>
      <c r="AZ3" s="272">
        <f>IF(AY3&gt;((AX3-0.2)*C75-C79),((AX3-0.2)*C75-C79),AY3)</f>
        <v>0</v>
      </c>
      <c r="BA3" s="272">
        <f>IF(AZ3&gt;=0,AZ3,0)</f>
        <v>0</v>
      </c>
    </row>
    <row r="4" spans="2:53" ht="17.25" customHeight="1" x14ac:dyDescent="0.25">
      <c r="B4" s="1649" t="s">
        <v>0</v>
      </c>
      <c r="C4" s="1649"/>
      <c r="D4" s="1649"/>
      <c r="E4" s="1649"/>
      <c r="F4" s="1649"/>
      <c r="G4" s="1649"/>
      <c r="H4" s="1649"/>
      <c r="I4" s="1649"/>
      <c r="Q4" s="164" t="s">
        <v>14</v>
      </c>
      <c r="R4" s="165">
        <f>IF(ISBLANK(C22),"",VLOOKUP(C22,combo_antiguedad,2,FALSE))</f>
        <v>2</v>
      </c>
      <c r="Y4" s="712" t="s">
        <v>948</v>
      </c>
      <c r="Z4" s="271" t="str">
        <f>IF(Z2="","",YEAR(Z3)-YEAR(Z2))</f>
        <v/>
      </c>
      <c r="AA4" s="271" t="str">
        <f>IF(AA2="","",YEAR(AA3)-YEAR(AA2))</f>
        <v/>
      </c>
      <c r="AB4" s="271" t="str">
        <f>IF(AB2="","",YEAR(AB3)-YEAR(AB2))</f>
        <v/>
      </c>
      <c r="AC4" s="271" t="str">
        <f>IF(AC2="","",YEAR(AC3)-YEAR(AC2))</f>
        <v/>
      </c>
      <c r="AE4" s="713" t="s">
        <v>942</v>
      </c>
      <c r="AF4" s="712" t="str">
        <f>IF(AF2="","",YEAR(AF2)-YEAR(AF3))</f>
        <v/>
      </c>
      <c r="AH4" s="286" t="s">
        <v>160</v>
      </c>
      <c r="AI4" s="351" t="str">
        <f>AA4</f>
        <v/>
      </c>
      <c r="AJ4" s="290">
        <f>ROUND(IF(AND(AH11=TRUE,AI4&lt;=70),(H32*AM3),0)*1.05,2)</f>
        <v>0</v>
      </c>
      <c r="AK4" s="286">
        <v>26</v>
      </c>
      <c r="AL4" s="286">
        <v>2.5000000000000001E-4</v>
      </c>
      <c r="AM4" s="286" t="e">
        <f>VLOOKUP(AI5,AK3:AL12,2,TRUE)</f>
        <v>#N/A</v>
      </c>
      <c r="AP4" s="393" t="s">
        <v>789</v>
      </c>
      <c r="AQ4" s="123">
        <f t="shared" si="0"/>
        <v>0</v>
      </c>
      <c r="AR4" s="625">
        <f>AQ4+AQ5</f>
        <v>0</v>
      </c>
      <c r="AS4" s="364" t="s">
        <v>794</v>
      </c>
      <c r="AV4" s="404" t="s">
        <v>955</v>
      </c>
      <c r="AW4" s="864" t="b">
        <v>0</v>
      </c>
      <c r="AX4" s="272">
        <f>IF(AW4=TRUE,0.55,0.5)</f>
        <v>0.5</v>
      </c>
      <c r="AY4" s="272" t="str">
        <f>IF(E75&gt;0,(AX4-((E77+E79)/E75))*E75,"")</f>
        <v/>
      </c>
      <c r="AZ4" s="272">
        <f>IF(AY4&gt;((AX4-0.2)*E75-E79),((AX4-0.2)*E75-E79),AY4)</f>
        <v>0</v>
      </c>
      <c r="BA4" s="272">
        <f>IF(AZ4&gt;=0,AZ4,0)</f>
        <v>0</v>
      </c>
    </row>
    <row r="5" spans="2:53" ht="18" customHeight="1" x14ac:dyDescent="0.25">
      <c r="Q5" s="164" t="s">
        <v>72</v>
      </c>
      <c r="R5" s="165">
        <f>IF(ISBLANK(C24),"",VLOOKUP(C24,combo_garantía,2,FALSE))</f>
        <v>2</v>
      </c>
      <c r="AH5" s="286" t="s">
        <v>161</v>
      </c>
      <c r="AI5" s="351" t="str">
        <f>AB4</f>
        <v/>
      </c>
      <c r="AJ5" s="290">
        <f>ROUND(IF(AND(AH12=TRUE,AI5&lt;=70),(H32*AM4),0)*1.05,2)</f>
        <v>0</v>
      </c>
      <c r="AK5" s="286">
        <v>31</v>
      </c>
      <c r="AL5" s="286">
        <v>2.9999999999999997E-4</v>
      </c>
      <c r="AM5" s="286" t="e">
        <f>VLOOKUP(AI6,AK2:AL12,2,TRUE)</f>
        <v>#N/A</v>
      </c>
      <c r="AP5" s="393" t="s">
        <v>790</v>
      </c>
      <c r="AQ5" s="123">
        <f t="shared" si="0"/>
        <v>0</v>
      </c>
      <c r="AR5" s="1606" t="s">
        <v>478</v>
      </c>
      <c r="AS5" s="1607"/>
      <c r="AV5" s="404" t="s">
        <v>956</v>
      </c>
      <c r="AW5" s="864" t="b">
        <v>0</v>
      </c>
      <c r="AX5" s="272">
        <f>IF(AW5=TRUE,0.55,0.5)</f>
        <v>0.5</v>
      </c>
      <c r="AY5" s="272" t="str">
        <f>IF(G75&gt;0,(AX5-((G77+G79)/G75))*G75,"")</f>
        <v/>
      </c>
      <c r="AZ5" s="272">
        <f>IF(AY5&gt;((AX5-0.2)*G75-G79),((AX5-0.2)*G75-G79),AY5)</f>
        <v>0</v>
      </c>
      <c r="BA5" s="272">
        <f>IF(AZ5&gt;=0,AZ5,0)</f>
        <v>0</v>
      </c>
    </row>
    <row r="6" spans="2:53" x14ac:dyDescent="0.25">
      <c r="B6" s="748" t="s">
        <v>1</v>
      </c>
      <c r="C6" s="645">
        <f ca="1">TODAY()</f>
        <v>43816</v>
      </c>
      <c r="Q6" s="164" t="s">
        <v>70</v>
      </c>
      <c r="R6" s="166" t="str">
        <f>IF(OR(R1=1,R1=3,R1=5),"SI","NO")</f>
        <v>NO</v>
      </c>
      <c r="Y6" s="283" t="s">
        <v>132</v>
      </c>
      <c r="Z6" s="298">
        <v>0.8</v>
      </c>
      <c r="AH6" s="286" t="s">
        <v>162</v>
      </c>
      <c r="AI6" s="351" t="str">
        <f>AC4</f>
        <v/>
      </c>
      <c r="AJ6" s="290">
        <f>ROUND(IF(AND(AH13=TRUE,AI6&lt;=70),(H32*AM5),0)*1.05,2)</f>
        <v>0</v>
      </c>
      <c r="AK6" s="286">
        <v>36</v>
      </c>
      <c r="AL6" s="286">
        <v>3.5E-4</v>
      </c>
      <c r="AM6" s="286"/>
      <c r="AP6" s="393" t="s">
        <v>791</v>
      </c>
      <c r="AQ6" s="123">
        <f t="shared" si="0"/>
        <v>0</v>
      </c>
      <c r="AR6" s="392">
        <f>SUM(AQ4:AQ7)</f>
        <v>0</v>
      </c>
      <c r="AS6" s="364" t="s">
        <v>802</v>
      </c>
      <c r="AV6" s="404" t="s">
        <v>957</v>
      </c>
      <c r="AW6" s="864" t="b">
        <v>0</v>
      </c>
      <c r="AX6" s="272">
        <f>IF(AW6=TRUE,0.55,0.5)</f>
        <v>0.5</v>
      </c>
      <c r="AY6" s="272" t="str">
        <f>IF(H75&gt;0,(AX6-((H78+H80)/H75))*H75,"")</f>
        <v/>
      </c>
      <c r="AZ6" s="272">
        <f>IF(AY6&gt;((AX6-0.2)*H75-H80),((AX6-0.2)*H75-H80),AY6)</f>
        <v>0</v>
      </c>
      <c r="BA6" s="272">
        <f>IF(AZ6&gt;=0,AZ6,0)</f>
        <v>0</v>
      </c>
    </row>
    <row r="7" spans="2:53" ht="32.25" customHeight="1" x14ac:dyDescent="0.25">
      <c r="Q7" s="164" t="s">
        <v>2</v>
      </c>
      <c r="R7" s="166" t="str">
        <f>IF('1.Hoja_de_Cotización'!R7=5,'1.Hoja_de_Cotización'!R7,"")</f>
        <v/>
      </c>
      <c r="S7" s="716" t="str">
        <f>IF('1.Hoja_de_Cotización'!R7=5,'1.Hoja_de_Cotización'!T7,"")</f>
        <v/>
      </c>
      <c r="Y7" s="1614" t="s">
        <v>950</v>
      </c>
      <c r="Z7" s="1614"/>
      <c r="AH7" s="286" t="s">
        <v>163</v>
      </c>
      <c r="AI7" s="314"/>
      <c r="AJ7" s="290">
        <f>SUM(AJ3:AJ6)</f>
        <v>0</v>
      </c>
      <c r="AK7" s="286">
        <v>41</v>
      </c>
      <c r="AL7" s="286">
        <v>4.0000000000000002E-4</v>
      </c>
      <c r="AM7" s="286"/>
      <c r="AP7" s="394" t="s">
        <v>792</v>
      </c>
      <c r="AQ7" s="123">
        <f t="shared" si="0"/>
        <v>0</v>
      </c>
      <c r="AR7" s="395">
        <f>AQ6+AQ7</f>
        <v>0</v>
      </c>
      <c r="AS7" s="394" t="s">
        <v>793</v>
      </c>
      <c r="AV7" s="1609" t="s">
        <v>686</v>
      </c>
      <c r="AW7" s="1609" t="b">
        <v>1</v>
      </c>
      <c r="AX7" s="1609"/>
      <c r="AY7" s="405">
        <f>SUM(AY3:AY6)</f>
        <v>0</v>
      </c>
      <c r="AZ7" s="405">
        <f>SUM(AZ3:AZ6)</f>
        <v>0</v>
      </c>
      <c r="BA7" s="405">
        <f>SUM(BA3:BA6)</f>
        <v>0</v>
      </c>
    </row>
    <row r="8" spans="2:53" ht="19.5" customHeight="1" x14ac:dyDescent="0.25">
      <c r="B8" s="748" t="s">
        <v>2</v>
      </c>
      <c r="C8" s="1652" t="str">
        <f>S7</f>
        <v/>
      </c>
      <c r="D8" s="1653"/>
      <c r="E8" s="717"/>
      <c r="G8" s="748" t="s">
        <v>754</v>
      </c>
      <c r="H8" s="1650" t="s">
        <v>749</v>
      </c>
      <c r="I8" s="1651"/>
      <c r="Q8" s="164" t="s">
        <v>217</v>
      </c>
      <c r="R8" s="166">
        <f>IF(ISBLANK(H89),"",VLOOKUP(H89,combo_fideicomiso,2,FALSE))</f>
        <v>1</v>
      </c>
      <c r="Y8" s="272" t="s">
        <v>154</v>
      </c>
      <c r="Z8" s="324" t="str">
        <f>IF(ISBLANK(C42),"",VLOOKUP(C42,combo_PolIncendio,2,FALSE))</f>
        <v/>
      </c>
      <c r="AH8" s="332"/>
      <c r="AI8" s="300"/>
      <c r="AJ8" s="300"/>
      <c r="AK8" s="286">
        <v>46</v>
      </c>
      <c r="AL8" s="286">
        <v>5.0000000000000001E-4</v>
      </c>
      <c r="AM8" s="286"/>
      <c r="AP8" s="396" t="s">
        <v>475</v>
      </c>
      <c r="AQ8" s="397"/>
      <c r="AR8" s="396" t="str">
        <f>IFERROR((AR6+R31)/(AQ2),"")</f>
        <v/>
      </c>
      <c r="AS8" s="364"/>
    </row>
    <row r="9" spans="2:53" ht="14.25" customHeight="1" x14ac:dyDescent="0.25">
      <c r="B9" s="644"/>
      <c r="C9" s="648"/>
      <c r="D9" s="649"/>
      <c r="E9" s="647"/>
      <c r="G9" s="644"/>
      <c r="H9" s="705"/>
      <c r="I9" s="706"/>
      <c r="Q9" s="167" t="s">
        <v>109</v>
      </c>
      <c r="R9" s="168">
        <f>VLOOKUP(H56,combo_hace_escritura,2,FALSE)</f>
        <v>1</v>
      </c>
      <c r="Y9" s="272" t="s">
        <v>153</v>
      </c>
      <c r="Z9" s="326">
        <f>ROUND(IF(Z8=1,(Z13*Z6*Z14)/12,0),2)</f>
        <v>0</v>
      </c>
      <c r="AH9" s="352" t="s">
        <v>164</v>
      </c>
      <c r="AI9" s="300"/>
      <c r="AJ9" s="300"/>
      <c r="AK9" s="286">
        <v>51</v>
      </c>
      <c r="AL9" s="286">
        <v>6.9999999999999999E-4</v>
      </c>
      <c r="AM9" s="286"/>
      <c r="AP9" s="272" t="s">
        <v>695</v>
      </c>
      <c r="AQ9" s="396" t="str">
        <f>IFERROR((AR6+R31)/AQ2,"")</f>
        <v/>
      </c>
      <c r="AR9" s="260"/>
      <c r="AS9" s="260"/>
    </row>
    <row r="10" spans="2:53" ht="18.75" customHeight="1" x14ac:dyDescent="0.25">
      <c r="B10" s="748" t="s">
        <v>487</v>
      </c>
      <c r="C10" s="1500" t="s">
        <v>502</v>
      </c>
      <c r="D10" s="1501"/>
      <c r="E10" s="650"/>
      <c r="F10" s="650"/>
      <c r="G10" s="748" t="s">
        <v>3</v>
      </c>
      <c r="H10" s="1496" t="s">
        <v>54</v>
      </c>
      <c r="I10" s="1497"/>
      <c r="Q10" s="643" t="s">
        <v>676</v>
      </c>
      <c r="R10" s="643">
        <f>IF(AND(R14=1,R7=4),1,IF(ISBLANK(C91),"",VLOOKUP(C91,combo_renovación,2,FALSE)))</f>
        <v>2</v>
      </c>
      <c r="T10" s="642">
        <f>IF(ISBLANK(C91),"",VLOOKUP(C91,combo_renovación,2,FALSE))</f>
        <v>2</v>
      </c>
      <c r="AH10" s="883" t="b">
        <v>0</v>
      </c>
      <c r="AI10" s="300"/>
      <c r="AJ10" s="300"/>
      <c r="AK10" s="286">
        <v>56</v>
      </c>
      <c r="AL10" s="286">
        <v>8.0000000000000004E-4</v>
      </c>
      <c r="AM10" s="286"/>
      <c r="AP10" s="272" t="s">
        <v>696</v>
      </c>
      <c r="AQ10" s="272" t="str">
        <f>IF(OR(AQ2&gt;0,AQ3&gt;0),(R31+AR7)/(AQ2),"")</f>
        <v/>
      </c>
      <c r="AR10" s="260"/>
      <c r="AS10" s="260"/>
    </row>
    <row r="11" spans="2:53" x14ac:dyDescent="0.25">
      <c r="AH11" s="884" t="b">
        <v>0</v>
      </c>
      <c r="AI11" s="353"/>
      <c r="AJ11" s="300"/>
      <c r="AK11" s="286">
        <v>61</v>
      </c>
      <c r="AL11" s="286">
        <v>8.9999999999999998E-4</v>
      </c>
      <c r="AM11" s="286"/>
      <c r="AP11" s="272" t="s">
        <v>697</v>
      </c>
      <c r="AQ11" s="260" t="str">
        <f>IF(OR(AQ2&gt;0,AQ3&gt;0),(R31+AR7)/(AQ2),"")</f>
        <v/>
      </c>
      <c r="AR11" s="260"/>
      <c r="AS11" s="260"/>
    </row>
    <row r="12" spans="2:53" x14ac:dyDescent="0.25">
      <c r="B12" s="644"/>
      <c r="C12" s="738"/>
      <c r="Y12" s="1615" t="s">
        <v>146</v>
      </c>
      <c r="Z12" s="1616"/>
      <c r="AH12" s="884" t="b">
        <v>0</v>
      </c>
      <c r="AI12" s="353"/>
      <c r="AJ12" s="300"/>
      <c r="AK12" s="286">
        <v>70</v>
      </c>
      <c r="AL12" s="286">
        <v>1E-3</v>
      </c>
      <c r="AM12" s="286"/>
    </row>
    <row r="13" spans="2:53" x14ac:dyDescent="0.25">
      <c r="B13" s="644"/>
      <c r="C13" s="651"/>
      <c r="Y13" s="321" t="s">
        <v>147</v>
      </c>
      <c r="Z13" s="322">
        <f>C32</f>
        <v>0</v>
      </c>
      <c r="AH13" s="884" t="b">
        <v>0</v>
      </c>
      <c r="AI13" s="300"/>
      <c r="AJ13" s="300"/>
      <c r="AK13" s="332"/>
      <c r="AL13" s="332"/>
      <c r="AM13" s="300"/>
    </row>
    <row r="14" spans="2:53" ht="15" customHeight="1" x14ac:dyDescent="0.25">
      <c r="B14" s="1628" t="s">
        <v>43</v>
      </c>
      <c r="C14" s="1628"/>
      <c r="D14" s="1628"/>
      <c r="E14" s="1628"/>
      <c r="F14" s="1628"/>
      <c r="G14" s="1628"/>
      <c r="H14" s="1628"/>
      <c r="I14" s="1628"/>
      <c r="Q14" s="643" t="s">
        <v>918</v>
      </c>
      <c r="R14" s="643">
        <f>IF(ISBLANK(H53),"",VLOOKUP(H53,combo_gastos_empl,2,FALSE))</f>
        <v>2</v>
      </c>
      <c r="Y14" s="321" t="s">
        <v>148</v>
      </c>
      <c r="Z14" s="323">
        <f>AC18</f>
        <v>1.575E-3</v>
      </c>
    </row>
    <row r="15" spans="2:53" x14ac:dyDescent="0.25">
      <c r="Q15" s="643" t="s">
        <v>919</v>
      </c>
      <c r="T15" s="642">
        <v>1</v>
      </c>
      <c r="U15" s="642" t="s">
        <v>920</v>
      </c>
      <c r="AH15" s="642" t="s">
        <v>1029</v>
      </c>
    </row>
    <row r="16" spans="2:53" x14ac:dyDescent="0.25">
      <c r="B16" s="16" t="s">
        <v>41</v>
      </c>
      <c r="C16" s="1629" t="s">
        <v>28</v>
      </c>
      <c r="D16" s="1629"/>
      <c r="E16" s="1630"/>
      <c r="G16" s="1631"/>
      <c r="H16" s="1632"/>
      <c r="I16" s="1632"/>
      <c r="T16" s="642">
        <v>2</v>
      </c>
      <c r="U16" s="642" t="s">
        <v>921</v>
      </c>
      <c r="AH16" s="1007" t="b">
        <v>0</v>
      </c>
    </row>
    <row r="17" spans="1:44" x14ac:dyDescent="0.25">
      <c r="G17" s="1631"/>
      <c r="H17" s="1632"/>
      <c r="I17" s="1632"/>
      <c r="Q17" s="643" t="s">
        <v>924</v>
      </c>
      <c r="R17" s="643">
        <f>IF(AND(C32&gt;40000.01,C32&lt;=80000),1,2)</f>
        <v>2</v>
      </c>
      <c r="T17" s="642">
        <v>1</v>
      </c>
      <c r="U17" s="642" t="s">
        <v>110</v>
      </c>
      <c r="Y17" s="331" t="s">
        <v>133</v>
      </c>
      <c r="Z17" s="1617" t="s">
        <v>134</v>
      </c>
      <c r="AA17" s="1618"/>
      <c r="AB17" s="332"/>
      <c r="AC17" s="333" t="s">
        <v>148</v>
      </c>
      <c r="AP17" s="367" t="s">
        <v>293</v>
      </c>
      <c r="AQ17" s="368" t="s">
        <v>294</v>
      </c>
      <c r="AR17" s="369"/>
    </row>
    <row r="18" spans="1:44" x14ac:dyDescent="0.25">
      <c r="B18" s="16" t="s">
        <v>42</v>
      </c>
      <c r="C18" s="1626" t="s">
        <v>9</v>
      </c>
      <c r="D18" s="1627"/>
      <c r="Y18" s="308" t="s">
        <v>136</v>
      </c>
      <c r="Z18" s="335">
        <v>0</v>
      </c>
      <c r="AA18" s="314">
        <v>1.9E-3</v>
      </c>
      <c r="AB18" s="336">
        <f>IF(C32&gt;80000,VLOOKUP(C32,(Z18:AA21),2,TRUE),AA18)</f>
        <v>1.9E-3</v>
      </c>
      <c r="AC18" s="337">
        <f>IF(R4=1,AB18,AB24)</f>
        <v>1.575E-3</v>
      </c>
      <c r="AP18" s="370" t="str">
        <f>IF(ISBLANK(C65),"",VLOOKUP(C65,combo_participante,2,FALSE))</f>
        <v/>
      </c>
      <c r="AQ18" s="370">
        <f>IF(OR(AP18=1,AP18= 2,AP18=4),1,0)</f>
        <v>0</v>
      </c>
      <c r="AR18" s="369"/>
    </row>
    <row r="19" spans="1:44" ht="15" customHeight="1" x14ac:dyDescent="0.25">
      <c r="G19" s="1648"/>
      <c r="H19" s="1648"/>
      <c r="I19" s="1648"/>
      <c r="Y19" s="314" t="s">
        <v>138</v>
      </c>
      <c r="Z19" s="339">
        <v>65001</v>
      </c>
      <c r="AA19" s="314">
        <v>1.9E-3</v>
      </c>
      <c r="AB19" s="332"/>
      <c r="AC19" s="332"/>
      <c r="AP19" s="370" t="str">
        <f>IF(ISBLANK(E65),"",VLOOKUP(E65,combo_participante,2,FALSE))</f>
        <v/>
      </c>
      <c r="AQ19" s="370">
        <f>IF(OR(AP19=1,AP19= 2,AP19=4),1,0)</f>
        <v>0</v>
      </c>
      <c r="AR19" s="369"/>
    </row>
    <row r="20" spans="1:44" x14ac:dyDescent="0.25">
      <c r="B20" s="16" t="s">
        <v>44</v>
      </c>
      <c r="C20" s="1622" t="s">
        <v>11</v>
      </c>
      <c r="D20" s="1623"/>
      <c r="E20" s="647"/>
      <c r="F20" s="647"/>
      <c r="G20" s="1648"/>
      <c r="H20" s="1648"/>
      <c r="I20" s="1648"/>
      <c r="Y20" s="314" t="s">
        <v>140</v>
      </c>
      <c r="Z20" s="339">
        <v>80001</v>
      </c>
      <c r="AA20" s="310">
        <v>1.0499999999999999E-3</v>
      </c>
      <c r="AB20" s="332"/>
      <c r="AC20" s="332"/>
      <c r="AP20" s="370" t="str">
        <f>IF(ISBLANK(G65),"",VLOOKUP(G65,combo_participante,2,FALSE))</f>
        <v/>
      </c>
      <c r="AQ20" s="370">
        <f>IF(OR(AP20=1,AP20= 2,AP20=4),1,0)</f>
        <v>0</v>
      </c>
      <c r="AR20" s="369"/>
    </row>
    <row r="21" spans="1:44" x14ac:dyDescent="0.25">
      <c r="Y21" s="314" t="s">
        <v>140</v>
      </c>
      <c r="Z21" s="339">
        <v>250000</v>
      </c>
      <c r="AA21" s="310">
        <v>9.4499999999999998E-4</v>
      </c>
      <c r="AB21" s="332"/>
      <c r="AC21" s="332"/>
      <c r="AP21" s="370" t="str">
        <f>IF(ISBLANK(H65),"",VLOOKUP(H65,combo_participante,2,FALSE))</f>
        <v/>
      </c>
      <c r="AQ21" s="370">
        <f>IF(OR(AP21=1,AP21= 2,AP21=4),1,0)</f>
        <v>0</v>
      </c>
      <c r="AR21" s="369"/>
    </row>
    <row r="22" spans="1:44" x14ac:dyDescent="0.25">
      <c r="B22" s="16" t="s">
        <v>14</v>
      </c>
      <c r="C22" s="1622" t="s">
        <v>24</v>
      </c>
      <c r="D22" s="1623"/>
      <c r="G22" s="1624"/>
      <c r="H22" s="1625"/>
      <c r="I22" s="1625"/>
      <c r="Y22" s="332"/>
      <c r="Z22" s="332"/>
      <c r="AA22" s="332"/>
      <c r="AB22" s="332"/>
      <c r="AC22" s="332"/>
      <c r="AP22" s="371" t="s">
        <v>295</v>
      </c>
      <c r="AQ22" s="370">
        <f>SUM(AQ18:AQ21)</f>
        <v>0</v>
      </c>
      <c r="AR22" s="372">
        <f>IF(AQ24=1,AQ22*2,2)</f>
        <v>0</v>
      </c>
    </row>
    <row r="23" spans="1:44" x14ac:dyDescent="0.25">
      <c r="G23" s="1624"/>
      <c r="H23" s="1625"/>
      <c r="I23" s="1625"/>
      <c r="Y23" s="624" t="s">
        <v>135</v>
      </c>
      <c r="Z23" s="1619" t="s">
        <v>134</v>
      </c>
      <c r="AA23" s="1620"/>
      <c r="AB23" s="343"/>
      <c r="AC23" s="343"/>
      <c r="AP23" s="373"/>
      <c r="AQ23" s="373"/>
      <c r="AR23" s="374"/>
    </row>
    <row r="24" spans="1:44" x14ac:dyDescent="0.25">
      <c r="B24" s="16" t="s">
        <v>46</v>
      </c>
      <c r="C24" s="1626" t="s">
        <v>25</v>
      </c>
      <c r="D24" s="1627"/>
      <c r="E24" s="195" t="str">
        <f>IF(C24="Unidad de Vivienda","Apartamento",IF(C24="Casa","Casa","Apartamento"))</f>
        <v>Apartamento</v>
      </c>
      <c r="F24" s="197" t="str">
        <f>IF(C24="Unidad de Vivienda","Casas elevadas a P.H.","")</f>
        <v/>
      </c>
      <c r="Y24" s="286" t="s">
        <v>136</v>
      </c>
      <c r="Z24" s="346">
        <v>1</v>
      </c>
      <c r="AA24" s="310">
        <v>1.575E-3</v>
      </c>
      <c r="AB24" s="336">
        <f>IF(C32&gt;80000,VLOOKUP(C32,(Z24:AA27),2,TRUE),AA24)</f>
        <v>1.575E-3</v>
      </c>
      <c r="AC24" s="332"/>
      <c r="AP24" s="371" t="s">
        <v>188</v>
      </c>
      <c r="AQ24" s="370">
        <f>IF(ISBLANK(C89),"",VLOOKUP(C89,combo_forma_pago,2,FALSE))</f>
        <v>1</v>
      </c>
      <c r="AR24" s="369"/>
    </row>
    <row r="25" spans="1:44" x14ac:dyDescent="0.25">
      <c r="Q25" s="711" t="s">
        <v>53</v>
      </c>
      <c r="R25" s="711" t="s">
        <v>1279</v>
      </c>
      <c r="S25" s="711" t="s">
        <v>1280</v>
      </c>
      <c r="Y25" s="314" t="s">
        <v>140</v>
      </c>
      <c r="Z25" s="348">
        <v>80001</v>
      </c>
      <c r="AA25" s="316">
        <v>1.2600000000000001E-3</v>
      </c>
      <c r="AB25" s="343"/>
      <c r="AC25" s="343"/>
      <c r="AP25" s="373"/>
      <c r="AQ25" s="373"/>
      <c r="AR25" s="369"/>
    </row>
    <row r="26" spans="1:44" ht="19.5" customHeight="1" x14ac:dyDescent="0.25">
      <c r="B26" s="16" t="s">
        <v>944</v>
      </c>
      <c r="C26" s="1611"/>
      <c r="D26" s="1611"/>
      <c r="E26" s="1611"/>
      <c r="F26" s="1612"/>
      <c r="Q26" s="279" t="s">
        <v>117</v>
      </c>
      <c r="R26" s="718">
        <f>(C38-C40-C42-C44-C46-C48)</f>
        <v>0</v>
      </c>
      <c r="S26" s="718">
        <f>R26</f>
        <v>0</v>
      </c>
      <c r="Y26" s="314" t="s">
        <v>140</v>
      </c>
      <c r="Z26" s="348">
        <v>100001</v>
      </c>
      <c r="AA26" s="316">
        <v>1.2600000000000001E-3</v>
      </c>
      <c r="AB26" s="332"/>
      <c r="AC26" s="332"/>
      <c r="AP26" s="367" t="s">
        <v>296</v>
      </c>
      <c r="AQ26" s="368" t="s">
        <v>297</v>
      </c>
      <c r="AR26" s="369"/>
    </row>
    <row r="27" spans="1:44" x14ac:dyDescent="0.25">
      <c r="Q27" s="279" t="s">
        <v>118</v>
      </c>
      <c r="R27" s="718">
        <f>AJ7</f>
        <v>0</v>
      </c>
      <c r="S27" s="718">
        <v>0</v>
      </c>
      <c r="Y27" s="314" t="s">
        <v>140</v>
      </c>
      <c r="Z27" s="348">
        <v>250000</v>
      </c>
      <c r="AA27" s="316">
        <v>1.0499999999999999E-3</v>
      </c>
      <c r="AB27" s="332"/>
      <c r="AC27" s="332"/>
      <c r="AP27" s="370" t="str">
        <f>IF(ISBLANK(C71),"",IF(ISERROR(VLOOKUP(C71,combo_trabajo,2,FALSE)), 0, VLOOKUP(C71,combo_trabajo,2,FALSE)))</f>
        <v/>
      </c>
      <c r="AQ27" s="370">
        <f>IF(AQ18=1,(IF(AP27=1,4,IF(AP27=2,0,2))),0)</f>
        <v>0</v>
      </c>
      <c r="AR27" s="369"/>
    </row>
    <row r="28" spans="1:44" ht="21" customHeight="1" x14ac:dyDescent="0.25">
      <c r="B28" s="16" t="s">
        <v>946</v>
      </c>
      <c r="C28" s="1611"/>
      <c r="D28" s="1611"/>
      <c r="E28" s="1611"/>
      <c r="F28" s="1612"/>
      <c r="Q28" s="279" t="s">
        <v>119</v>
      </c>
      <c r="R28" s="718">
        <f>H40</f>
        <v>0</v>
      </c>
      <c r="S28" s="718">
        <v>0</v>
      </c>
      <c r="AP28" s="370" t="str">
        <f>IF(ISBLANK(E71),"",IF(ISERROR(VLOOKUP(E71,combo_trabajo,2,FALSE)), 0, VLOOKUP(E71,combo_trabajo,2,FALSE)))</f>
        <v/>
      </c>
      <c r="AQ28" s="370">
        <f>IF(AQ19=1,(IF(AP28=1,4,IF(AP28=2,0,2))),0)</f>
        <v>0</v>
      </c>
      <c r="AR28" s="369"/>
    </row>
    <row r="29" spans="1:44" ht="12.75" customHeight="1" x14ac:dyDescent="0.25">
      <c r="Q29" s="279" t="s">
        <v>121</v>
      </c>
      <c r="R29" s="718">
        <f>H44</f>
        <v>0</v>
      </c>
      <c r="S29" s="718">
        <f>R29</f>
        <v>0</v>
      </c>
      <c r="AP29" s="370" t="str">
        <f>IF(ISBLANK(G71),"",IF(ISERROR(VLOOKUP(G71,combo_trabajo,2,FALSE)), 0, VLOOKUP(G71,combo_trabajo,2,FALSE)))</f>
        <v/>
      </c>
      <c r="AQ29" s="370">
        <f>IF(AQ20=1,(IF(AP29=1,4,IF(AP29=2,0,2))),0)</f>
        <v>0</v>
      </c>
      <c r="AR29" s="369"/>
    </row>
    <row r="30" spans="1:44" ht="19.5" customHeight="1" x14ac:dyDescent="0.3">
      <c r="B30" s="1628" t="s">
        <v>996</v>
      </c>
      <c r="C30" s="1628"/>
      <c r="D30" s="1628"/>
      <c r="E30" s="1628"/>
      <c r="F30" s="1628" t="s">
        <v>1003</v>
      </c>
      <c r="G30" s="1628"/>
      <c r="H30" s="1628"/>
      <c r="I30" s="1628"/>
      <c r="J30" s="700"/>
      <c r="Q30" s="283" t="str">
        <f>IF(R30="0.00","","Fideicomiso")</f>
        <v>Fideicomiso</v>
      </c>
      <c r="R30" s="718">
        <f>H46</f>
        <v>0</v>
      </c>
      <c r="S30" s="718">
        <f>R30</f>
        <v>0</v>
      </c>
      <c r="Y30" s="358" t="s">
        <v>224</v>
      </c>
      <c r="Z30" s="358"/>
      <c r="AA30" s="358"/>
      <c r="AP30" s="370" t="str">
        <f>IF(ISBLANK(H71),"",IF(ISERROR(VLOOKUP(H71,combo_trabajo,2,FALSE)), 0, VLOOKUP(H71,combo_trabajo,2,FALSE)))</f>
        <v/>
      </c>
      <c r="AQ30" s="370">
        <f>IF(AQ21=1,(IF(AP30=1,4,IF(AP30=2,0,2))),0)</f>
        <v>0</v>
      </c>
      <c r="AR30" s="369"/>
    </row>
    <row r="31" spans="1:44" ht="15.75" customHeight="1" x14ac:dyDescent="0.25">
      <c r="F31" s="831"/>
      <c r="G31" s="831"/>
      <c r="H31" s="831"/>
      <c r="I31" s="831"/>
      <c r="J31" s="700"/>
      <c r="Q31" s="289" t="s">
        <v>120</v>
      </c>
      <c r="R31" s="719">
        <f>SUM(R26:R30)</f>
        <v>0</v>
      </c>
      <c r="S31" s="719">
        <f>SUM(S26:S30)</f>
        <v>0</v>
      </c>
      <c r="Y31" s="359">
        <v>1</v>
      </c>
      <c r="Z31" s="359">
        <v>5</v>
      </c>
      <c r="AA31" s="360">
        <f>IFERROR(IF(C32&gt;0,VLOOKUP(C32,combo_fwla,1,TRUE),0),"")</f>
        <v>0</v>
      </c>
      <c r="AP31" s="373"/>
      <c r="AQ31" s="373"/>
      <c r="AR31" s="375" t="s">
        <v>302</v>
      </c>
    </row>
    <row r="32" spans="1:44" ht="30" customHeight="1" x14ac:dyDescent="0.25">
      <c r="A32" s="2"/>
      <c r="B32" s="196" t="s">
        <v>939</v>
      </c>
      <c r="C32" s="124"/>
      <c r="D32" s="47"/>
      <c r="G32" s="827" t="s">
        <v>939</v>
      </c>
      <c r="H32" s="1655">
        <f>C32</f>
        <v>0</v>
      </c>
      <c r="I32" s="1656"/>
      <c r="J32" s="700"/>
      <c r="U32" s="1610"/>
      <c r="V32" s="1610"/>
      <c r="Y32" s="359">
        <v>50001</v>
      </c>
      <c r="Z32" s="359">
        <v>8</v>
      </c>
      <c r="AA32" s="361">
        <f>IFERROR(IF(AA31&gt;0,(LOOKUP(AA31,Y31:Y45,Z31:Z45)),0),"")</f>
        <v>0</v>
      </c>
      <c r="AP32" s="371" t="s">
        <v>298</v>
      </c>
      <c r="AQ32" s="370">
        <f>SUM(AQ27:AQ30)</f>
        <v>0</v>
      </c>
      <c r="AR32" s="370">
        <f>IF(AQ24=1,AQ32,0)</f>
        <v>0</v>
      </c>
    </row>
    <row r="33" spans="1:27" ht="15" customHeight="1" x14ac:dyDescent="0.25">
      <c r="A33" s="2"/>
      <c r="B33" s="9"/>
      <c r="C33" s="10"/>
      <c r="D33" s="653"/>
      <c r="F33" s="779"/>
      <c r="G33" s="780"/>
      <c r="H33" s="781"/>
      <c r="I33" s="781"/>
      <c r="J33" s="654"/>
      <c r="K33" s="654"/>
      <c r="L33" s="654"/>
      <c r="V33" s="720"/>
      <c r="Y33" s="359">
        <v>80001</v>
      </c>
      <c r="Z33" s="359">
        <v>10</v>
      </c>
      <c r="AA33" s="362">
        <f>IFERROR(AA32*1.07," ")</f>
        <v>0</v>
      </c>
    </row>
    <row r="34" spans="1:27" ht="29.25" customHeight="1" x14ac:dyDescent="0.25">
      <c r="A34" s="2"/>
      <c r="B34" s="620" t="s">
        <v>958</v>
      </c>
      <c r="C34" s="739"/>
      <c r="D34" s="655"/>
      <c r="G34" s="827" t="s">
        <v>1002</v>
      </c>
      <c r="H34" s="1657">
        <f>C34</f>
        <v>0</v>
      </c>
      <c r="I34" s="1658"/>
      <c r="J34" s="654"/>
      <c r="K34" s="654"/>
      <c r="L34" s="654"/>
      <c r="Q34" s="1600" t="s">
        <v>470</v>
      </c>
      <c r="R34" s="1600"/>
      <c r="S34" s="260"/>
      <c r="Y34" s="359">
        <v>100001</v>
      </c>
      <c r="Z34" s="359">
        <v>15</v>
      </c>
      <c r="AA34" s="359"/>
    </row>
    <row r="35" spans="1:27" x14ac:dyDescent="0.25">
      <c r="A35" s="2"/>
      <c r="B35" s="619"/>
      <c r="C35" s="656"/>
      <c r="D35" s="778" t="s">
        <v>964</v>
      </c>
      <c r="F35" s="828"/>
      <c r="G35" s="828"/>
      <c r="H35" s="781"/>
      <c r="I35" s="781"/>
      <c r="J35" s="654"/>
      <c r="K35" s="654"/>
      <c r="L35" s="654"/>
      <c r="Q35" s="260"/>
      <c r="R35" s="260"/>
      <c r="S35" s="260"/>
      <c r="Y35" s="359">
        <v>150001</v>
      </c>
      <c r="Z35" s="359">
        <v>20</v>
      </c>
      <c r="AA35" s="363"/>
    </row>
    <row r="36" spans="1:27" ht="28.5" customHeight="1" x14ac:dyDescent="0.25">
      <c r="A36" s="2"/>
      <c r="B36" s="620" t="s">
        <v>940</v>
      </c>
      <c r="C36" s="621"/>
      <c r="D36" s="984" t="str">
        <f>AF4</f>
        <v/>
      </c>
      <c r="F36" s="782"/>
      <c r="G36" s="827" t="s">
        <v>52</v>
      </c>
      <c r="H36" s="1661" t="str">
        <f>D36</f>
        <v/>
      </c>
      <c r="I36" s="1662"/>
      <c r="J36" s="700"/>
      <c r="Q36" s="1601" t="s">
        <v>463</v>
      </c>
      <c r="R36" s="1602"/>
      <c r="S36" s="325"/>
      <c r="Y36" s="359">
        <v>200001</v>
      </c>
      <c r="Z36" s="359">
        <v>30</v>
      </c>
      <c r="AA36" s="364"/>
    </row>
    <row r="37" spans="1:27" x14ac:dyDescent="0.25">
      <c r="A37" s="2"/>
      <c r="B37" s="619"/>
      <c r="C37" s="659"/>
      <c r="D37" s="658"/>
      <c r="E37" s="660"/>
      <c r="F37" s="783"/>
      <c r="G37" s="784"/>
      <c r="H37" s="829"/>
      <c r="I37" s="829"/>
      <c r="J37" s="700"/>
      <c r="Q37" s="327" t="s">
        <v>464</v>
      </c>
      <c r="R37" s="328">
        <f>C32</f>
        <v>0</v>
      </c>
      <c r="S37" s="329"/>
      <c r="Y37" s="359">
        <v>250001</v>
      </c>
      <c r="Z37" s="359">
        <v>40</v>
      </c>
      <c r="AA37" s="364"/>
    </row>
    <row r="38" spans="1:27" ht="31.5" customHeight="1" x14ac:dyDescent="0.25">
      <c r="A38" s="2"/>
      <c r="B38" s="824" t="s">
        <v>997</v>
      </c>
      <c r="C38" s="124"/>
      <c r="D38" s="658"/>
      <c r="E38" s="660"/>
      <c r="F38" s="783"/>
      <c r="G38" s="832" t="s">
        <v>548</v>
      </c>
      <c r="H38" s="985" t="s">
        <v>110</v>
      </c>
      <c r="J38" s="1641" t="str">
        <f>IF(AH16=FALSE,"Imprimir formulario de seguro de vida","")</f>
        <v>Imprimir formulario de seguro de vida</v>
      </c>
      <c r="K38" s="1641"/>
      <c r="Q38" s="820"/>
      <c r="R38" s="821"/>
      <c r="S38" s="329"/>
      <c r="Y38" s="822"/>
      <c r="Z38" s="822"/>
      <c r="AA38" s="393"/>
    </row>
    <row r="39" spans="1:27" x14ac:dyDescent="0.25">
      <c r="A39" s="2"/>
      <c r="B39" s="619"/>
      <c r="C39" s="659"/>
      <c r="D39" s="658"/>
      <c r="E39" s="660"/>
      <c r="F39" s="783"/>
      <c r="G39" s="784"/>
      <c r="H39" s="829"/>
      <c r="J39" s="1641"/>
      <c r="K39" s="1641"/>
      <c r="Q39" s="820"/>
      <c r="R39" s="821"/>
      <c r="S39" s="329"/>
      <c r="Y39" s="822"/>
      <c r="Z39" s="822"/>
      <c r="AA39" s="393"/>
    </row>
    <row r="40" spans="1:27" ht="35.25" customHeight="1" x14ac:dyDescent="0.25">
      <c r="A40" s="2"/>
      <c r="B40" s="721" t="s">
        <v>998</v>
      </c>
      <c r="C40" s="863"/>
      <c r="G40" s="832" t="s">
        <v>945</v>
      </c>
      <c r="H40" s="1659">
        <f>C42</f>
        <v>0</v>
      </c>
      <c r="I40" s="1660"/>
      <c r="Q40" s="330" t="s">
        <v>465</v>
      </c>
      <c r="R40" s="328">
        <f>SUM(Impresión_Cambio!D41:D44)</f>
        <v>0</v>
      </c>
      <c r="S40" s="747" t="s">
        <v>960</v>
      </c>
      <c r="Y40" s="359">
        <v>300001</v>
      </c>
      <c r="Z40" s="359">
        <v>50</v>
      </c>
      <c r="AA40" s="364"/>
    </row>
    <row r="41" spans="1:27" ht="23.25" customHeight="1" x14ac:dyDescent="0.25">
      <c r="A41" s="2"/>
      <c r="C41" s="728"/>
      <c r="F41" s="785"/>
      <c r="G41" s="780"/>
      <c r="H41" s="829"/>
      <c r="I41" s="829"/>
      <c r="J41" s="700"/>
      <c r="Q41" s="334"/>
      <c r="R41" s="334"/>
      <c r="S41" s="325"/>
      <c r="Y41" s="359">
        <v>350001</v>
      </c>
      <c r="Z41" s="359">
        <v>60</v>
      </c>
      <c r="AA41" s="364"/>
    </row>
    <row r="42" spans="1:27" ht="21.75" customHeight="1" x14ac:dyDescent="0.25">
      <c r="A42" s="2"/>
      <c r="B42" s="721" t="s">
        <v>999</v>
      </c>
      <c r="C42" s="825"/>
      <c r="D42" s="723"/>
      <c r="F42" s="829"/>
      <c r="G42" s="196" t="s">
        <v>51</v>
      </c>
      <c r="H42" s="1665">
        <f>C44</f>
        <v>0</v>
      </c>
      <c r="I42" s="1666"/>
      <c r="J42" s="700"/>
      <c r="Q42" s="338" t="s">
        <v>466</v>
      </c>
      <c r="R42" s="328">
        <f>IFERROR(R37-R40,"")</f>
        <v>0</v>
      </c>
      <c r="S42" s="329"/>
      <c r="Y42" s="359">
        <v>400001</v>
      </c>
      <c r="Z42" s="359">
        <v>70</v>
      </c>
      <c r="AA42" s="364"/>
    </row>
    <row r="43" spans="1:27" ht="15.75" x14ac:dyDescent="0.25">
      <c r="A43" s="2"/>
      <c r="B43" s="11"/>
      <c r="C43" s="722"/>
      <c r="D43" s="4"/>
      <c r="F43" s="786"/>
      <c r="G43" s="787"/>
      <c r="H43" s="834"/>
      <c r="I43" s="834"/>
      <c r="J43" s="700"/>
      <c r="Q43" s="334"/>
      <c r="R43" s="334"/>
      <c r="S43" s="325"/>
      <c r="Y43" s="359">
        <v>450001</v>
      </c>
      <c r="Z43" s="359">
        <v>80</v>
      </c>
      <c r="AA43" s="364"/>
    </row>
    <row r="44" spans="1:27" ht="22.5" customHeight="1" x14ac:dyDescent="0.25">
      <c r="A44" s="2"/>
      <c r="B44" s="16" t="s">
        <v>1000</v>
      </c>
      <c r="C44" s="983"/>
      <c r="D44" s="5"/>
      <c r="F44" s="829"/>
      <c r="G44" s="819" t="s">
        <v>1004</v>
      </c>
      <c r="H44" s="1663">
        <f>C46</f>
        <v>0</v>
      </c>
      <c r="I44" s="1664"/>
      <c r="J44" s="829"/>
      <c r="Q44" s="327" t="s">
        <v>52</v>
      </c>
      <c r="R44" s="334">
        <f>IFERROR(H36*12,0)</f>
        <v>0</v>
      </c>
      <c r="S44" s="325"/>
      <c r="Y44" s="359">
        <v>500001</v>
      </c>
      <c r="Z44" s="359">
        <v>90</v>
      </c>
      <c r="AA44" s="364"/>
    </row>
    <row r="45" spans="1:27" ht="20.25" customHeight="1" x14ac:dyDescent="0.25">
      <c r="A45" s="2"/>
      <c r="B45" s="701"/>
      <c r="C45" s="660"/>
      <c r="D45" s="1654"/>
      <c r="F45" s="829"/>
      <c r="G45" s="829"/>
      <c r="H45" s="834"/>
      <c r="I45" s="834"/>
      <c r="J45" s="829"/>
      <c r="Q45" s="327" t="s">
        <v>170</v>
      </c>
      <c r="R45" s="340">
        <f>C34</f>
        <v>0</v>
      </c>
      <c r="S45" s="341"/>
      <c r="Y45" s="359">
        <v>550001</v>
      </c>
      <c r="Z45" s="359">
        <v>100</v>
      </c>
      <c r="AA45" s="364"/>
    </row>
    <row r="46" spans="1:27" ht="30" customHeight="1" x14ac:dyDescent="0.25">
      <c r="A46" s="2"/>
      <c r="B46" s="819" t="s">
        <v>1001</v>
      </c>
      <c r="C46" s="124">
        <v>0</v>
      </c>
      <c r="D46" s="1654"/>
      <c r="E46" s="665"/>
      <c r="F46" s="725"/>
      <c r="G46" s="833" t="s">
        <v>1005</v>
      </c>
      <c r="H46" s="1663">
        <f>C48</f>
        <v>0</v>
      </c>
      <c r="I46" s="1664"/>
      <c r="J46" s="829"/>
      <c r="Q46" s="327" t="s">
        <v>467</v>
      </c>
      <c r="R46" s="328" t="str">
        <f>IFERROR(PMT((R45*365/360)/12,R44,-R37),"")</f>
        <v/>
      </c>
      <c r="S46" s="328" t="str">
        <f>IFERROR(PMT((R45*365/360)/12,R44,-R37),"")</f>
        <v/>
      </c>
      <c r="Y46" s="334"/>
      <c r="Z46" s="334"/>
      <c r="AA46" s="334"/>
    </row>
    <row r="47" spans="1:27" ht="19.5" customHeight="1" x14ac:dyDescent="0.25">
      <c r="A47" s="2"/>
      <c r="B47" s="724"/>
      <c r="C47" s="826"/>
      <c r="D47" s="791"/>
      <c r="E47" s="665"/>
      <c r="F47" s="725"/>
      <c r="G47" s="725"/>
      <c r="H47" s="725"/>
      <c r="I47" s="829"/>
      <c r="J47" s="829"/>
      <c r="Q47" s="327" t="s">
        <v>468</v>
      </c>
      <c r="R47" s="344">
        <f>IF(S47="",0,S47)</f>
        <v>0</v>
      </c>
      <c r="S47" s="345">
        <f>IF(ISERROR(C46/1.07),0,C46/1.07)</f>
        <v>0</v>
      </c>
      <c r="Y47" s="794"/>
      <c r="Z47" s="794"/>
      <c r="AA47" s="794"/>
    </row>
    <row r="48" spans="1:27" ht="25.5" customHeight="1" x14ac:dyDescent="0.25">
      <c r="A48" s="2"/>
      <c r="B48" s="795" t="s">
        <v>966</v>
      </c>
      <c r="C48" s="124">
        <v>0</v>
      </c>
      <c r="D48" s="791"/>
      <c r="E48" s="665"/>
      <c r="F48" s="725"/>
      <c r="G48" s="835" t="s">
        <v>1006</v>
      </c>
      <c r="H48" s="1642">
        <f>R31</f>
        <v>0</v>
      </c>
      <c r="I48" s="1643"/>
      <c r="J48" s="829"/>
      <c r="Q48" s="301" t="s">
        <v>469</v>
      </c>
      <c r="R48" s="347">
        <f>IF(ISERROR(RATE(R44,(R46+R47),-R42,0)*12),0,RATE(R44,(R46+R47),-R42,0)*12)</f>
        <v>0</v>
      </c>
      <c r="S48" s="642"/>
      <c r="Y48" s="794"/>
      <c r="Z48" s="794"/>
      <c r="AA48" s="794"/>
    </row>
    <row r="49" spans="1:27" ht="21" customHeight="1" x14ac:dyDescent="0.25">
      <c r="A49" s="2"/>
      <c r="D49" s="662"/>
      <c r="H49" s="1647"/>
      <c r="I49" s="1647"/>
      <c r="J49" s="829"/>
      <c r="Q49" s="642"/>
      <c r="R49" s="642"/>
      <c r="S49" s="642"/>
      <c r="Y49" s="365" t="s">
        <v>225</v>
      </c>
      <c r="Z49" s="366">
        <v>200</v>
      </c>
      <c r="AA49" s="334"/>
    </row>
    <row r="50" spans="1:27" ht="19.5" customHeight="1" x14ac:dyDescent="0.25">
      <c r="A50" s="2"/>
      <c r="B50" s="619"/>
      <c r="C50" s="823"/>
      <c r="F50" s="1638" t="str">
        <f>IF(R1=2,"Saldo Actual (Otra Hipoteca)","")</f>
        <v/>
      </c>
      <c r="G50" s="1644" t="s">
        <v>77</v>
      </c>
      <c r="H50" s="1644"/>
      <c r="I50" s="1644"/>
      <c r="J50" s="829"/>
      <c r="Q50" s="642"/>
      <c r="R50" s="642"/>
      <c r="S50" s="319"/>
    </row>
    <row r="51" spans="1:27" ht="15" customHeight="1" x14ac:dyDescent="0.25">
      <c r="A51" s="2"/>
      <c r="D51" s="4"/>
      <c r="F51" s="1638"/>
      <c r="G51" s="836"/>
      <c r="H51" s="836"/>
      <c r="I51" s="829"/>
      <c r="J51" s="829"/>
      <c r="Q51" s="325"/>
      <c r="R51" s="325"/>
      <c r="S51" s="325"/>
    </row>
    <row r="52" spans="1:27" ht="33.75" customHeight="1" x14ac:dyDescent="0.25">
      <c r="A52" s="2"/>
      <c r="D52" s="4"/>
      <c r="F52" s="829"/>
      <c r="G52" s="16" t="s">
        <v>80</v>
      </c>
      <c r="H52" s="1645">
        <f>IF(ISERROR(Impresión_Cambio!H48),0,Impresión_Cambio!H48)</f>
        <v>0</v>
      </c>
      <c r="I52" s="1646"/>
      <c r="J52" s="829"/>
      <c r="Q52" s="325"/>
      <c r="R52" s="347">
        <f>IF(ISERROR(RATE(R44,(R46+R47),-R42,0)*12),0,RATE(R44,(R46+R47),-R42,0)*12)</f>
        <v>0</v>
      </c>
      <c r="S52" s="325"/>
    </row>
    <row r="53" spans="1:27" ht="18.75" customHeight="1" x14ac:dyDescent="0.25">
      <c r="A53" s="2"/>
      <c r="D53" s="6"/>
      <c r="F53" s="837"/>
      <c r="G53" s="860" t="s">
        <v>674</v>
      </c>
      <c r="H53" s="830" t="s">
        <v>111</v>
      </c>
      <c r="I53" s="724"/>
      <c r="J53" s="724"/>
    </row>
    <row r="54" spans="1:27" x14ac:dyDescent="0.25">
      <c r="A54" s="2"/>
      <c r="B54" s="1639"/>
      <c r="C54" s="1640"/>
      <c r="D54" s="129"/>
      <c r="F54" s="726"/>
      <c r="G54" s="727"/>
      <c r="H54" s="727"/>
      <c r="I54" s="724"/>
      <c r="J54" s="724"/>
    </row>
    <row r="55" spans="1:27" ht="8.25" customHeight="1" x14ac:dyDescent="0.25">
      <c r="A55" s="2"/>
      <c r="B55" s="1639"/>
      <c r="C55" s="1640"/>
      <c r="D55" s="8"/>
      <c r="F55" s="729"/>
      <c r="I55" s="724"/>
      <c r="J55" s="724"/>
    </row>
    <row r="56" spans="1:27" x14ac:dyDescent="0.25">
      <c r="A56" s="2"/>
      <c r="D56" s="8"/>
      <c r="F56" s="729"/>
      <c r="G56" s="16" t="s">
        <v>516</v>
      </c>
      <c r="H56" s="830" t="s">
        <v>110</v>
      </c>
      <c r="I56" s="724"/>
      <c r="J56" s="724"/>
    </row>
    <row r="57" spans="1:27" x14ac:dyDescent="0.25">
      <c r="A57" s="2"/>
      <c r="D57" s="4"/>
      <c r="F57" s="730"/>
      <c r="G57" s="731"/>
      <c r="H57" s="732"/>
      <c r="I57" s="733"/>
      <c r="J57" s="724"/>
      <c r="Q57" s="734" t="s">
        <v>172</v>
      </c>
      <c r="R57" s="735"/>
      <c r="S57" s="735"/>
    </row>
    <row r="58" spans="1:27" ht="16.5" customHeight="1" x14ac:dyDescent="0.25">
      <c r="A58" s="2"/>
      <c r="F58" s="730"/>
      <c r="G58" s="731"/>
      <c r="H58" s="732"/>
      <c r="I58" s="733"/>
      <c r="J58" s="724"/>
      <c r="Q58" s="272" t="s">
        <v>169</v>
      </c>
      <c r="R58" s="859">
        <f>H42</f>
        <v>0</v>
      </c>
      <c r="S58" s="356">
        <f>R58/100</f>
        <v>0</v>
      </c>
    </row>
    <row r="59" spans="1:27" x14ac:dyDescent="0.25">
      <c r="A59" s="2"/>
      <c r="F59" s="730"/>
      <c r="G59" s="731"/>
      <c r="H59" s="732"/>
      <c r="I59" s="733"/>
      <c r="J59" s="724"/>
      <c r="Q59" s="272" t="s">
        <v>170</v>
      </c>
      <c r="R59" s="270">
        <f>H34</f>
        <v>0</v>
      </c>
      <c r="S59" s="1085">
        <f>R58</f>
        <v>0</v>
      </c>
    </row>
    <row r="60" spans="1:27" ht="15.75" customHeight="1" x14ac:dyDescent="0.25">
      <c r="A60" s="2"/>
      <c r="B60" s="12"/>
      <c r="C60" s="10"/>
      <c r="D60" s="4"/>
      <c r="H60" s="672">
        <f>H57*12</f>
        <v>0</v>
      </c>
      <c r="Q60" s="272" t="s">
        <v>52</v>
      </c>
      <c r="R60" s="272" t="str">
        <f>AF4</f>
        <v/>
      </c>
      <c r="S60" s="260"/>
    </row>
    <row r="61" spans="1:27" ht="15.75" customHeight="1" x14ac:dyDescent="0.25">
      <c r="A61" s="2"/>
      <c r="B61" s="1637" t="s">
        <v>90</v>
      </c>
      <c r="C61" s="1637"/>
      <c r="D61" s="1637"/>
      <c r="E61" s="1637"/>
      <c r="F61" s="1637"/>
      <c r="G61" s="1637"/>
      <c r="H61" s="1637"/>
      <c r="I61" s="1637"/>
      <c r="Q61" s="272" t="s">
        <v>171</v>
      </c>
      <c r="R61" s="357" t="str">
        <f>IFERROR(ROUND(IF(R58&gt;0,-PMT(((R59+S58)*365/360)/12,R60*12,C32),-PMT((R59*365/360)/12,R60*12,C32)),2),"")</f>
        <v/>
      </c>
    </row>
    <row r="62" spans="1:27" ht="11.25" customHeight="1" x14ac:dyDescent="0.25">
      <c r="A62" s="2"/>
      <c r="B62" s="673"/>
      <c r="C62" s="673"/>
      <c r="D62" s="673"/>
      <c r="E62" s="673"/>
      <c r="F62" s="673"/>
      <c r="G62" s="673"/>
      <c r="H62" s="673"/>
      <c r="I62" s="673"/>
      <c r="S62" s="260"/>
    </row>
    <row r="63" spans="1:27" x14ac:dyDescent="0.25">
      <c r="A63" s="2"/>
      <c r="B63" s="657"/>
      <c r="C63" s="1463" t="s">
        <v>91</v>
      </c>
      <c r="D63" s="1463"/>
      <c r="E63" s="1463" t="s">
        <v>92</v>
      </c>
      <c r="F63" s="1463"/>
      <c r="G63" s="674" t="s">
        <v>93</v>
      </c>
      <c r="H63" s="1463" t="s">
        <v>94</v>
      </c>
      <c r="I63" s="1463"/>
    </row>
    <row r="64" spans="1:27" ht="3" hidden="1" customHeight="1" x14ac:dyDescent="0.25">
      <c r="A64" s="24"/>
      <c r="B64" s="600"/>
      <c r="C64" s="1467"/>
      <c r="D64" s="1467"/>
      <c r="E64" s="1467"/>
      <c r="F64" s="1467"/>
      <c r="G64" s="601"/>
      <c r="H64" s="1467"/>
      <c r="I64" s="1467"/>
    </row>
    <row r="65" spans="2:20" x14ac:dyDescent="0.25">
      <c r="B65" s="600" t="s">
        <v>81</v>
      </c>
      <c r="C65" s="1467"/>
      <c r="D65" s="1467"/>
      <c r="E65" s="1467"/>
      <c r="F65" s="1467"/>
      <c r="G65" s="601"/>
      <c r="H65" s="1467"/>
      <c r="I65" s="1467"/>
    </row>
    <row r="66" spans="2:20" x14ac:dyDescent="0.25">
      <c r="B66" s="600" t="s">
        <v>82</v>
      </c>
      <c r="C66" s="1455"/>
      <c r="D66" s="1455"/>
      <c r="E66" s="1455"/>
      <c r="F66" s="1455"/>
      <c r="G66" s="602"/>
      <c r="H66" s="1455"/>
      <c r="I66" s="1455"/>
      <c r="Q66" s="400" t="s">
        <v>676</v>
      </c>
      <c r="R66" s="272" t="str">
        <f>IF(C32&lt;100000,"2%"," ")</f>
        <v>2%</v>
      </c>
    </row>
    <row r="67" spans="2:20" x14ac:dyDescent="0.25">
      <c r="B67" s="600" t="s">
        <v>443</v>
      </c>
      <c r="C67" s="1455"/>
      <c r="D67" s="1455"/>
      <c r="E67" s="1455"/>
      <c r="F67" s="1455"/>
      <c r="G67" s="602"/>
      <c r="H67" s="1455"/>
      <c r="I67" s="1455"/>
    </row>
    <row r="68" spans="2:20" x14ac:dyDescent="0.25">
      <c r="B68" s="600" t="s">
        <v>482</v>
      </c>
      <c r="C68" s="1455"/>
      <c r="D68" s="1455"/>
      <c r="E68" s="1455"/>
      <c r="F68" s="1455"/>
      <c r="G68" s="602"/>
      <c r="H68" s="1455"/>
      <c r="I68" s="1455"/>
      <c r="Q68" s="675"/>
      <c r="R68" s="675"/>
      <c r="S68" s="675"/>
      <c r="T68" s="676"/>
    </row>
    <row r="69" spans="2:20" x14ac:dyDescent="0.25">
      <c r="B69" s="603" t="s">
        <v>85</v>
      </c>
      <c r="C69" s="1454"/>
      <c r="D69" s="1454"/>
      <c r="E69" s="1454"/>
      <c r="F69" s="1454"/>
      <c r="G69" s="760"/>
      <c r="H69" s="1454"/>
      <c r="I69" s="1454"/>
      <c r="Q69" s="808" t="s">
        <v>982</v>
      </c>
      <c r="R69" s="808"/>
      <c r="S69" s="808" t="s">
        <v>993</v>
      </c>
      <c r="T69" s="816"/>
    </row>
    <row r="70" spans="2:20" x14ac:dyDescent="0.25">
      <c r="B70" s="600" t="s">
        <v>89</v>
      </c>
      <c r="C70" s="1455"/>
      <c r="D70" s="1455"/>
      <c r="E70" s="1636"/>
      <c r="F70" s="1636"/>
      <c r="G70" s="602"/>
      <c r="H70" s="1455"/>
      <c r="I70" s="1455"/>
      <c r="Q70" s="589" t="s">
        <v>978</v>
      </c>
      <c r="R70" s="589" t="str">
        <f>IFERROR(VLOOKUP(C$64,comb_tipocliente,2,0),"")</f>
        <v/>
      </c>
      <c r="S70" s="589" t="str">
        <f>$R$70</f>
        <v/>
      </c>
      <c r="T70" s="805"/>
    </row>
    <row r="71" spans="2:20" x14ac:dyDescent="0.25">
      <c r="B71" s="600" t="s">
        <v>84</v>
      </c>
      <c r="C71" s="1455"/>
      <c r="D71" s="1455"/>
      <c r="E71" s="1455"/>
      <c r="F71" s="1455"/>
      <c r="G71" s="602"/>
      <c r="H71" s="1455"/>
      <c r="I71" s="1455"/>
      <c r="Q71" s="589" t="s">
        <v>979</v>
      </c>
      <c r="R71" s="589" t="str">
        <f>IFERROR(VLOOKUP(E$64,comb_tipocliente,2,0),"")</f>
        <v/>
      </c>
      <c r="S71" s="589" t="str">
        <f>IF($R$71&lt;&gt;$S$70,$R$71,IF($R$72&lt;&gt;$S$70,$R$72,IF($R$73&lt;&gt;$S$70,$R$73,"")))</f>
        <v/>
      </c>
    </row>
    <row r="72" spans="2:20" x14ac:dyDescent="0.25">
      <c r="B72" s="600" t="s">
        <v>560</v>
      </c>
      <c r="C72" s="1455"/>
      <c r="D72" s="1455"/>
      <c r="E72" s="1455"/>
      <c r="F72" s="1455"/>
      <c r="G72" s="602"/>
      <c r="H72" s="1455"/>
      <c r="I72" s="1455"/>
      <c r="Q72" s="589" t="s">
        <v>980</v>
      </c>
      <c r="R72" s="589" t="str">
        <f>IFERROR(VLOOKUP(G$64,comb_tipocliente,2,0),"")</f>
        <v/>
      </c>
      <c r="S72" s="589" t="str">
        <f>IF(AND($R$72&lt;&gt;$S$70,$R$72&lt;&gt;$S$71),$R$72,IF(AND($R$73&lt;&gt;$S$70,$R$73&lt;&gt;$S$71),$R$73,""))</f>
        <v/>
      </c>
    </row>
    <row r="73" spans="2:20" x14ac:dyDescent="0.25">
      <c r="B73" s="600" t="s">
        <v>83</v>
      </c>
      <c r="C73" s="1455"/>
      <c r="D73" s="1455"/>
      <c r="E73" s="1455"/>
      <c r="F73" s="1455"/>
      <c r="G73" s="602"/>
      <c r="H73" s="1455"/>
      <c r="I73" s="1455"/>
      <c r="Q73" s="589" t="s">
        <v>981</v>
      </c>
      <c r="R73" s="589" t="str">
        <f>IFERROR(VLOOKUP(H$64,comb_tipocliente,2,0),"")</f>
        <v/>
      </c>
      <c r="S73" s="589" t="str">
        <f>IF(AND($R$73&lt;&gt;$S$70,$R$73&lt;&gt;$S$71,$R$73&lt;&gt;$S$72),$R$73,"")</f>
        <v/>
      </c>
    </row>
    <row r="74" spans="2:20" x14ac:dyDescent="0.25">
      <c r="B74" s="604" t="s">
        <v>678</v>
      </c>
      <c r="C74" s="605"/>
      <c r="D74" s="606"/>
      <c r="E74" s="605"/>
      <c r="F74" s="606"/>
      <c r="G74" s="602"/>
      <c r="H74" s="605"/>
      <c r="I74" s="606"/>
    </row>
    <row r="75" spans="2:20" ht="24" x14ac:dyDescent="0.25">
      <c r="B75" s="600" t="s">
        <v>86</v>
      </c>
      <c r="C75" s="1453"/>
      <c r="D75" s="1453"/>
      <c r="E75" s="1453"/>
      <c r="F75" s="1453"/>
      <c r="G75" s="761"/>
      <c r="H75" s="1453"/>
      <c r="I75" s="1453"/>
      <c r="Q75" s="675"/>
      <c r="R75" s="169"/>
      <c r="S75" s="817"/>
      <c r="T75" s="817"/>
    </row>
    <row r="76" spans="2:20" x14ac:dyDescent="0.25">
      <c r="B76" s="600" t="s">
        <v>87</v>
      </c>
      <c r="C76" s="1453"/>
      <c r="D76" s="1453"/>
      <c r="E76" s="1453"/>
      <c r="F76" s="1453"/>
      <c r="G76" s="761"/>
      <c r="H76" s="1453"/>
      <c r="I76" s="1453"/>
      <c r="Q76" s="675"/>
      <c r="R76" s="169"/>
      <c r="S76" s="679"/>
      <c r="T76" s="676"/>
    </row>
    <row r="77" spans="2:20" ht="24" x14ac:dyDescent="0.25">
      <c r="B77" s="600" t="s">
        <v>789</v>
      </c>
      <c r="C77" s="1453"/>
      <c r="D77" s="1453"/>
      <c r="E77" s="1453"/>
      <c r="F77" s="1453"/>
      <c r="G77" s="761"/>
      <c r="H77" s="1453"/>
      <c r="I77" s="1453"/>
      <c r="Q77" s="675"/>
      <c r="R77" s="169"/>
      <c r="S77" s="675"/>
      <c r="T77" s="676"/>
    </row>
    <row r="78" spans="2:20" ht="24" x14ac:dyDescent="0.25">
      <c r="B78" s="600" t="s">
        <v>790</v>
      </c>
      <c r="C78" s="1453"/>
      <c r="D78" s="1453"/>
      <c r="E78" s="1453"/>
      <c r="F78" s="1453"/>
      <c r="G78" s="761"/>
      <c r="H78" s="1453"/>
      <c r="I78" s="1453"/>
      <c r="Q78" s="675"/>
      <c r="R78" s="169"/>
      <c r="S78" s="1456"/>
      <c r="T78" s="1456"/>
    </row>
    <row r="79" spans="2:20" ht="24" x14ac:dyDescent="0.25">
      <c r="B79" s="600" t="s">
        <v>791</v>
      </c>
      <c r="C79" s="1453"/>
      <c r="D79" s="1453"/>
      <c r="E79" s="1453"/>
      <c r="F79" s="1453"/>
      <c r="G79" s="761"/>
      <c r="H79" s="1453"/>
      <c r="I79" s="1453"/>
      <c r="Q79" s="675"/>
      <c r="R79" s="169"/>
      <c r="S79" s="679"/>
      <c r="T79" s="676"/>
    </row>
    <row r="80" spans="2:20" x14ac:dyDescent="0.25">
      <c r="B80" s="600" t="s">
        <v>792</v>
      </c>
      <c r="C80" s="1453"/>
      <c r="D80" s="1453"/>
      <c r="E80" s="1453"/>
      <c r="F80" s="1453"/>
      <c r="G80" s="761"/>
      <c r="H80" s="1453"/>
      <c r="I80" s="1453"/>
      <c r="Q80" s="675"/>
      <c r="R80" s="169"/>
      <c r="S80" s="679"/>
      <c r="T80" s="676"/>
    </row>
    <row r="81" spans="2:9" ht="7.5" customHeight="1" x14ac:dyDescent="0.25"/>
    <row r="82" spans="2:9" ht="31.5" x14ac:dyDescent="0.25">
      <c r="B82" s="14" t="s">
        <v>107</v>
      </c>
      <c r="C82" s="1459" t="s">
        <v>108</v>
      </c>
      <c r="D82" s="1459"/>
      <c r="E82" s="629" t="s">
        <v>475</v>
      </c>
      <c r="F82" s="629" t="s">
        <v>687</v>
      </c>
    </row>
    <row r="83" spans="2:9" x14ac:dyDescent="0.25">
      <c r="B83" s="132">
        <f>SUM(C75:I75)</f>
        <v>0</v>
      </c>
      <c r="C83" s="1633" t="str">
        <f>IFERROR(((AR6+R31))/(AQ2),"")</f>
        <v/>
      </c>
      <c r="D83" s="1633"/>
      <c r="E83" s="133" t="str">
        <f>AQ10</f>
        <v/>
      </c>
      <c r="F83" s="132">
        <f>B83*0.3</f>
        <v>0</v>
      </c>
    </row>
    <row r="84" spans="2:9" ht="9" customHeight="1" x14ac:dyDescent="0.25"/>
    <row r="85" spans="2:9" ht="15" customHeight="1" x14ac:dyDescent="0.25">
      <c r="B85" s="1476" t="s">
        <v>175</v>
      </c>
      <c r="C85" s="1476"/>
      <c r="D85" s="1476"/>
      <c r="E85" s="1476"/>
      <c r="F85" s="1476"/>
      <c r="G85" s="1476"/>
      <c r="H85" s="1476"/>
      <c r="I85" s="1476"/>
    </row>
    <row r="86" spans="2:9" ht="8.25" customHeight="1" x14ac:dyDescent="0.25">
      <c r="B86" s="657"/>
      <c r="C86" s="657"/>
      <c r="D86" s="657"/>
      <c r="E86" s="657"/>
      <c r="F86" s="680"/>
      <c r="G86" s="657"/>
      <c r="H86" s="657"/>
      <c r="I86" s="657"/>
    </row>
    <row r="87" spans="2:9" ht="32.25" customHeight="1" x14ac:dyDescent="0.25">
      <c r="B87" s="154" t="s">
        <v>176</v>
      </c>
      <c r="C87" s="1477"/>
      <c r="D87" s="1478"/>
      <c r="E87" s="24"/>
      <c r="F87" s="24"/>
      <c r="G87" s="622"/>
      <c r="H87" s="1634"/>
      <c r="I87" s="1635"/>
    </row>
    <row r="88" spans="2:9" ht="9" customHeight="1" x14ac:dyDescent="0.25">
      <c r="B88" s="681"/>
      <c r="C88" s="681"/>
      <c r="D88" s="681"/>
      <c r="E88" s="682"/>
      <c r="F88" s="24"/>
    </row>
    <row r="89" spans="2:9" ht="15.75" x14ac:dyDescent="0.25">
      <c r="B89" s="154" t="s">
        <v>177</v>
      </c>
      <c r="C89" s="1485" t="s">
        <v>189</v>
      </c>
      <c r="D89" s="1486"/>
      <c r="E89" s="24"/>
      <c r="F89" s="24"/>
      <c r="G89" s="46" t="s">
        <v>217</v>
      </c>
      <c r="H89" s="1480" t="s">
        <v>111</v>
      </c>
      <c r="I89" s="1481"/>
    </row>
    <row r="90" spans="2:9" ht="8.25" customHeight="1" x14ac:dyDescent="0.25">
      <c r="B90" s="681"/>
      <c r="C90" s="681"/>
      <c r="D90" s="681"/>
      <c r="E90" s="683"/>
      <c r="F90" s="24"/>
    </row>
    <row r="91" spans="2:9" x14ac:dyDescent="0.25">
      <c r="B91" s="15" t="s">
        <v>676</v>
      </c>
      <c r="C91" s="1477" t="s">
        <v>111</v>
      </c>
      <c r="D91" s="1478"/>
      <c r="E91" s="24"/>
      <c r="F91" s="24"/>
      <c r="I91" s="657"/>
    </row>
    <row r="92" spans="2:9" ht="5.25" customHeight="1" x14ac:dyDescent="0.25">
      <c r="B92" s="21"/>
      <c r="C92" s="21"/>
      <c r="D92" s="22"/>
      <c r="E92" s="23"/>
      <c r="F92" s="23"/>
      <c r="G92" s="23"/>
      <c r="H92" s="23"/>
      <c r="I92" s="23"/>
    </row>
    <row r="93" spans="2:9" x14ac:dyDescent="0.25">
      <c r="B93" s="1443" t="s">
        <v>187</v>
      </c>
      <c r="C93" s="1444"/>
      <c r="D93" s="1444"/>
      <c r="E93" s="1444"/>
      <c r="F93" s="1444"/>
      <c r="G93" s="1444"/>
      <c r="H93" s="1444"/>
      <c r="I93" s="1444"/>
    </row>
    <row r="94" spans="2:9" x14ac:dyDescent="0.25">
      <c r="B94" s="609"/>
      <c r="C94" s="610"/>
      <c r="D94" s="610"/>
      <c r="E94" s="610"/>
      <c r="F94" s="610"/>
      <c r="G94" s="610"/>
      <c r="H94" s="610"/>
      <c r="I94" s="610"/>
    </row>
    <row r="95" spans="2:9" x14ac:dyDescent="0.25">
      <c r="B95" s="609"/>
      <c r="C95" s="610"/>
      <c r="D95" s="610"/>
      <c r="E95" s="610"/>
      <c r="F95" s="610"/>
      <c r="G95" s="610"/>
      <c r="H95" s="610"/>
      <c r="I95" s="610"/>
    </row>
    <row r="96" spans="2:9" x14ac:dyDescent="0.25">
      <c r="B96" s="609"/>
      <c r="C96" s="610"/>
      <c r="D96" s="610"/>
      <c r="E96" s="610"/>
      <c r="F96" s="610"/>
      <c r="G96" s="610"/>
      <c r="H96" s="610"/>
      <c r="I96" s="610"/>
    </row>
    <row r="97" spans="2:9" x14ac:dyDescent="0.25">
      <c r="B97" s="609"/>
      <c r="C97" s="610"/>
      <c r="D97" s="610"/>
      <c r="E97" s="610"/>
      <c r="F97" s="610"/>
      <c r="G97" s="610"/>
      <c r="H97" s="610"/>
      <c r="I97" s="610"/>
    </row>
    <row r="98" spans="2:9" x14ac:dyDescent="0.25">
      <c r="B98" s="609"/>
      <c r="C98" s="610"/>
      <c r="D98" s="610"/>
      <c r="E98" s="610"/>
      <c r="F98" s="610"/>
      <c r="G98" s="610"/>
      <c r="H98" s="610"/>
      <c r="I98" s="610"/>
    </row>
    <row r="99" spans="2:9" x14ac:dyDescent="0.25">
      <c r="B99" s="609"/>
      <c r="C99" s="610"/>
      <c r="D99" s="610"/>
      <c r="E99" s="610"/>
      <c r="F99" s="610"/>
      <c r="G99" s="610"/>
      <c r="H99" s="610"/>
      <c r="I99" s="610"/>
    </row>
    <row r="100" spans="2:9" x14ac:dyDescent="0.25">
      <c r="B100" s="687" t="s">
        <v>565</v>
      </c>
      <c r="C100" s="611"/>
      <c r="D100" s="612"/>
      <c r="E100" s="687" t="s">
        <v>566</v>
      </c>
      <c r="F100" s="611"/>
      <c r="G100" s="612"/>
      <c r="H100" s="687" t="s">
        <v>461</v>
      </c>
      <c r="I100" s="611"/>
    </row>
    <row r="101" spans="2:9" x14ac:dyDescent="0.25">
      <c r="B101" s="40"/>
      <c r="C101" s="40"/>
      <c r="D101" s="41"/>
      <c r="E101" s="40"/>
      <c r="F101" s="40"/>
      <c r="G101" s="40"/>
      <c r="H101" s="40"/>
      <c r="I101" s="40"/>
    </row>
    <row r="102" spans="2:9" ht="15.75" x14ac:dyDescent="0.25">
      <c r="B102" s="690" t="s">
        <v>183</v>
      </c>
      <c r="C102" s="40"/>
      <c r="D102" s="862" t="s">
        <v>53</v>
      </c>
      <c r="E102" s="41"/>
      <c r="F102" s="690" t="s">
        <v>170</v>
      </c>
      <c r="G102" s="40"/>
      <c r="H102" s="691" t="s">
        <v>554</v>
      </c>
      <c r="I102" s="40"/>
    </row>
    <row r="103" spans="2:9" ht="15.75" x14ac:dyDescent="0.25">
      <c r="B103" s="162">
        <f>H32</f>
        <v>0</v>
      </c>
      <c r="C103" s="40"/>
      <c r="D103" s="861">
        <f>H48</f>
        <v>0</v>
      </c>
      <c r="E103" s="41"/>
      <c r="F103" s="156">
        <f>H34</f>
        <v>0</v>
      </c>
      <c r="G103" s="40"/>
      <c r="H103" s="170">
        <f>Z14</f>
        <v>1.575E-3</v>
      </c>
      <c r="I103" s="40"/>
    </row>
    <row r="104" spans="2:9" x14ac:dyDescent="0.25">
      <c r="B104" s="40"/>
      <c r="C104" s="40"/>
      <c r="D104" s="41"/>
      <c r="E104" s="40"/>
      <c r="F104" s="40"/>
      <c r="G104" s="40"/>
      <c r="H104" s="40"/>
      <c r="I104" s="40"/>
    </row>
    <row r="105" spans="2:9" ht="13.5" customHeight="1" x14ac:dyDescent="0.25">
      <c r="B105" s="692"/>
      <c r="C105" s="693"/>
      <c r="D105" s="42"/>
      <c r="E105" s="692" t="s">
        <v>1</v>
      </c>
      <c r="F105" s="693"/>
      <c r="G105" s="694" t="s">
        <v>185</v>
      </c>
      <c r="H105" s="27"/>
      <c r="I105" s="26"/>
    </row>
    <row r="106" spans="2:9" ht="15.75" x14ac:dyDescent="0.25">
      <c r="B106" s="692" t="s">
        <v>471</v>
      </c>
      <c r="C106" s="1447"/>
      <c r="D106" s="1448"/>
      <c r="E106" s="692" t="s">
        <v>186</v>
      </c>
      <c r="F106" s="695"/>
      <c r="G106" s="694" t="s">
        <v>186</v>
      </c>
      <c r="H106" s="696"/>
      <c r="I106" s="697"/>
    </row>
    <row r="107" spans="2:9" ht="6.75" customHeight="1" x14ac:dyDescent="0.25">
      <c r="B107" s="698"/>
      <c r="C107" s="43"/>
      <c r="D107" s="43"/>
      <c r="E107" s="698"/>
      <c r="F107" s="43"/>
      <c r="G107" s="43"/>
      <c r="H107" s="699"/>
      <c r="I107" s="44"/>
    </row>
    <row r="108" spans="2:9" x14ac:dyDescent="0.25">
      <c r="B108" s="1445" t="s">
        <v>559</v>
      </c>
      <c r="C108" s="1446"/>
      <c r="D108" s="1446"/>
      <c r="E108" s="1446"/>
      <c r="F108" s="1446"/>
      <c r="G108" s="1446"/>
      <c r="H108" s="1446"/>
      <c r="I108" s="1446"/>
    </row>
    <row r="109" spans="2:9" x14ac:dyDescent="0.25">
      <c r="B109" s="155"/>
      <c r="C109" s="45"/>
      <c r="D109" s="45"/>
      <c r="E109" s="45"/>
      <c r="F109" s="45"/>
      <c r="G109" s="45"/>
      <c r="H109" s="45"/>
      <c r="I109" s="45"/>
    </row>
    <row r="110" spans="2:9" x14ac:dyDescent="0.25">
      <c r="B110" s="155"/>
      <c r="C110" s="45"/>
      <c r="D110" s="45"/>
      <c r="E110" s="45"/>
      <c r="F110" s="45"/>
      <c r="G110" s="45"/>
      <c r="H110" s="45"/>
      <c r="I110" s="45"/>
    </row>
    <row r="111" spans="2:9" x14ac:dyDescent="0.25">
      <c r="B111" s="155"/>
      <c r="C111" s="45"/>
      <c r="D111" s="45"/>
      <c r="E111" s="45"/>
      <c r="F111" s="45"/>
      <c r="G111" s="45"/>
      <c r="H111" s="45"/>
      <c r="I111" s="45"/>
    </row>
  </sheetData>
  <sheetProtection algorithmName="SHA-512" hashValue="Mwy5sbJaGWfDY+2qsjb2Ec5X5RJdxXa6ss7bc/nuDSCGlrpBOmAcphi0PcatpKzgIqcDXSmwGAhnemZjOPNw1Q==" saltValue="Kd7FrVWUMeYiDAvK7hhB3Q==" spinCount="100000" sheet="1" objects="1" scenarios="1"/>
  <dataConsolidate/>
  <mergeCells count="114">
    <mergeCell ref="J38:K39"/>
    <mergeCell ref="H48:I48"/>
    <mergeCell ref="G50:I50"/>
    <mergeCell ref="H52:I52"/>
    <mergeCell ref="H49:I49"/>
    <mergeCell ref="C18:D18"/>
    <mergeCell ref="G19:I20"/>
    <mergeCell ref="C20:D20"/>
    <mergeCell ref="B4:I4"/>
    <mergeCell ref="H8:I8"/>
    <mergeCell ref="C8:D8"/>
    <mergeCell ref="C10:D10"/>
    <mergeCell ref="H10:I10"/>
    <mergeCell ref="D45:D46"/>
    <mergeCell ref="B30:E30"/>
    <mergeCell ref="H32:I32"/>
    <mergeCell ref="H34:I34"/>
    <mergeCell ref="H40:I40"/>
    <mergeCell ref="F30:I30"/>
    <mergeCell ref="H36:I36"/>
    <mergeCell ref="H46:I46"/>
    <mergeCell ref="H44:I44"/>
    <mergeCell ref="H42:I42"/>
    <mergeCell ref="H67:I67"/>
    <mergeCell ref="B61:I61"/>
    <mergeCell ref="C63:D63"/>
    <mergeCell ref="E63:F63"/>
    <mergeCell ref="H63:I63"/>
    <mergeCell ref="C65:D65"/>
    <mergeCell ref="E65:F65"/>
    <mergeCell ref="H65:I65"/>
    <mergeCell ref="F50:F51"/>
    <mergeCell ref="B54:B55"/>
    <mergeCell ref="C54:C55"/>
    <mergeCell ref="C66:D66"/>
    <mergeCell ref="E66:F66"/>
    <mergeCell ref="H66:I66"/>
    <mergeCell ref="C67:D67"/>
    <mergeCell ref="E67:F67"/>
    <mergeCell ref="C64:D64"/>
    <mergeCell ref="E64:F64"/>
    <mergeCell ref="H64:I64"/>
    <mergeCell ref="C70:D70"/>
    <mergeCell ref="E70:F70"/>
    <mergeCell ref="H70:I70"/>
    <mergeCell ref="C71:D71"/>
    <mergeCell ref="E71:F71"/>
    <mergeCell ref="H71:I71"/>
    <mergeCell ref="C68:D68"/>
    <mergeCell ref="E68:F68"/>
    <mergeCell ref="H68:I68"/>
    <mergeCell ref="C69:D69"/>
    <mergeCell ref="E69:F69"/>
    <mergeCell ref="H69:I69"/>
    <mergeCell ref="C76:D76"/>
    <mergeCell ref="E76:F76"/>
    <mergeCell ref="H76:I76"/>
    <mergeCell ref="C72:D72"/>
    <mergeCell ref="E72:F72"/>
    <mergeCell ref="H72:I72"/>
    <mergeCell ref="C73:D73"/>
    <mergeCell ref="E73:F73"/>
    <mergeCell ref="H73:I73"/>
    <mergeCell ref="C75:D75"/>
    <mergeCell ref="E75:F75"/>
    <mergeCell ref="H75:I75"/>
    <mergeCell ref="S78:T78"/>
    <mergeCell ref="C79:D79"/>
    <mergeCell ref="E79:F79"/>
    <mergeCell ref="H79:I79"/>
    <mergeCell ref="C80:D80"/>
    <mergeCell ref="E80:F80"/>
    <mergeCell ref="H80:I80"/>
    <mergeCell ref="C77:D77"/>
    <mergeCell ref="E77:F77"/>
    <mergeCell ref="H77:I77"/>
    <mergeCell ref="C78:D78"/>
    <mergeCell ref="E78:F78"/>
    <mergeCell ref="H78:I78"/>
    <mergeCell ref="B108:I108"/>
    <mergeCell ref="B93:I93"/>
    <mergeCell ref="C106:D106"/>
    <mergeCell ref="C91:D91"/>
    <mergeCell ref="C82:D82"/>
    <mergeCell ref="C83:D83"/>
    <mergeCell ref="B85:I85"/>
    <mergeCell ref="C87:D87"/>
    <mergeCell ref="H87:I87"/>
    <mergeCell ref="C89:D89"/>
    <mergeCell ref="H89:I89"/>
    <mergeCell ref="Q34:R34"/>
    <mergeCell ref="Q36:R36"/>
    <mergeCell ref="AP1:AS1"/>
    <mergeCell ref="AR2:AS2"/>
    <mergeCell ref="AR5:AS5"/>
    <mergeCell ref="AV1:BA1"/>
    <mergeCell ref="AV7:AX7"/>
    <mergeCell ref="U32:V32"/>
    <mergeCell ref="C26:F26"/>
    <mergeCell ref="C28:F28"/>
    <mergeCell ref="AH1:AM1"/>
    <mergeCell ref="Y7:Z7"/>
    <mergeCell ref="Y12:Z12"/>
    <mergeCell ref="Z17:AA17"/>
    <mergeCell ref="Z23:AA23"/>
    <mergeCell ref="AE1:AF1"/>
    <mergeCell ref="C22:D22"/>
    <mergeCell ref="G22:G23"/>
    <mergeCell ref="H22:I23"/>
    <mergeCell ref="C24:D24"/>
    <mergeCell ref="B14:I14"/>
    <mergeCell ref="C16:E16"/>
    <mergeCell ref="G16:G17"/>
    <mergeCell ref="H16:I17"/>
  </mergeCells>
  <conditionalFormatting sqref="G16:G17">
    <cfRule type="expression" dxfId="8" priority="47">
      <formula>IF(OR($R$1=2,$R$1=4),"VERDADERO","FALSO")</formula>
    </cfRule>
  </conditionalFormatting>
  <conditionalFormatting sqref="H22:I23 H16:I17">
    <cfRule type="expression" dxfId="7" priority="46">
      <formula>IF(OR($R$1=2,$R$1=4),"VERDADERO","FALSO")</formula>
    </cfRule>
  </conditionalFormatting>
  <conditionalFormatting sqref="F50:F51 G22:G23">
    <cfRule type="expression" dxfId="6" priority="45">
      <formula>IF(OR($R$1=2,$R$1=4),"VERDADERO","FALSO")</formula>
    </cfRule>
  </conditionalFormatting>
  <conditionalFormatting sqref="D35">
    <cfRule type="expression" dxfId="5" priority="27">
      <formula>IF($AF$4&gt;0,TRUE,FALSE)</formula>
    </cfRule>
  </conditionalFormatting>
  <conditionalFormatting sqref="C40">
    <cfRule type="expression" dxfId="4" priority="6">
      <formula>AND(ROW()=CELL("fila"),COLUMN()=CELL("columna"))</formula>
    </cfRule>
  </conditionalFormatting>
  <conditionalFormatting sqref="H38 H56 H53">
    <cfRule type="expression" dxfId="3" priority="3">
      <formula>AND(ROW()=CELL("fila"),COLUMN()=CELL("columna"))</formula>
    </cfRule>
  </conditionalFormatting>
  <dataValidations count="24">
    <dataValidation type="list" allowBlank="1" showInputMessage="1" showErrorMessage="1" sqref="C22:D22">
      <formula1>IF(OR(R1=2,R1=4,R1=5,R1=6,R1=7,R1=9,R1=10,R1=11),usada,IF(R1=8,compra_ley,demas))</formula1>
    </dataValidation>
    <dataValidation type="list" allowBlank="1" showInputMessage="1" showErrorMessage="1" sqref="C20:D20">
      <formula1>IF(R1=1,lista_compras,IF(R1=2,lista_ccash,IF(R1=3,lista_vaca,IF(R1=8,lista_const,lista_ext))))</formula1>
    </dataValidation>
    <dataValidation type="list" allowBlank="1" showInputMessage="1" showErrorMessage="1" sqref="C18:D18">
      <formula1>IF(OR(R1=2,R1=3,R1=4),lista_casacash,IF(R1=5,lista_traspaso,Lista_compra))</formula1>
    </dataValidation>
    <dataValidation type="list" allowBlank="1" showInputMessage="1" showErrorMessage="1" sqref="H56">
      <formula1>hace_escritura</formula1>
    </dataValidation>
    <dataValidation type="list" allowBlank="1" showInputMessage="1" showErrorMessage="1" sqref="H53">
      <formula1>EmplBG_gtosGratis</formula1>
    </dataValidation>
    <dataValidation type="list" allowBlank="1" showInputMessage="1" showErrorMessage="1" sqref="H10:I10">
      <formula1>Oficina</formula1>
    </dataValidation>
    <dataValidation type="list" allowBlank="1" showInputMessage="1" showErrorMessage="1" sqref="C10">
      <formula1>canal</formula1>
    </dataValidation>
    <dataValidation allowBlank="1" showInputMessage="1" showErrorMessage="1" prompt="mm/dd/aaaa_x000a_" sqref="I100"/>
    <dataValidation type="list" allowBlank="1" showInputMessage="1" showErrorMessage="1" sqref="C91:D91">
      <formula1>Renovación</formula1>
    </dataValidation>
    <dataValidation type="list" allowBlank="1" showInputMessage="1" showErrorMessage="1" sqref="C72:I72">
      <formula1>Mercado_</formula1>
    </dataValidation>
    <dataValidation type="list" allowBlank="1" showInputMessage="1" showErrorMessage="1" sqref="C65:I65">
      <formula1>participante</formula1>
    </dataValidation>
    <dataValidation allowBlank="1" showInputMessage="1" showErrorMessage="1" prompt="mm/dd/aaaa" sqref="C69:I69 C36"/>
    <dataValidation type="decimal" allowBlank="1" showInputMessage="1" showErrorMessage="1" error="Ingresar valores numéricos" sqref="C75:H80 I79:I80 I75:I77">
      <formula1>0</formula1>
      <formula2>9999999999.99</formula2>
    </dataValidation>
    <dataValidation type="list" allowBlank="1" showInputMessage="1" showErrorMessage="1" sqref="C87:D87">
      <formula1>uso_propiedad</formula1>
    </dataValidation>
    <dataValidation type="list" allowBlank="1" showInputMessage="1" showErrorMessage="1" sqref="C89">
      <formula1>forma_pago</formula1>
    </dataValidation>
    <dataValidation type="list" allowBlank="1" showInputMessage="1" showErrorMessage="1" sqref="H89:I89">
      <formula1>fideicomiso</formula1>
    </dataValidation>
    <dataValidation type="list" allowBlank="1" showInputMessage="1" showErrorMessage="1" sqref="C16:E16">
      <formula1>finalidad_otros</formula1>
    </dataValidation>
    <dataValidation type="decimal" allowBlank="1" showInputMessage="1" showErrorMessage="1" sqref="C34">
      <formula1>0</formula1>
      <formula2>9999999999.99</formula2>
    </dataValidation>
    <dataValidation type="decimal" allowBlank="1" showInputMessage="1" showErrorMessage="1" error="Favor introducir valores numéricos" sqref="C32">
      <formula1>0</formula1>
      <formula2>9999999999.99</formula2>
    </dataValidation>
    <dataValidation type="decimal" allowBlank="1" showInputMessage="1" showErrorMessage="1" error="Favor introducir valores numéricos_x000a_" sqref="G41">
      <formula1>0</formula1>
      <formula2>99999999.99</formula2>
    </dataValidation>
    <dataValidation type="list" allowBlank="1" showInputMessage="1" showErrorMessage="1" sqref="C13">
      <formula1>tipo_cliente</formula1>
    </dataValidation>
    <dataValidation type="list" allowBlank="1" showInputMessage="1" showErrorMessage="1" sqref="D9">
      <formula1>programa</formula1>
    </dataValidation>
    <dataValidation type="list" allowBlank="1" showInputMessage="1" showErrorMessage="1" sqref="C24:D24">
      <formula1>tipo_garantía</formula1>
    </dataValidation>
    <dataValidation type="list" allowBlank="1" showInputMessage="1" showErrorMessage="1" sqref="H38">
      <formula1>vida</formula1>
    </dataValidation>
  </dataValidations>
  <pageMargins left="3.937007874015748E-2" right="3.937007874015748E-2" top="3.937007874015748E-2" bottom="0.74803149606299213" header="0.31496062992125984" footer="0.31496062992125984"/>
  <pageSetup scale="45" orientation="portrait" r:id="rId1"/>
  <ignoredErrors>
    <ignoredError sqref="C8 H42 H46 H44"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197" r:id="rId4" name="Check Box 5">
              <controlPr locked="0" defaultSize="0" autoFill="0" autoLine="0" autoPict="0">
                <anchor moveWithCells="1">
                  <from>
                    <xdr:col>2</xdr:col>
                    <xdr:colOff>1152525</xdr:colOff>
                    <xdr:row>73</xdr:row>
                    <xdr:rowOff>0</xdr:rowOff>
                  </from>
                  <to>
                    <xdr:col>2</xdr:col>
                    <xdr:colOff>1457325</xdr:colOff>
                    <xdr:row>74</xdr:row>
                    <xdr:rowOff>28575</xdr:rowOff>
                  </to>
                </anchor>
              </controlPr>
            </control>
          </mc:Choice>
        </mc:AlternateContent>
        <mc:AlternateContent xmlns:mc="http://schemas.openxmlformats.org/markup-compatibility/2006">
          <mc:Choice Requires="x14">
            <control shapeId="8198" r:id="rId5" name="Check Box 6">
              <controlPr locked="0" defaultSize="0" autoFill="0" autoLine="0" autoPict="0">
                <anchor moveWithCells="1">
                  <from>
                    <xdr:col>4</xdr:col>
                    <xdr:colOff>704850</xdr:colOff>
                    <xdr:row>73</xdr:row>
                    <xdr:rowOff>0</xdr:rowOff>
                  </from>
                  <to>
                    <xdr:col>5</xdr:col>
                    <xdr:colOff>247650</xdr:colOff>
                    <xdr:row>74</xdr:row>
                    <xdr:rowOff>28575</xdr:rowOff>
                  </to>
                </anchor>
              </controlPr>
            </control>
          </mc:Choice>
        </mc:AlternateContent>
        <mc:AlternateContent xmlns:mc="http://schemas.openxmlformats.org/markup-compatibility/2006">
          <mc:Choice Requires="x14">
            <control shapeId="8199" r:id="rId6" name="Check Box 7">
              <controlPr locked="0" defaultSize="0" autoFill="0" autoLine="0" autoPict="0">
                <anchor moveWithCells="1">
                  <from>
                    <xdr:col>6</xdr:col>
                    <xdr:colOff>704850</xdr:colOff>
                    <xdr:row>73</xdr:row>
                    <xdr:rowOff>0</xdr:rowOff>
                  </from>
                  <to>
                    <xdr:col>6</xdr:col>
                    <xdr:colOff>1009650</xdr:colOff>
                    <xdr:row>74</xdr:row>
                    <xdr:rowOff>28575</xdr:rowOff>
                  </to>
                </anchor>
              </controlPr>
            </control>
          </mc:Choice>
        </mc:AlternateContent>
        <mc:AlternateContent xmlns:mc="http://schemas.openxmlformats.org/markup-compatibility/2006">
          <mc:Choice Requires="x14">
            <control shapeId="8200" r:id="rId7" name="Check Box 8">
              <controlPr locked="0" defaultSize="0" autoFill="0" autoLine="0" autoPict="0">
                <anchor moveWithCells="1">
                  <from>
                    <xdr:col>7</xdr:col>
                    <xdr:colOff>933450</xdr:colOff>
                    <xdr:row>73</xdr:row>
                    <xdr:rowOff>0</xdr:rowOff>
                  </from>
                  <to>
                    <xdr:col>8</xdr:col>
                    <xdr:colOff>180975</xdr:colOff>
                    <xdr:row>74</xdr:row>
                    <xdr:rowOff>28575</xdr:rowOff>
                  </to>
                </anchor>
              </controlPr>
            </control>
          </mc:Choice>
        </mc:AlternateContent>
        <mc:AlternateContent xmlns:mc="http://schemas.openxmlformats.org/markup-compatibility/2006">
          <mc:Choice Requires="x14">
            <control shapeId="8243" r:id="rId8" name="Check Box 51">
              <controlPr locked="0" defaultSize="0" autoFill="0" autoLine="0" autoPict="0">
                <anchor moveWithCells="1">
                  <from>
                    <xdr:col>8</xdr:col>
                    <xdr:colOff>57150</xdr:colOff>
                    <xdr:row>37</xdr:row>
                    <xdr:rowOff>114300</xdr:rowOff>
                  </from>
                  <to>
                    <xdr:col>8</xdr:col>
                    <xdr:colOff>771525</xdr:colOff>
                    <xdr:row>37</xdr:row>
                    <xdr:rowOff>333375</xdr:rowOff>
                  </to>
                </anchor>
              </controlPr>
            </control>
          </mc:Choice>
        </mc:AlternateContent>
        <mc:AlternateContent xmlns:mc="http://schemas.openxmlformats.org/markup-compatibility/2006">
          <mc:Choice Requires="x14">
            <control shapeId="8245" r:id="rId9" name="Check Box 53">
              <controlPr locked="0" defaultSize="0" autoFill="0" autoLine="0" autoPict="0">
                <anchor moveWithCells="1">
                  <from>
                    <xdr:col>2</xdr:col>
                    <xdr:colOff>1143000</xdr:colOff>
                    <xdr:row>69</xdr:row>
                    <xdr:rowOff>0</xdr:rowOff>
                  </from>
                  <to>
                    <xdr:col>2</xdr:col>
                    <xdr:colOff>1457325</xdr:colOff>
                    <xdr:row>70</xdr:row>
                    <xdr:rowOff>28575</xdr:rowOff>
                  </to>
                </anchor>
              </controlPr>
            </control>
          </mc:Choice>
        </mc:AlternateContent>
        <mc:AlternateContent xmlns:mc="http://schemas.openxmlformats.org/markup-compatibility/2006">
          <mc:Choice Requires="x14">
            <control shapeId="8246" r:id="rId10" name="Check Box 54">
              <controlPr locked="0" defaultSize="0" autoFill="0" autoLine="0" autoPict="0">
                <anchor moveWithCells="1">
                  <from>
                    <xdr:col>4</xdr:col>
                    <xdr:colOff>752475</xdr:colOff>
                    <xdr:row>69</xdr:row>
                    <xdr:rowOff>0</xdr:rowOff>
                  </from>
                  <to>
                    <xdr:col>5</xdr:col>
                    <xdr:colOff>295275</xdr:colOff>
                    <xdr:row>70</xdr:row>
                    <xdr:rowOff>28575</xdr:rowOff>
                  </to>
                </anchor>
              </controlPr>
            </control>
          </mc:Choice>
        </mc:AlternateContent>
        <mc:AlternateContent xmlns:mc="http://schemas.openxmlformats.org/markup-compatibility/2006">
          <mc:Choice Requires="x14">
            <control shapeId="8247" r:id="rId11" name="Check Box 55">
              <controlPr locked="0" defaultSize="0" autoFill="0" autoLine="0" autoPict="0">
                <anchor moveWithCells="1">
                  <from>
                    <xdr:col>6</xdr:col>
                    <xdr:colOff>704850</xdr:colOff>
                    <xdr:row>69</xdr:row>
                    <xdr:rowOff>0</xdr:rowOff>
                  </from>
                  <to>
                    <xdr:col>6</xdr:col>
                    <xdr:colOff>1009650</xdr:colOff>
                    <xdr:row>70</xdr:row>
                    <xdr:rowOff>28575</xdr:rowOff>
                  </to>
                </anchor>
              </controlPr>
            </control>
          </mc:Choice>
        </mc:AlternateContent>
        <mc:AlternateContent xmlns:mc="http://schemas.openxmlformats.org/markup-compatibility/2006">
          <mc:Choice Requires="x14">
            <control shapeId="8248" r:id="rId12" name="Check Box 56">
              <controlPr locked="0" defaultSize="0" autoFill="0" autoLine="0" autoPict="0">
                <anchor moveWithCells="1">
                  <from>
                    <xdr:col>7</xdr:col>
                    <xdr:colOff>933450</xdr:colOff>
                    <xdr:row>69</xdr:row>
                    <xdr:rowOff>0</xdr:rowOff>
                  </from>
                  <to>
                    <xdr:col>8</xdr:col>
                    <xdr:colOff>180975</xdr:colOff>
                    <xdr:row>70</xdr:row>
                    <xdr:rowOff>28575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
  <dimension ref="A1:N67"/>
  <sheetViews>
    <sheetView showGridLines="0" zoomScale="80" zoomScaleNormal="80" workbookViewId="0">
      <selection activeCell="F48" sqref="F48:G48"/>
    </sheetView>
  </sheetViews>
  <sheetFormatPr baseColWidth="10" defaultColWidth="11.42578125" defaultRowHeight="14.25" x14ac:dyDescent="0.2"/>
  <cols>
    <col min="1" max="1" width="5.42578125" style="89" customWidth="1"/>
    <col min="2" max="2" width="21.5703125" style="89" customWidth="1"/>
    <col min="3" max="3" width="30.28515625" style="89" customWidth="1"/>
    <col min="4" max="4" width="19" style="89" customWidth="1"/>
    <col min="5" max="5" width="9" style="89" customWidth="1"/>
    <col min="6" max="6" width="26.85546875" style="89" customWidth="1"/>
    <col min="7" max="7" width="16.42578125" style="89" customWidth="1"/>
    <col min="8" max="8" width="13.140625" style="89" bestFit="1" customWidth="1"/>
    <col min="9" max="9" width="12" style="89" bestFit="1" customWidth="1"/>
    <col min="10" max="16384" width="11.42578125" style="89"/>
  </cols>
  <sheetData>
    <row r="1" spans="1:10" s="49" customFormat="1" ht="33.75" customHeight="1" x14ac:dyDescent="0.25">
      <c r="A1" s="1524"/>
      <c r="B1" s="1525"/>
      <c r="C1" s="1525"/>
      <c r="D1" s="1525"/>
      <c r="E1" s="1525"/>
      <c r="F1" s="1525"/>
      <c r="G1" s="1525"/>
      <c r="H1" s="1526" t="s">
        <v>439</v>
      </c>
      <c r="I1" s="1527"/>
    </row>
    <row r="2" spans="1:10" s="49" customFormat="1" ht="18" x14ac:dyDescent="0.25">
      <c r="A2" s="1528"/>
      <c r="B2" s="1529"/>
      <c r="C2" s="1529"/>
      <c r="D2" s="1529"/>
      <c r="E2" s="1529"/>
      <c r="F2" s="1529"/>
      <c r="G2" s="1529"/>
      <c r="H2" s="1529"/>
      <c r="I2" s="1530"/>
    </row>
    <row r="3" spans="1:10" s="49" customFormat="1" ht="16.5" customHeight="1" x14ac:dyDescent="0.25">
      <c r="A3" s="1531"/>
      <c r="B3" s="1532"/>
      <c r="C3" s="1532"/>
      <c r="D3" s="1532"/>
      <c r="E3" s="1532"/>
      <c r="F3" s="1532"/>
      <c r="G3" s="1532"/>
      <c r="H3" s="1532"/>
      <c r="I3" s="1533"/>
    </row>
    <row r="4" spans="1:10" s="49" customFormat="1" ht="15" x14ac:dyDescent="0.25">
      <c r="A4" s="1680" t="s">
        <v>959</v>
      </c>
      <c r="B4" s="1680"/>
      <c r="C4" s="1680"/>
      <c r="D4" s="744" t="str">
        <f>CONCATENATE(Hoja_Cambio!C16,"-",Hoja_Cambio!C18,"-",Hoja_Cambio!C20)</f>
        <v>Cambio de Dueño y Deudor-Ley Preferencial-Residencial</v>
      </c>
      <c r="F4" s="90"/>
      <c r="G4" s="745"/>
      <c r="H4" s="745"/>
      <c r="I4" s="746"/>
    </row>
    <row r="5" spans="1:10" s="49" customFormat="1" ht="18.75" customHeight="1" x14ac:dyDescent="0.25">
      <c r="A5" s="1677" t="s">
        <v>441</v>
      </c>
      <c r="B5" s="1678"/>
      <c r="C5" s="1678"/>
      <c r="D5" s="1678"/>
      <c r="E5" s="1678"/>
      <c r="F5" s="1678"/>
      <c r="G5" s="1678"/>
      <c r="H5" s="1678"/>
      <c r="I5" s="1679"/>
    </row>
    <row r="6" spans="1:10" s="49" customFormat="1" ht="44.25" customHeight="1" x14ac:dyDescent="0.2">
      <c r="A6" s="743" t="s">
        <v>442</v>
      </c>
      <c r="B6" s="743" t="s">
        <v>81</v>
      </c>
      <c r="C6" s="743" t="s">
        <v>184</v>
      </c>
      <c r="D6" s="743" t="s">
        <v>443</v>
      </c>
      <c r="E6" s="743" t="s">
        <v>101</v>
      </c>
      <c r="F6" s="743" t="s">
        <v>444</v>
      </c>
      <c r="G6" s="743" t="s">
        <v>488</v>
      </c>
      <c r="H6" s="743" t="s">
        <v>445</v>
      </c>
      <c r="I6" s="743" t="s">
        <v>446</v>
      </c>
    </row>
    <row r="7" spans="1:10" s="49" customFormat="1" ht="15" customHeight="1" x14ac:dyDescent="0.2">
      <c r="A7" s="57">
        <v>1</v>
      </c>
      <c r="B7" s="146" t="str">
        <f>IF(Hoja_Cambio!C65="","",Hoja_Cambio!C65)</f>
        <v/>
      </c>
      <c r="C7" s="146" t="str">
        <f>IF(Hoja_Cambio!C66="","",Hoja_Cambio!C66)</f>
        <v/>
      </c>
      <c r="D7" s="146" t="str">
        <f>IF(Hoja_Cambio!C67="","",Hoja_Cambio!C67)</f>
        <v/>
      </c>
      <c r="E7" s="175" t="str">
        <f>Hoja_Cambio!Z4</f>
        <v/>
      </c>
      <c r="F7" s="232" t="str">
        <f>IF(Hoja_Cambio!C71="","",Hoja_Cambio!C71)</f>
        <v/>
      </c>
      <c r="G7" s="176" t="str">
        <f>IF(Hoja_Cambio!C73="","",Hoja_Cambio!C73)</f>
        <v/>
      </c>
      <c r="H7" s="177" t="str">
        <f>IF(Hoja_Cambio!C75="","",Hoja_Cambio!C75)</f>
        <v/>
      </c>
      <c r="I7" s="742" t="str">
        <f>IF(Hoja_Cambio!C76="","",Hoja_Cambio!C76)</f>
        <v/>
      </c>
    </row>
    <row r="8" spans="1:10" s="49" customFormat="1" ht="17.25" customHeight="1" x14ac:dyDescent="0.2">
      <c r="A8" s="57">
        <v>2</v>
      </c>
      <c r="B8" s="146" t="str">
        <f>IF(Hoja_Cambio!E65="","",Hoja_Cambio!E65)</f>
        <v/>
      </c>
      <c r="C8" s="146" t="str">
        <f>IF(Hoja_Cambio!E66="","",Hoja_Cambio!E66)</f>
        <v/>
      </c>
      <c r="D8" s="146" t="str">
        <f>IF(Hoja_Cambio!E67="","",Hoja_Cambio!E67)</f>
        <v/>
      </c>
      <c r="E8" s="175" t="str">
        <f>Hoja_Cambio!AA4</f>
        <v/>
      </c>
      <c r="F8" s="232" t="str">
        <f>IF(Hoja_Cambio!E71="","",Hoja_Cambio!E71)</f>
        <v/>
      </c>
      <c r="G8" s="176" t="str">
        <f>IF(Hoja_Cambio!E73="","",Hoja_Cambio!E73)</f>
        <v/>
      </c>
      <c r="H8" s="177" t="str">
        <f>IF(Hoja_Cambio!E75="","",Hoja_Cambio!E75)</f>
        <v/>
      </c>
      <c r="I8" s="178" t="str">
        <f>IF(Hoja_Cambio!E76="","",Hoja_Cambio!E76)</f>
        <v/>
      </c>
    </row>
    <row r="9" spans="1:10" s="49" customFormat="1" ht="15" customHeight="1" x14ac:dyDescent="0.25">
      <c r="A9" s="57">
        <v>3</v>
      </c>
      <c r="B9" s="146" t="str">
        <f>IF(Hoja_Cambio!G65="","",Hoja_Cambio!G65)</f>
        <v/>
      </c>
      <c r="C9" s="146" t="str">
        <f>IF(Hoja_Cambio!G66="","",Hoja_Cambio!G66)</f>
        <v/>
      </c>
      <c r="D9" s="146" t="str">
        <f>IF(Hoja_Cambio!G67="","",Hoja_Cambio!G67)</f>
        <v/>
      </c>
      <c r="E9" s="175" t="str">
        <f>Hoja_Cambio!AB4</f>
        <v/>
      </c>
      <c r="F9" s="232" t="str">
        <f>IF(Hoja_Cambio!G71="","",Hoja_Cambio!G71)</f>
        <v/>
      </c>
      <c r="G9" s="176" t="str">
        <f>IF(Hoja_Cambio!G73="","",Hoja_Cambio!G73)</f>
        <v/>
      </c>
      <c r="H9" s="177" t="str">
        <f>IF(Hoja_Cambio!G75="","",Hoja_Cambio!G75)</f>
        <v/>
      </c>
      <c r="I9" s="178" t="str">
        <f>IF(Hoja_Cambio!G76="","",Hoja_Cambio!G76)</f>
        <v/>
      </c>
      <c r="J9" s="627"/>
    </row>
    <row r="10" spans="1:10" s="49" customFormat="1" ht="15" customHeight="1" x14ac:dyDescent="0.2">
      <c r="A10" s="57">
        <v>4</v>
      </c>
      <c r="B10" s="146" t="str">
        <f>IF(Hoja_Cambio!H65="","",Hoja_Cambio!H65)</f>
        <v/>
      </c>
      <c r="C10" s="146" t="str">
        <f>IF(Hoja_Cambio!H66="","",Hoja_Cambio!H66)</f>
        <v/>
      </c>
      <c r="D10" s="146" t="str">
        <f>IF(Hoja_Cambio!H67="","",Hoja_Cambio!H67)</f>
        <v/>
      </c>
      <c r="E10" s="175" t="str">
        <f>Hoja_Cambio!AC4</f>
        <v/>
      </c>
      <c r="F10" s="232" t="str">
        <f>IF(Hoja_Cambio!H71="","",Hoja_Cambio!H71)</f>
        <v/>
      </c>
      <c r="G10" s="176" t="str">
        <f>IF(Hoja_Cambio!H73="","",Hoja_Cambio!H73)</f>
        <v/>
      </c>
      <c r="H10" s="177" t="str">
        <f>IF(Hoja_Cambio!H75="","",Hoja_Cambio!H75)</f>
        <v/>
      </c>
      <c r="I10" s="178" t="str">
        <f>IF(Hoja_Cambio!H76="","",Hoja_Cambio!H76)</f>
        <v/>
      </c>
    </row>
    <row r="11" spans="1:10" s="49" customFormat="1" ht="15" customHeight="1" x14ac:dyDescent="0.2">
      <c r="A11" s="57"/>
      <c r="B11" s="146"/>
      <c r="C11" s="146"/>
      <c r="D11" s="146"/>
      <c r="E11" s="175"/>
      <c r="F11" s="232"/>
      <c r="G11" s="176"/>
      <c r="H11" s="177"/>
      <c r="I11" s="742"/>
    </row>
    <row r="12" spans="1:10" s="49" customFormat="1" ht="15" x14ac:dyDescent="0.25">
      <c r="A12" s="59"/>
      <c r="B12" s="709" t="s">
        <v>486</v>
      </c>
      <c r="C12" s="709" t="s">
        <v>485</v>
      </c>
      <c r="D12" s="60" t="s">
        <v>447</v>
      </c>
      <c r="H12" s="109">
        <f>(Hoja_Cambio!AQ2+Hoja_Cambio!AQ3)</f>
        <v>0</v>
      </c>
      <c r="I12" s="63"/>
    </row>
    <row r="13" spans="1:10" s="49" customFormat="1" x14ac:dyDescent="0.2">
      <c r="A13" s="64"/>
      <c r="B13" s="134" t="str">
        <f>IF(Hoja_Cambio!C68="","",Hoja_Cambio!C68)</f>
        <v/>
      </c>
      <c r="C13" s="135" t="str">
        <f>IF(Hoja_Cambio!E68="","",Hoja_Cambio!E68)</f>
        <v/>
      </c>
      <c r="D13" s="184" t="s">
        <v>796</v>
      </c>
      <c r="E13" s="61"/>
      <c r="F13" s="61"/>
      <c r="G13" s="61"/>
      <c r="H13" s="109">
        <f>Hoja_Cambio!AQ4</f>
        <v>0</v>
      </c>
      <c r="I13" s="63"/>
    </row>
    <row r="14" spans="1:10" s="49" customFormat="1" ht="15" x14ac:dyDescent="0.25">
      <c r="A14" s="64"/>
      <c r="B14" s="710" t="s">
        <v>483</v>
      </c>
      <c r="C14" s="710" t="s">
        <v>484</v>
      </c>
      <c r="D14" s="61" t="s">
        <v>795</v>
      </c>
      <c r="E14" s="61"/>
      <c r="F14" s="61"/>
      <c r="G14" s="61"/>
      <c r="H14" s="109">
        <f>Hoja_Cambio!AQ5</f>
        <v>0</v>
      </c>
      <c r="I14" s="63"/>
    </row>
    <row r="15" spans="1:10" s="49" customFormat="1" x14ac:dyDescent="0.2">
      <c r="A15" s="64"/>
      <c r="B15" s="136" t="str">
        <f>IF(Hoja_Cambio!G68="","",Hoja_Cambio!G68)</f>
        <v/>
      </c>
      <c r="C15" s="137" t="str">
        <f>IF(Hoja_Cambio!H68="","",Hoja_Cambio!H68)</f>
        <v/>
      </c>
      <c r="D15" s="49" t="s">
        <v>791</v>
      </c>
      <c r="E15" s="61"/>
      <c r="F15" s="61"/>
      <c r="G15" s="61"/>
      <c r="H15" s="109">
        <f>Hoja_Cambio!AQ6</f>
        <v>0</v>
      </c>
      <c r="I15" s="63"/>
    </row>
    <row r="16" spans="1:10" s="49" customFormat="1" x14ac:dyDescent="0.2">
      <c r="A16" s="60"/>
      <c r="B16" s="61"/>
      <c r="C16" s="61"/>
      <c r="D16" s="61" t="s">
        <v>792</v>
      </c>
      <c r="E16" s="61"/>
      <c r="F16" s="61"/>
      <c r="G16" s="61"/>
      <c r="H16" s="109">
        <f>Hoja_Cambio!AQ7</f>
        <v>0</v>
      </c>
      <c r="I16" s="200"/>
    </row>
    <row r="17" spans="1:14" s="49" customFormat="1" ht="12.75" customHeight="1" x14ac:dyDescent="0.25">
      <c r="A17" s="60"/>
      <c r="B17" s="61"/>
      <c r="C17" s="61"/>
      <c r="D17" s="183" t="s">
        <v>677</v>
      </c>
      <c r="E17" s="61"/>
      <c r="F17" s="61"/>
      <c r="G17" s="61"/>
      <c r="H17" s="185">
        <f>Hoja_Cambio!BA7</f>
        <v>0</v>
      </c>
      <c r="I17" s="200"/>
    </row>
    <row r="18" spans="1:14" s="49" customFormat="1" ht="12.75" customHeight="1" x14ac:dyDescent="0.25">
      <c r="A18" s="61"/>
      <c r="B18" s="61"/>
      <c r="C18" s="61"/>
      <c r="D18" s="183"/>
      <c r="E18" s="61"/>
      <c r="F18" s="61"/>
      <c r="G18" s="61"/>
      <c r="H18" s="185"/>
      <c r="I18" s="61"/>
    </row>
    <row r="19" spans="1:14" s="49" customFormat="1" ht="16.5" customHeight="1" x14ac:dyDescent="0.2">
      <c r="A19" s="1673" t="s">
        <v>448</v>
      </c>
      <c r="B19" s="1674"/>
      <c r="C19" s="1674"/>
      <c r="D19" s="1674"/>
      <c r="E19" s="1674"/>
      <c r="F19" s="1674"/>
      <c r="G19" s="1674"/>
      <c r="H19" s="1674"/>
      <c r="I19" s="1675"/>
    </row>
    <row r="20" spans="1:14" s="49" customFormat="1" ht="12.75" customHeight="1" x14ac:dyDescent="0.2">
      <c r="A20" s="60"/>
      <c r="B20" s="61"/>
      <c r="C20" s="1539" t="str">
        <f>IF('1.Hoja_de_Cotización'!C26 = "","",'1.Hoja_de_Cotización'!C26)</f>
        <v>X</v>
      </c>
      <c r="D20" s="1539"/>
      <c r="E20" s="67"/>
      <c r="F20" s="66"/>
      <c r="G20" s="66"/>
      <c r="H20" s="109"/>
      <c r="I20" s="63"/>
    </row>
    <row r="21" spans="1:14" s="49" customFormat="1" ht="15.75" x14ac:dyDescent="0.25">
      <c r="A21" s="60"/>
      <c r="B21" s="1667" t="s">
        <v>939</v>
      </c>
      <c r="C21" s="1667"/>
      <c r="D21" s="113">
        <f>Hoja_Cambio!H32</f>
        <v>0</v>
      </c>
      <c r="E21" s="67"/>
      <c r="F21" s="626"/>
      <c r="G21" s="66"/>
      <c r="I21" s="63"/>
    </row>
    <row r="22" spans="1:14" s="49" customFormat="1" x14ac:dyDescent="0.2">
      <c r="A22" s="60"/>
      <c r="B22" s="61"/>
      <c r="C22" s="182">
        <f>IF('1.Hoja_de_Cotización'!G26&lt;&gt;"",'1.Hoja_de_Cotización'!G26,"")</f>
        <v>43525</v>
      </c>
      <c r="D22" s="56"/>
      <c r="E22" s="56"/>
      <c r="F22" s="66"/>
      <c r="G22" s="66"/>
      <c r="H22" s="109"/>
      <c r="I22" s="126"/>
    </row>
    <row r="23" spans="1:14" s="49" customFormat="1" ht="15" x14ac:dyDescent="0.25">
      <c r="A23" s="68"/>
      <c r="B23" s="69"/>
      <c r="C23" s="69"/>
      <c r="D23" s="69"/>
      <c r="E23" s="69"/>
      <c r="F23" s="66"/>
      <c r="G23" s="66"/>
      <c r="H23" s="113"/>
      <c r="I23" s="126"/>
    </row>
    <row r="24" spans="1:14" s="49" customFormat="1" ht="15" x14ac:dyDescent="0.25">
      <c r="A24" s="68"/>
      <c r="B24" s="1540" t="str">
        <f>IF(Hoja_Cambio!C44&gt;0,"TASA       +                FECI/FONDO","TASA")</f>
        <v>TASA</v>
      </c>
      <c r="C24" s="1676"/>
      <c r="D24" s="737">
        <f>IF(Hoja_Cambio!C44&gt;0,(Hoja_Cambio!C34+Hoja_Cambio!C44),Hoja_Cambio!C34)</f>
        <v>0</v>
      </c>
      <c r="E24" s="69"/>
      <c r="F24" s="630"/>
      <c r="G24" s="66"/>
      <c r="H24" s="138"/>
      <c r="I24" s="73"/>
    </row>
    <row r="25" spans="1:14" s="49" customFormat="1" ht="15" x14ac:dyDescent="0.25">
      <c r="A25" s="68"/>
      <c r="B25" s="736" t="str">
        <f>IF(Hoja_Cambio!S58&gt;0,Hoja_Cambio!C34,"")</f>
        <v/>
      </c>
      <c r="C25" s="736" t="str">
        <f>IF(Hoja_Cambio!C44&gt;0,Hoja_Cambio!C44,"")</f>
        <v/>
      </c>
      <c r="D25" s="70"/>
      <c r="E25" s="69"/>
      <c r="F25" s="630"/>
      <c r="G25" s="74"/>
      <c r="H25" s="139"/>
      <c r="I25" s="75"/>
      <c r="L25" s="630"/>
      <c r="N25" s="72"/>
    </row>
    <row r="26" spans="1:14" s="49" customFormat="1" ht="30" x14ac:dyDescent="0.25">
      <c r="A26" s="60"/>
      <c r="B26" s="61"/>
      <c r="C26" s="61"/>
      <c r="D26" s="978" t="s">
        <v>1282</v>
      </c>
      <c r="E26" s="61"/>
      <c r="F26" s="982" t="s">
        <v>1281</v>
      </c>
      <c r="G26" s="974"/>
      <c r="H26" s="974"/>
      <c r="I26" s="76"/>
    </row>
    <row r="27" spans="1:14" s="49" customFormat="1" ht="15" x14ac:dyDescent="0.25">
      <c r="A27" s="60"/>
      <c r="B27" s="56" t="s">
        <v>52</v>
      </c>
      <c r="C27" s="77"/>
      <c r="D27" s="128" t="str">
        <f>Hoja_Cambio!AF4</f>
        <v/>
      </c>
      <c r="E27" s="70"/>
      <c r="F27" s="128" t="str">
        <f>D27</f>
        <v/>
      </c>
      <c r="G27" s="79"/>
      <c r="H27" s="80"/>
      <c r="I27" s="81"/>
    </row>
    <row r="28" spans="1:14" s="49" customFormat="1" ht="15" x14ac:dyDescent="0.25">
      <c r="A28" s="60"/>
      <c r="B28" s="56" t="s">
        <v>450</v>
      </c>
      <c r="C28" s="82"/>
      <c r="D28" s="145">
        <f>Hoja_Cambio!R26</f>
        <v>0</v>
      </c>
      <c r="E28" s="78"/>
      <c r="F28" s="145">
        <f>Hoja_Cambio!S26</f>
        <v>0</v>
      </c>
      <c r="G28" s="84"/>
      <c r="H28" s="85"/>
      <c r="I28" s="86"/>
    </row>
    <row r="29" spans="1:14" s="49" customFormat="1" x14ac:dyDescent="0.2">
      <c r="A29" s="60"/>
      <c r="B29" s="56" t="s">
        <v>118</v>
      </c>
      <c r="C29" s="61"/>
      <c r="D29" s="144">
        <f>Hoja_Cambio!R27</f>
        <v>0</v>
      </c>
      <c r="E29" s="981" t="str">
        <f>IF(Hoja_Cambio!AH16=TRUE,"Endosa",IF(D29=0,"","*"))</f>
        <v/>
      </c>
      <c r="F29" s="144">
        <f>Hoja_Cambio!S27</f>
        <v>0</v>
      </c>
      <c r="G29" s="979"/>
      <c r="H29" s="979"/>
      <c r="I29" s="980"/>
    </row>
    <row r="30" spans="1:14" s="49" customFormat="1" x14ac:dyDescent="0.2">
      <c r="A30" s="60"/>
      <c r="B30" s="56" t="s">
        <v>119</v>
      </c>
      <c r="C30" s="88"/>
      <c r="D30" s="145">
        <f>Hoja_Cambio!R28</f>
        <v>0</v>
      </c>
      <c r="E30" s="83"/>
      <c r="F30" s="145">
        <f>Hoja_Cambio!S28</f>
        <v>0</v>
      </c>
      <c r="G30" s="69"/>
      <c r="H30" s="69"/>
      <c r="I30" s="76"/>
    </row>
    <row r="31" spans="1:14" s="49" customFormat="1" x14ac:dyDescent="0.2">
      <c r="A31" s="60"/>
      <c r="B31" s="146" t="str">
        <f>IF(D31="","","Manejo")</f>
        <v>Manejo</v>
      </c>
      <c r="C31" s="88"/>
      <c r="D31" s="145">
        <f>Hoja_Cambio!R29</f>
        <v>0</v>
      </c>
      <c r="E31" s="87"/>
      <c r="F31" s="145">
        <f>Hoja_Cambio!S29</f>
        <v>0</v>
      </c>
      <c r="G31" s="69"/>
      <c r="H31" s="69"/>
      <c r="I31" s="76"/>
    </row>
    <row r="32" spans="1:14" s="49" customFormat="1" x14ac:dyDescent="0.2">
      <c r="A32" s="60"/>
      <c r="B32" s="115" t="str">
        <f>IF(D32="","","Comisión Fideicomiso")</f>
        <v>Comisión Fideicomiso</v>
      </c>
      <c r="C32" s="796"/>
      <c r="D32" s="797">
        <f>IF(Hoja_Cambio!C48= "0.00","",Hoja_Cambio!C48)</f>
        <v>0</v>
      </c>
      <c r="E32" s="87"/>
      <c r="F32" s="797">
        <f>Hoja_Cambio!S30</f>
        <v>0</v>
      </c>
      <c r="G32" s="69"/>
      <c r="H32" s="69"/>
      <c r="I32" s="76"/>
    </row>
    <row r="33" spans="1:13" s="49" customFormat="1" ht="15" x14ac:dyDescent="0.25">
      <c r="A33" s="60"/>
      <c r="B33" s="90" t="s">
        <v>120</v>
      </c>
      <c r="C33" s="88"/>
      <c r="D33" s="143">
        <f>Hoja_Cambio!R31</f>
        <v>0</v>
      </c>
      <c r="E33" s="91"/>
      <c r="F33" s="143">
        <f>Hoja_Cambio!S31</f>
        <v>0</v>
      </c>
    </row>
    <row r="34" spans="1:13" s="49" customFormat="1" ht="17.25" customHeight="1" x14ac:dyDescent="0.25">
      <c r="A34" s="60"/>
      <c r="B34" s="93"/>
      <c r="C34" s="94"/>
      <c r="D34" s="95"/>
      <c r="E34" s="91"/>
      <c r="F34" s="96"/>
      <c r="G34" s="66"/>
      <c r="H34" s="66"/>
      <c r="I34" s="92"/>
      <c r="M34" s="114"/>
    </row>
    <row r="35" spans="1:13" s="49" customFormat="1" ht="15" x14ac:dyDescent="0.25">
      <c r="A35" s="60"/>
      <c r="B35" s="61" t="s">
        <v>452</v>
      </c>
      <c r="C35" s="97"/>
      <c r="D35" s="140">
        <f>IF(Hoja_Cambio!AW3=TRUE,((Hoja_Cambio!R31+Hoja_Cambio!AQ6)/0.35),((Hoja_Cambio!R31+Hoja_Cambio!AQ6)/0.3))</f>
        <v>0</v>
      </c>
      <c r="E35" s="96"/>
      <c r="F35" s="69"/>
      <c r="G35" s="69"/>
      <c r="H35" s="69"/>
      <c r="I35" s="76"/>
    </row>
    <row r="36" spans="1:13" s="49" customFormat="1" ht="15" x14ac:dyDescent="0.25">
      <c r="A36" s="60"/>
      <c r="B36" s="61"/>
      <c r="C36" s="97"/>
      <c r="D36" s="140"/>
      <c r="E36" s="96"/>
      <c r="F36" s="69"/>
      <c r="G36" s="69"/>
      <c r="H36" s="69"/>
      <c r="I36" s="741"/>
    </row>
    <row r="37" spans="1:13" s="49" customFormat="1" x14ac:dyDescent="0.2">
      <c r="A37" s="60"/>
      <c r="B37" s="61" t="s">
        <v>475</v>
      </c>
      <c r="C37" s="98"/>
      <c r="D37" s="141" t="str">
        <f>Hoja_Cambio!E83</f>
        <v/>
      </c>
      <c r="E37" s="58"/>
      <c r="F37" s="69"/>
      <c r="G37" s="69"/>
      <c r="H37" s="69"/>
      <c r="I37" s="76"/>
    </row>
    <row r="38" spans="1:13" s="49" customFormat="1" ht="15" x14ac:dyDescent="0.25">
      <c r="A38" s="60"/>
      <c r="B38" s="61" t="s">
        <v>108</v>
      </c>
      <c r="C38" s="99"/>
      <c r="D38" s="142" t="str">
        <f>Hoja_Cambio!C83</f>
        <v/>
      </c>
      <c r="E38" s="100"/>
      <c r="F38" s="1541" t="s">
        <v>451</v>
      </c>
      <c r="G38" s="1542"/>
      <c r="H38" s="740">
        <f>Hoja_Cambio!R48</f>
        <v>0</v>
      </c>
      <c r="I38" s="76"/>
    </row>
    <row r="39" spans="1:13" s="49" customFormat="1" x14ac:dyDescent="0.2">
      <c r="A39" s="60"/>
      <c r="B39" s="89"/>
      <c r="C39" s="101"/>
      <c r="D39" s="102"/>
      <c r="E39" s="103"/>
      <c r="F39" s="69"/>
      <c r="G39" s="69"/>
      <c r="H39" s="69"/>
      <c r="I39" s="76"/>
    </row>
    <row r="40" spans="1:13" s="49" customFormat="1" ht="15" x14ac:dyDescent="0.25">
      <c r="A40" s="60"/>
      <c r="B40" s="1543" t="s">
        <v>417</v>
      </c>
      <c r="C40" s="1544"/>
      <c r="D40" s="1544"/>
      <c r="E40" s="104"/>
      <c r="F40" s="1545" t="s">
        <v>418</v>
      </c>
      <c r="G40" s="1546"/>
      <c r="H40" s="1544"/>
      <c r="I40" s="105"/>
    </row>
    <row r="41" spans="1:13" s="49" customFormat="1" ht="12.75" customHeight="1" x14ac:dyDescent="0.2">
      <c r="A41" s="60"/>
      <c r="B41" s="1581" t="str">
        <f>Cálculos!K16</f>
        <v>Servicios especiales</v>
      </c>
      <c r="C41" s="1581"/>
      <c r="D41" s="106">
        <f>IF('1.Hoja_de_Cotización'!R7&lt;&gt;5,0,IF('1.Hoja_de_Cotización'!R7=5,0,Cálculos!L16))</f>
        <v>0</v>
      </c>
      <c r="E41" s="101"/>
      <c r="F41" s="1582" t="str">
        <f>Cálculos!N13</f>
        <v>Notaría</v>
      </c>
      <c r="G41" s="1582"/>
      <c r="H41" s="107">
        <f>IF('1.Hoja_de_Cotización'!R7&lt;&gt;5,0,IF('1.Hoja_de_Cotización'!R8=2,0,Cálculos!O13))</f>
        <v>0</v>
      </c>
      <c r="I41" s="108"/>
    </row>
    <row r="42" spans="1:13" s="49" customFormat="1" ht="13.5" customHeight="1" x14ac:dyDescent="0.2">
      <c r="A42" s="60"/>
      <c r="B42" s="1582" t="str">
        <f>Cálculos!K13</f>
        <v>Comisión de cierre</v>
      </c>
      <c r="C42" s="1582"/>
      <c r="D42" s="109">
        <f>IF('1.Hoja_de_Cotización'!R7&lt;&gt;5,0,IF('1.Hoja_de_Cotización'!R7=5,0,IF(Cálculos!A174= TRUE,0,Cálculos!L13)))</f>
        <v>0</v>
      </c>
      <c r="E42" s="61"/>
      <c r="F42" s="1582" t="str">
        <f>Cálculos!N14</f>
        <v>Registro</v>
      </c>
      <c r="G42" s="1582"/>
      <c r="H42" s="107">
        <f>IF('1.Hoja_de_Cotización'!R7&lt;&gt;5,0,IF('1.Hoja_de_Cotización'!R8= 2, 0,Cálculos!O14))</f>
        <v>0</v>
      </c>
      <c r="I42" s="108"/>
    </row>
    <row r="43" spans="1:13" s="49" customFormat="1" x14ac:dyDescent="0.2">
      <c r="A43" s="60"/>
      <c r="B43" s="1582" t="str">
        <f>Cálculos!K14</f>
        <v>Tramitación del préstamo</v>
      </c>
      <c r="C43" s="1582"/>
      <c r="D43" s="109">
        <f>IF('1.Hoja_de_Cotización'!R7&lt;&gt;5,0,IF(Hoja_Cambio!R14=1,0,Cálculos!L14))</f>
        <v>0</v>
      </c>
      <c r="E43" s="88"/>
      <c r="F43" s="1582" t="str">
        <f>Cálculos!N15</f>
        <v>Certificado ley</v>
      </c>
      <c r="G43" s="1582"/>
      <c r="H43" s="110">
        <f>IF(AND(Hoja_Cambio!R7=5,Hoja_Cambio!R2=1),Cálculos!B3,0)</f>
        <v>0</v>
      </c>
      <c r="I43" s="108"/>
    </row>
    <row r="44" spans="1:13" s="49" customFormat="1" ht="15" x14ac:dyDescent="0.25">
      <c r="A44" s="60"/>
      <c r="B44" s="1582" t="str">
        <f>Cálculos!K15</f>
        <v>Servicios legales</v>
      </c>
      <c r="C44" s="1582"/>
      <c r="D44" s="109">
        <f>IF('1.Hoja_de_Cotización'!R7&lt;&gt;5,0,IF(Hoja_Cambio!R14=1,0,Cálculos!L15))</f>
        <v>0</v>
      </c>
      <c r="E44" s="62"/>
      <c r="F44" s="1584" t="str">
        <f>IF(Hoja_Cambio!R8=2,Cálculos!N17,Cálculos!N18)</f>
        <v xml:space="preserve">Sub-total </v>
      </c>
      <c r="G44" s="1584"/>
      <c r="H44" s="111">
        <f>SUM(H41:H43)</f>
        <v>0</v>
      </c>
      <c r="I44" s="108"/>
    </row>
    <row r="45" spans="1:13" s="49" customFormat="1" ht="15" x14ac:dyDescent="0.25">
      <c r="A45" s="60"/>
      <c r="B45" s="1584" t="str">
        <f>Cálculos!K17</f>
        <v>Total de comisiones</v>
      </c>
      <c r="C45" s="1584"/>
      <c r="D45" s="112">
        <f>SUM(D41:D44)</f>
        <v>0</v>
      </c>
      <c r="E45" s="62"/>
      <c r="F45" s="1585"/>
      <c r="G45" s="1585"/>
      <c r="H45" s="110"/>
      <c r="I45" s="108"/>
    </row>
    <row r="46" spans="1:13" s="49" customFormat="1" ht="15" x14ac:dyDescent="0.25">
      <c r="A46" s="60"/>
      <c r="B46" s="1583" t="str">
        <f>Cálculos!K18</f>
        <v>ITBMS</v>
      </c>
      <c r="C46" s="1583"/>
      <c r="D46" s="113">
        <f>D45*0.07</f>
        <v>0</v>
      </c>
      <c r="E46" s="88"/>
      <c r="F46" s="49" t="s">
        <v>453</v>
      </c>
      <c r="H46" s="147">
        <f>IF('1.Hoja_de_Cotización'!R7&lt;&gt;5,0,Cálculos!O19)</f>
        <v>0</v>
      </c>
      <c r="I46" s="108"/>
    </row>
    <row r="47" spans="1:13" s="49" customFormat="1" ht="17.25" customHeight="1" x14ac:dyDescent="0.2">
      <c r="A47" s="60"/>
      <c r="B47" s="115"/>
      <c r="C47" s="115"/>
      <c r="D47" s="115"/>
      <c r="E47" s="88"/>
      <c r="H47" s="114"/>
      <c r="I47" s="108"/>
    </row>
    <row r="48" spans="1:13" s="49" customFormat="1" ht="15.75" thickBot="1" x14ac:dyDescent="0.3">
      <c r="A48" s="60"/>
      <c r="B48" s="1579" t="str">
        <f>Cálculos!K20</f>
        <v>Sub-Total comisiones más impuestos</v>
      </c>
      <c r="C48" s="1579"/>
      <c r="D48" s="112">
        <f>D45+D46</f>
        <v>0</v>
      </c>
      <c r="E48" s="88"/>
      <c r="F48" s="1580" t="str">
        <f>[7]Parametros!D30</f>
        <v>Total a Pagar por el cliente</v>
      </c>
      <c r="G48" s="1580"/>
      <c r="H48" s="116">
        <f>(D48+H44)-H46</f>
        <v>0</v>
      </c>
      <c r="I48" s="108" t="s">
        <v>553</v>
      </c>
    </row>
    <row r="49" spans="1:9" s="49" customFormat="1" ht="15.75" thickTop="1" x14ac:dyDescent="0.25">
      <c r="A49" s="60"/>
      <c r="B49" s="89"/>
      <c r="C49" s="89"/>
      <c r="D49" s="89"/>
      <c r="E49" s="117"/>
      <c r="F49" s="1553" t="str">
        <f>IF(F50="","","Otras condiciones(%)")</f>
        <v/>
      </c>
      <c r="G49" s="1553"/>
      <c r="H49" s="1553"/>
      <c r="I49" s="108"/>
    </row>
    <row r="50" spans="1:9" s="49" customFormat="1" ht="5.25" customHeight="1" x14ac:dyDescent="0.25">
      <c r="A50" s="65"/>
      <c r="B50" s="1554"/>
      <c r="C50" s="1555"/>
      <c r="D50" s="1556"/>
      <c r="E50" s="118"/>
      <c r="F50" s="1672" t="str">
        <f>IF(H50=" ","","Comisión de renovación")</f>
        <v/>
      </c>
      <c r="G50" s="1672"/>
      <c r="H50" s="815" t="str">
        <f>IF(Hoja_Cambio!R10=1,Hoja_Cambio!R66," ")</f>
        <v xml:space="preserve"> </v>
      </c>
      <c r="I50" s="120"/>
    </row>
    <row r="51" spans="1:9" s="49" customFormat="1" ht="16.5" hidden="1" customHeight="1" x14ac:dyDescent="0.2">
      <c r="A51" s="1570"/>
      <c r="B51" s="1571"/>
      <c r="C51" s="1571"/>
      <c r="D51" s="1571"/>
      <c r="E51" s="1571"/>
      <c r="F51" s="1571"/>
      <c r="G51" s="1571"/>
      <c r="H51" s="1571"/>
      <c r="I51" s="1572"/>
    </row>
    <row r="52" spans="1:9" s="49" customFormat="1" ht="15" customHeight="1" x14ac:dyDescent="0.2">
      <c r="A52" s="585" t="s">
        <v>454</v>
      </c>
      <c r="B52" s="593"/>
      <c r="C52" s="593"/>
      <c r="D52" s="593"/>
      <c r="E52" s="593"/>
      <c r="F52" s="593"/>
      <c r="G52" s="593"/>
      <c r="H52" s="593"/>
      <c r="I52" s="594"/>
    </row>
    <row r="53" spans="1:9" s="49" customFormat="1" ht="15" customHeight="1" x14ac:dyDescent="0.2">
      <c r="A53" s="1564"/>
      <c r="B53" s="1565"/>
      <c r="C53" s="1565"/>
      <c r="D53" s="1565"/>
      <c r="E53" s="1565"/>
      <c r="F53" s="1565"/>
      <c r="G53" s="1565"/>
      <c r="H53" s="1565"/>
      <c r="I53" s="1566"/>
    </row>
    <row r="54" spans="1:9" s="49" customFormat="1" ht="15" customHeight="1" x14ac:dyDescent="0.2">
      <c r="A54" s="1564"/>
      <c r="B54" s="1565"/>
      <c r="C54" s="1565"/>
      <c r="D54" s="1565"/>
      <c r="E54" s="1565"/>
      <c r="F54" s="1565"/>
      <c r="G54" s="1565"/>
      <c r="H54" s="1565"/>
      <c r="I54" s="1566"/>
    </row>
    <row r="55" spans="1:9" s="49" customFormat="1" ht="15" customHeight="1" x14ac:dyDescent="0.2">
      <c r="A55" s="1567"/>
      <c r="B55" s="1568"/>
      <c r="C55" s="1568"/>
      <c r="D55" s="1568"/>
      <c r="E55" s="1568"/>
      <c r="F55" s="1568"/>
      <c r="G55" s="1568"/>
      <c r="H55" s="1568"/>
      <c r="I55" s="1569"/>
    </row>
    <row r="56" spans="1:9" s="49" customFormat="1" ht="12" customHeight="1" x14ac:dyDescent="0.2">
      <c r="A56" s="1558" t="s">
        <v>455</v>
      </c>
      <c r="B56" s="1559"/>
      <c r="C56" s="1559"/>
      <c r="D56" s="1559"/>
      <c r="E56" s="1559"/>
      <c r="F56" s="1559"/>
      <c r="G56" s="1559"/>
      <c r="H56" s="1559"/>
      <c r="I56" s="1560"/>
    </row>
    <row r="57" spans="1:9" s="49" customFormat="1" ht="14.25" customHeight="1" x14ac:dyDescent="0.2">
      <c r="A57" s="1547"/>
      <c r="B57" s="1548"/>
      <c r="C57" s="1548"/>
      <c r="D57" s="1548"/>
      <c r="E57" s="1548"/>
      <c r="F57" s="1548"/>
      <c r="G57" s="1548"/>
      <c r="H57" s="1548"/>
      <c r="I57" s="1549"/>
    </row>
    <row r="58" spans="1:9" s="49" customFormat="1" ht="12" customHeight="1" x14ac:dyDescent="0.2">
      <c r="A58" s="1547" t="s">
        <v>456</v>
      </c>
      <c r="B58" s="1548"/>
      <c r="C58" s="1548"/>
      <c r="D58" s="1548"/>
      <c r="E58" s="1548"/>
      <c r="F58" s="1548"/>
      <c r="G58" s="1548"/>
      <c r="H58" s="1548"/>
      <c r="I58" s="1549"/>
    </row>
    <row r="59" spans="1:9" s="49" customFormat="1" ht="15.75" customHeight="1" x14ac:dyDescent="0.2">
      <c r="A59" s="1547"/>
      <c r="B59" s="1548"/>
      <c r="C59" s="1548"/>
      <c r="D59" s="1548"/>
      <c r="E59" s="1548"/>
      <c r="F59" s="1548"/>
      <c r="G59" s="1548"/>
      <c r="H59" s="1548"/>
      <c r="I59" s="1549"/>
    </row>
    <row r="60" spans="1:9" s="49" customFormat="1" ht="14.25" customHeight="1" x14ac:dyDescent="0.2">
      <c r="A60" s="1547" t="s">
        <v>457</v>
      </c>
      <c r="B60" s="1548"/>
      <c r="C60" s="1548"/>
      <c r="D60" s="1548"/>
      <c r="E60" s="1548"/>
      <c r="F60" s="1548"/>
      <c r="G60" s="1548"/>
      <c r="H60" s="1548"/>
      <c r="I60" s="1549"/>
    </row>
    <row r="61" spans="1:9" s="49" customFormat="1" ht="13.5" customHeight="1" x14ac:dyDescent="0.2">
      <c r="A61" s="1547" t="s">
        <v>458</v>
      </c>
      <c r="B61" s="1548"/>
      <c r="C61" s="1548"/>
      <c r="D61" s="1548"/>
      <c r="E61" s="1548"/>
      <c r="F61" s="1548"/>
      <c r="G61" s="1548"/>
      <c r="H61" s="1548"/>
      <c r="I61" s="1549"/>
    </row>
    <row r="62" spans="1:9" s="49" customFormat="1" ht="4.5" customHeight="1" x14ac:dyDescent="0.2">
      <c r="A62" s="1573" t="s">
        <v>459</v>
      </c>
      <c r="B62" s="1574"/>
      <c r="C62" s="1574"/>
      <c r="D62" s="1574"/>
      <c r="E62" s="1574"/>
      <c r="F62" s="1574"/>
      <c r="G62" s="1574"/>
      <c r="H62" s="1574"/>
      <c r="I62" s="1668"/>
    </row>
    <row r="63" spans="1:9" s="49" customFormat="1" ht="21.75" customHeight="1" x14ac:dyDescent="0.2">
      <c r="A63" s="1669"/>
      <c r="B63" s="1670"/>
      <c r="C63" s="1670"/>
      <c r="D63" s="1670"/>
      <c r="E63" s="1670"/>
      <c r="F63" s="1670"/>
      <c r="G63" s="1670"/>
      <c r="H63" s="1670"/>
      <c r="I63" s="1671"/>
    </row>
    <row r="64" spans="1:9" s="49" customFormat="1" ht="60" customHeight="1" x14ac:dyDescent="0.2">
      <c r="A64" s="1550" t="s">
        <v>1286</v>
      </c>
      <c r="B64" s="1551"/>
      <c r="C64" s="1551"/>
      <c r="D64" s="1551"/>
      <c r="E64" s="1551"/>
      <c r="F64" s="1551"/>
      <c r="G64" s="1551"/>
      <c r="H64" s="1551"/>
      <c r="I64" s="1552"/>
    </row>
    <row r="65" spans="1:9" s="49" customFormat="1" ht="17.25" customHeight="1" x14ac:dyDescent="0.2">
      <c r="A65" s="1593" t="s">
        <v>460</v>
      </c>
      <c r="B65" s="1594"/>
      <c r="C65" s="1595" t="str">
        <f>IF('1.Hoja_de_Cotización'!H8=0,"",'1.Hoja_de_Cotización'!H8)</f>
        <v xml:space="preserve">Yahaira De La Cruz </v>
      </c>
      <c r="D65" s="1595"/>
      <c r="E65" s="1596" t="s">
        <v>555</v>
      </c>
      <c r="F65" s="1597"/>
      <c r="G65" s="121" t="s">
        <v>461</v>
      </c>
      <c r="H65" s="1598">
        <f ca="1">TODAY()</f>
        <v>43816</v>
      </c>
      <c r="I65" s="1599"/>
    </row>
    <row r="66" spans="1:9" s="49" customFormat="1" x14ac:dyDescent="0.2">
      <c r="A66" s="1586" t="s">
        <v>462</v>
      </c>
      <c r="B66" s="1586"/>
      <c r="C66" s="1587" t="str">
        <f>IF(Hoja_Cambio!H10=0,"",Hoja_Cambio!H10)</f>
        <v>ELIJA UNA OPCIÓN</v>
      </c>
      <c r="D66" s="1588"/>
      <c r="E66" s="1588"/>
      <c r="F66" s="1589"/>
      <c r="G66" s="1590"/>
      <c r="H66" s="1591"/>
      <c r="I66" s="1592"/>
    </row>
    <row r="67" spans="1:9" s="49" customFormat="1" x14ac:dyDescent="0.2">
      <c r="A67" s="122"/>
      <c r="B67" s="122"/>
      <c r="C67" s="122"/>
      <c r="D67" s="122"/>
      <c r="E67" s="122"/>
      <c r="F67" s="122"/>
      <c r="G67" s="122"/>
      <c r="H67" s="122"/>
      <c r="I67" s="122"/>
    </row>
  </sheetData>
  <sheetProtection algorithmName="SHA-512" hashValue="mc5WfhRhkgSdFXdypd37fApl8ZUu9SdpZ/Ay5BLWm+/yyI1O0xlhHeQ3Wtchan2+3UV3lUE+bTIKzp5V2ykgPQ==" saltValue="FiypwOMkDPiTeloAn2u7MQ==" spinCount="100000" sheet="1" objects="1" scenarios="1"/>
  <mergeCells count="44">
    <mergeCell ref="A5:I5"/>
    <mergeCell ref="A1:G1"/>
    <mergeCell ref="H1:I1"/>
    <mergeCell ref="A2:I2"/>
    <mergeCell ref="A3:I3"/>
    <mergeCell ref="A4:C4"/>
    <mergeCell ref="A19:I19"/>
    <mergeCell ref="C20:D20"/>
    <mergeCell ref="B24:C24"/>
    <mergeCell ref="F38:G38"/>
    <mergeCell ref="B40:D40"/>
    <mergeCell ref="F40:H40"/>
    <mergeCell ref="B41:C41"/>
    <mergeCell ref="F41:G41"/>
    <mergeCell ref="B42:C42"/>
    <mergeCell ref="F42:G42"/>
    <mergeCell ref="B43:C43"/>
    <mergeCell ref="F43:G43"/>
    <mergeCell ref="B44:C44"/>
    <mergeCell ref="F44:G44"/>
    <mergeCell ref="B45:C45"/>
    <mergeCell ref="F45:G45"/>
    <mergeCell ref="B46:C46"/>
    <mergeCell ref="B48:C48"/>
    <mergeCell ref="F48:G48"/>
    <mergeCell ref="F49:H49"/>
    <mergeCell ref="B50:D50"/>
    <mergeCell ref="F50:G50"/>
    <mergeCell ref="A66:B66"/>
    <mergeCell ref="C66:F66"/>
    <mergeCell ref="G66:I66"/>
    <mergeCell ref="B21:C21"/>
    <mergeCell ref="A61:I61"/>
    <mergeCell ref="A62:I63"/>
    <mergeCell ref="A64:I64"/>
    <mergeCell ref="A65:B65"/>
    <mergeCell ref="C65:D65"/>
    <mergeCell ref="E65:F65"/>
    <mergeCell ref="H65:I65"/>
    <mergeCell ref="A51:I51"/>
    <mergeCell ref="A53:I55"/>
    <mergeCell ref="A56:I57"/>
    <mergeCell ref="A58:I59"/>
    <mergeCell ref="A60:I60"/>
  </mergeCells>
  <conditionalFormatting sqref="D21">
    <cfRule type="expression" dxfId="2" priority="1">
      <formula>IF($D$21&gt;0,"VERDADERO","FALSO")</formula>
    </cfRule>
  </conditionalFormatting>
  <printOptions horizontalCentered="1"/>
  <pageMargins left="0.39370078740157483" right="0.39370078740157483" top="0.98425196850393704" bottom="0.98425196850393704" header="0" footer="0"/>
  <pageSetup scale="63" orientation="portrait" r:id="rId1"/>
  <headerFooter differentFirst="1" alignWithMargins="0">
    <oddFooter>&amp;LHipo-V2.06</oddFooter>
    <firstFooter>&amp;LHipo-V5.54</first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A1:E25"/>
  <sheetViews>
    <sheetView topLeftCell="A10" zoomScale="80" zoomScaleNormal="80" workbookViewId="0">
      <selection activeCell="B13" sqref="B13"/>
    </sheetView>
  </sheetViews>
  <sheetFormatPr baseColWidth="10" defaultRowHeight="15" x14ac:dyDescent="0.25"/>
  <cols>
    <col min="1" max="1" width="14.28515625" bestFit="1" customWidth="1"/>
    <col min="2" max="2" width="82.5703125" customWidth="1"/>
    <col min="5" max="5" width="54.85546875" customWidth="1"/>
  </cols>
  <sheetData>
    <row r="1" spans="1:5" ht="29.25" customHeight="1" x14ac:dyDescent="0.25">
      <c r="A1" s="1681" t="s">
        <v>984</v>
      </c>
      <c r="B1" s="1681"/>
    </row>
    <row r="2" spans="1:5" ht="165" x14ac:dyDescent="0.25">
      <c r="A2" s="809" t="s">
        <v>798</v>
      </c>
      <c r="B2" s="806" t="s">
        <v>990</v>
      </c>
    </row>
    <row r="3" spans="1:5" ht="210" x14ac:dyDescent="0.25">
      <c r="A3" s="809" t="s">
        <v>799</v>
      </c>
      <c r="B3" s="806" t="s">
        <v>991</v>
      </c>
    </row>
    <row r="4" spans="1:5" ht="135" x14ac:dyDescent="0.25">
      <c r="A4" s="809" t="s">
        <v>938</v>
      </c>
      <c r="B4" s="806" t="s">
        <v>985</v>
      </c>
    </row>
    <row r="5" spans="1:5" ht="135" x14ac:dyDescent="0.25">
      <c r="A5" s="810" t="s">
        <v>977</v>
      </c>
      <c r="B5" s="806" t="s">
        <v>992</v>
      </c>
    </row>
    <row r="6" spans="1:5" ht="210" x14ac:dyDescent="0.25">
      <c r="A6" s="810" t="s">
        <v>983</v>
      </c>
      <c r="B6" s="806" t="s">
        <v>986</v>
      </c>
    </row>
    <row r="7" spans="1:5" ht="165" x14ac:dyDescent="0.25">
      <c r="A7" s="810" t="s">
        <v>973</v>
      </c>
      <c r="B7" s="806" t="s">
        <v>988</v>
      </c>
    </row>
    <row r="8" spans="1:5" ht="150" x14ac:dyDescent="0.25">
      <c r="A8" s="810" t="s">
        <v>976</v>
      </c>
      <c r="B8" s="806" t="s">
        <v>989</v>
      </c>
    </row>
    <row r="9" spans="1:5" ht="150" x14ac:dyDescent="0.25">
      <c r="A9" s="810" t="s">
        <v>971</v>
      </c>
      <c r="B9" s="806" t="s">
        <v>987</v>
      </c>
    </row>
    <row r="12" spans="1:5" ht="16.5" customHeight="1" x14ac:dyDescent="0.25">
      <c r="E12" s="811"/>
    </row>
    <row r="13" spans="1:5" ht="18.75" x14ac:dyDescent="0.25">
      <c r="B13" s="871" t="s">
        <v>1017</v>
      </c>
    </row>
    <row r="14" spans="1:5" ht="18.75" x14ac:dyDescent="0.25">
      <c r="B14" s="807"/>
    </row>
    <row r="15" spans="1:5" x14ac:dyDescent="0.25">
      <c r="B15" s="813" t="str">
        <f>IF(OR(ISBLANK('1.Hoja_de_Cotización'!$C$69)=TRUE,ISBLANK('1.Hoja_de_Cotización'!$C$67)=TRUE),"",IFERROR(CONCATENATE('1.Hoja_de_Cotización'!$C$69," - ",'1.Hoja_de_Cotización'!$C$67),""))</f>
        <v/>
      </c>
    </row>
    <row r="16" spans="1:5" x14ac:dyDescent="0.25">
      <c r="B16" s="814" t="str">
        <f>IFERROR(VLOOKUP('1.Hoja_de_Cotización'!$C$67,$A$2:$B$9,2,0),"")</f>
        <v/>
      </c>
    </row>
    <row r="17" spans="2:2" x14ac:dyDescent="0.25">
      <c r="B17" s="814"/>
    </row>
    <row r="18" spans="2:2" x14ac:dyDescent="0.25">
      <c r="B18" s="813" t="str">
        <f>IF(OR(ISBLANK('1.Hoja_de_Cotización'!$E$69)=TRUE,ISBLANK('1.Hoja_de_Cotización'!$E$67)=TRUE),"",IFERROR(CONCATENATE('1.Hoja_de_Cotización'!$E$69," - ",'1.Hoja_de_Cotización'!$E$67),""))</f>
        <v/>
      </c>
    </row>
    <row r="19" spans="2:2" x14ac:dyDescent="0.25">
      <c r="B19" s="814" t="str">
        <f>IFERROR(VLOOKUP('1.Hoja_de_Cotización'!$E$67,$A$2:$B$9,2,0),"")</f>
        <v/>
      </c>
    </row>
    <row r="20" spans="2:2" x14ac:dyDescent="0.25">
      <c r="B20" s="814"/>
    </row>
    <row r="21" spans="2:2" x14ac:dyDescent="0.25">
      <c r="B21" s="813" t="str">
        <f>IF(OR(ISBLANK('1.Hoja_de_Cotización'!$G$69)=TRUE,ISBLANK('1.Hoja_de_Cotización'!$G$67)=TRUE),"",IFERROR(CONCATENATE('1.Hoja_de_Cotización'!$G$69," - ",'1.Hoja_de_Cotización'!$G$67),""))</f>
        <v/>
      </c>
    </row>
    <row r="22" spans="2:2" x14ac:dyDescent="0.25">
      <c r="B22" s="814" t="str">
        <f>IFERROR(VLOOKUP('1.Hoja_de_Cotización'!$G$67,$A$2:$B$9,2,0),"")</f>
        <v/>
      </c>
    </row>
    <row r="23" spans="2:2" x14ac:dyDescent="0.25">
      <c r="B23" s="814"/>
    </row>
    <row r="24" spans="2:2" x14ac:dyDescent="0.25">
      <c r="B24" s="813" t="str">
        <f>IF(OR(ISBLANK('1.Hoja_de_Cotización'!$H$69)=TRUE,ISBLANK('1.Hoja_de_Cotización'!$H$67)=TRUE),"",IFERROR(CONCATENATE('1.Hoja_de_Cotización'!$H$69," - ",'1.Hoja_de_Cotización'!$H$67),""))</f>
        <v/>
      </c>
    </row>
    <row r="25" spans="2:2" x14ac:dyDescent="0.25">
      <c r="B25" s="814" t="str">
        <f>IFERROR(VLOOKUP('1.Hoja_de_Cotización'!$H$67,$A$2:$B$9,2,0),"")</f>
        <v/>
      </c>
    </row>
  </sheetData>
  <mergeCells count="1">
    <mergeCell ref="A1:B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AF143"/>
  <sheetViews>
    <sheetView showGridLines="0" topLeftCell="A2" workbookViewId="0">
      <selection activeCell="A89" sqref="A89"/>
    </sheetView>
  </sheetViews>
  <sheetFormatPr baseColWidth="10" defaultColWidth="11.42578125" defaultRowHeight="15" x14ac:dyDescent="0.25"/>
  <cols>
    <col min="1" max="1" width="26.140625" style="319" bestFit="1" customWidth="1"/>
    <col min="2" max="2" width="14.42578125" style="319" customWidth="1"/>
    <col min="3" max="3" width="14.28515625" style="319" bestFit="1" customWidth="1"/>
    <col min="4" max="4" width="14" style="319" bestFit="1" customWidth="1"/>
    <col min="5" max="5" width="33.28515625" style="319" bestFit="1" customWidth="1"/>
    <col min="6" max="6" width="14.28515625" style="319" customWidth="1"/>
    <col min="7" max="7" width="11.42578125" style="319"/>
    <col min="8" max="8" width="31" style="319" bestFit="1" customWidth="1"/>
    <col min="9" max="16" width="11.42578125" style="319"/>
    <col min="17" max="17" width="26.85546875" style="319" bestFit="1" customWidth="1"/>
    <col min="18" max="18" width="13.5703125" style="319" bestFit="1" customWidth="1"/>
    <col min="19" max="19" width="11.42578125" style="319"/>
    <col min="20" max="20" width="16.140625" style="319" customWidth="1"/>
    <col min="21" max="21" width="11.42578125" style="319"/>
    <col min="22" max="22" width="13.28515625" style="319" bestFit="1" customWidth="1"/>
    <col min="23" max="23" width="16.42578125" style="319" customWidth="1"/>
    <col min="24" max="30" width="11.42578125" style="319"/>
    <col min="31" max="31" width="14.42578125" style="319" bestFit="1" customWidth="1"/>
    <col min="32" max="16384" width="11.42578125" style="319"/>
  </cols>
  <sheetData>
    <row r="1" spans="1:32" x14ac:dyDescent="0.25">
      <c r="A1" s="527" t="s">
        <v>4</v>
      </c>
      <c r="B1" s="527" t="s">
        <v>5</v>
      </c>
      <c r="C1" s="527" t="s">
        <v>6</v>
      </c>
      <c r="D1" s="528" t="s">
        <v>7</v>
      </c>
      <c r="E1" s="529" t="s">
        <v>14</v>
      </c>
      <c r="F1" s="529" t="s">
        <v>15</v>
      </c>
      <c r="G1" s="1695" t="s">
        <v>55</v>
      </c>
      <c r="H1" s="1696"/>
      <c r="I1" s="1697" t="s">
        <v>73</v>
      </c>
      <c r="J1" s="1698"/>
      <c r="K1" s="1698"/>
      <c r="L1" s="530"/>
      <c r="M1" s="1682" t="s">
        <v>56</v>
      </c>
      <c r="N1" s="1682"/>
      <c r="O1" s="1699" t="s">
        <v>74</v>
      </c>
      <c r="P1" s="1700"/>
      <c r="Q1" s="1700"/>
      <c r="R1" s="1700"/>
      <c r="S1" s="1700"/>
      <c r="T1" s="1682" t="s">
        <v>76</v>
      </c>
      <c r="U1" s="1682"/>
      <c r="V1" s="531" t="s">
        <v>109</v>
      </c>
      <c r="W1" s="532" t="s">
        <v>112</v>
      </c>
      <c r="X1" s="1693" t="s">
        <v>123</v>
      </c>
      <c r="Y1" s="1694"/>
      <c r="Z1" s="1694"/>
      <c r="AA1" s="1682" t="s">
        <v>129</v>
      </c>
      <c r="AB1" s="1682"/>
      <c r="AC1" s="1682" t="s">
        <v>151</v>
      </c>
      <c r="AD1" s="1682"/>
      <c r="AE1" s="531" t="s">
        <v>152</v>
      </c>
      <c r="AF1" s="531" t="s">
        <v>51</v>
      </c>
    </row>
    <row r="2" spans="1:32" ht="22.5" x14ac:dyDescent="0.25">
      <c r="A2" s="533" t="s">
        <v>54</v>
      </c>
      <c r="B2" s="534" t="s">
        <v>8</v>
      </c>
      <c r="C2" s="535" t="s">
        <v>9</v>
      </c>
      <c r="D2" s="536" t="s">
        <v>11</v>
      </c>
      <c r="E2" s="536" t="s">
        <v>21</v>
      </c>
      <c r="F2" s="536" t="s">
        <v>22</v>
      </c>
      <c r="G2" s="1689" t="s">
        <v>10</v>
      </c>
      <c r="H2" s="1690"/>
      <c r="I2" s="537" t="s">
        <v>57</v>
      </c>
      <c r="J2" s="537" t="s">
        <v>58</v>
      </c>
      <c r="K2" s="537" t="s">
        <v>59</v>
      </c>
      <c r="L2" s="538"/>
      <c r="M2" s="1691" t="s">
        <v>7</v>
      </c>
      <c r="N2" s="1692"/>
      <c r="O2" s="537" t="s">
        <v>61</v>
      </c>
      <c r="P2" s="537" t="s">
        <v>60</v>
      </c>
      <c r="Q2" s="537" t="s">
        <v>62</v>
      </c>
      <c r="R2" s="537" t="s">
        <v>63</v>
      </c>
      <c r="S2" s="537" t="s">
        <v>13</v>
      </c>
      <c r="T2" s="1691" t="s">
        <v>75</v>
      </c>
      <c r="U2" s="1692"/>
      <c r="V2" s="539" t="s">
        <v>110</v>
      </c>
      <c r="W2" s="540" t="s">
        <v>113</v>
      </c>
      <c r="X2" s="541" t="s">
        <v>124</v>
      </c>
      <c r="Y2" s="541" t="s">
        <v>122</v>
      </c>
      <c r="Z2" s="541" t="s">
        <v>125</v>
      </c>
      <c r="AA2" s="1683" t="s">
        <v>14</v>
      </c>
      <c r="AB2" s="1684"/>
      <c r="AC2" s="1683" t="s">
        <v>150</v>
      </c>
      <c r="AD2" s="1684"/>
      <c r="AE2" s="536" t="s">
        <v>110</v>
      </c>
      <c r="AF2" s="536" t="s">
        <v>110</v>
      </c>
    </row>
    <row r="3" spans="1:32" ht="22.5" x14ac:dyDescent="0.25">
      <c r="A3" s="533" t="s">
        <v>569</v>
      </c>
      <c r="B3" s="534" t="s">
        <v>16</v>
      </c>
      <c r="C3" s="535" t="s">
        <v>17</v>
      </c>
      <c r="D3" s="536" t="s">
        <v>752</v>
      </c>
      <c r="E3" s="536" t="s">
        <v>24</v>
      </c>
      <c r="F3" s="542" t="s">
        <v>25</v>
      </c>
      <c r="G3" s="543" t="s">
        <v>9</v>
      </c>
      <c r="H3" s="544">
        <v>1</v>
      </c>
      <c r="I3" s="545" t="s">
        <v>9</v>
      </c>
      <c r="J3" s="536" t="s">
        <v>9</v>
      </c>
      <c r="K3" s="536" t="s">
        <v>17</v>
      </c>
      <c r="L3" s="543"/>
      <c r="M3" s="536" t="s">
        <v>11</v>
      </c>
      <c r="N3" s="546">
        <v>1</v>
      </c>
      <c r="O3" s="547" t="s">
        <v>19</v>
      </c>
      <c r="P3" s="534" t="s">
        <v>11</v>
      </c>
      <c r="Q3" s="534" t="s">
        <v>11</v>
      </c>
      <c r="R3" s="544" t="s">
        <v>20</v>
      </c>
      <c r="S3" s="546" t="s">
        <v>13</v>
      </c>
      <c r="T3" s="536" t="s">
        <v>22</v>
      </c>
      <c r="U3" s="536">
        <v>1</v>
      </c>
      <c r="V3" s="364" t="s">
        <v>111</v>
      </c>
      <c r="W3" s="540" t="s">
        <v>114</v>
      </c>
      <c r="X3" s="536" t="s">
        <v>21</v>
      </c>
      <c r="Y3" s="536" t="s">
        <v>21</v>
      </c>
      <c r="Z3" s="536" t="s">
        <v>24</v>
      </c>
      <c r="AA3" s="536" t="s">
        <v>21</v>
      </c>
      <c r="AB3" s="536">
        <v>1</v>
      </c>
      <c r="AC3" s="536" t="s">
        <v>110</v>
      </c>
      <c r="AD3" s="536">
        <v>1</v>
      </c>
      <c r="AE3" s="536" t="s">
        <v>111</v>
      </c>
      <c r="AF3" s="536" t="s">
        <v>111</v>
      </c>
    </row>
    <row r="4" spans="1:32" ht="22.5" x14ac:dyDescent="0.25">
      <c r="A4" s="533" t="s">
        <v>570</v>
      </c>
      <c r="B4" s="534" t="s">
        <v>1670</v>
      </c>
      <c r="C4" s="503"/>
      <c r="D4" s="536" t="s">
        <v>19</v>
      </c>
      <c r="F4" s="542" t="s">
        <v>757</v>
      </c>
      <c r="G4" s="543" t="s">
        <v>17</v>
      </c>
      <c r="H4" s="544">
        <v>2</v>
      </c>
      <c r="I4" s="545" t="s">
        <v>17</v>
      </c>
      <c r="J4" s="548"/>
      <c r="K4" s="549"/>
      <c r="L4" s="550"/>
      <c r="M4" s="536" t="s">
        <v>752</v>
      </c>
      <c r="N4" s="546">
        <v>2</v>
      </c>
      <c r="O4" s="551"/>
      <c r="P4" s="546"/>
      <c r="Q4" s="990" t="s">
        <v>752</v>
      </c>
      <c r="R4" s="544" t="s">
        <v>1012</v>
      </c>
      <c r="S4" s="546" t="s">
        <v>11</v>
      </c>
      <c r="T4" s="536" t="s">
        <v>25</v>
      </c>
      <c r="U4" s="536">
        <v>2</v>
      </c>
      <c r="W4" s="540" t="s">
        <v>115</v>
      </c>
      <c r="X4" s="536"/>
      <c r="Y4" s="536" t="s">
        <v>24</v>
      </c>
      <c r="Z4" s="536"/>
      <c r="AA4" s="536" t="s">
        <v>24</v>
      </c>
      <c r="AB4" s="536">
        <v>2</v>
      </c>
      <c r="AC4" s="536" t="s">
        <v>111</v>
      </c>
      <c r="AD4" s="536">
        <v>2</v>
      </c>
    </row>
    <row r="5" spans="1:32" ht="22.5" x14ac:dyDescent="0.25">
      <c r="A5" s="533" t="s">
        <v>571</v>
      </c>
      <c r="B5" s="534" t="s">
        <v>23</v>
      </c>
      <c r="C5" s="503"/>
      <c r="D5" s="536" t="s">
        <v>27</v>
      </c>
      <c r="E5" s="503"/>
      <c r="F5" s="503"/>
      <c r="G5" s="544" t="s">
        <v>762</v>
      </c>
      <c r="H5" s="544">
        <v>3</v>
      </c>
      <c r="I5" s="544" t="s">
        <v>762</v>
      </c>
      <c r="J5" s="552"/>
      <c r="K5" s="553"/>
      <c r="L5" s="554"/>
      <c r="M5" s="536" t="s">
        <v>19</v>
      </c>
      <c r="N5" s="546">
        <v>3</v>
      </c>
      <c r="O5" s="551"/>
      <c r="P5" s="551"/>
      <c r="Q5" s="546"/>
      <c r="R5" s="544" t="s">
        <v>1334</v>
      </c>
      <c r="S5" s="551"/>
      <c r="T5" s="555" t="s">
        <v>757</v>
      </c>
      <c r="U5" s="536">
        <v>2</v>
      </c>
      <c r="W5" s="540" t="s">
        <v>116</v>
      </c>
    </row>
    <row r="6" spans="1:32" ht="22.5" x14ac:dyDescent="0.25">
      <c r="A6" s="533" t="s">
        <v>572</v>
      </c>
      <c r="B6" s="534" t="s">
        <v>26</v>
      </c>
      <c r="C6" s="503"/>
      <c r="D6" s="536" t="s">
        <v>20</v>
      </c>
      <c r="E6" s="503"/>
      <c r="F6" s="503"/>
      <c r="G6" s="556"/>
      <c r="H6" s="556"/>
      <c r="I6" s="552"/>
      <c r="J6" s="552"/>
      <c r="K6" s="553"/>
      <c r="L6" s="554"/>
      <c r="M6" s="536"/>
      <c r="N6" s="546"/>
      <c r="O6" s="557"/>
      <c r="P6" s="557"/>
      <c r="Q6" s="557"/>
      <c r="R6" s="544" t="s">
        <v>1270</v>
      </c>
      <c r="S6" s="557"/>
      <c r="T6" s="555"/>
      <c r="U6" s="555"/>
    </row>
    <row r="7" spans="1:32" ht="56.25" x14ac:dyDescent="0.25">
      <c r="A7" s="533" t="s">
        <v>573</v>
      </c>
      <c r="B7" s="534" t="s">
        <v>753</v>
      </c>
      <c r="C7" s="503"/>
      <c r="D7" s="558" t="s">
        <v>13</v>
      </c>
      <c r="E7" s="503"/>
      <c r="F7" s="503"/>
      <c r="G7" s="556"/>
      <c r="H7" s="1714"/>
      <c r="I7" s="1714"/>
      <c r="J7" s="552"/>
      <c r="K7" s="553"/>
      <c r="L7" s="554"/>
      <c r="M7" s="536" t="s">
        <v>27</v>
      </c>
      <c r="N7" s="546">
        <v>4</v>
      </c>
      <c r="O7" s="559"/>
      <c r="P7" s="559"/>
      <c r="S7" s="559"/>
      <c r="T7" s="555"/>
      <c r="U7" s="555"/>
      <c r="W7" s="1701" t="s">
        <v>300</v>
      </c>
      <c r="X7" s="1702"/>
    </row>
    <row r="8" spans="1:32" ht="22.5" x14ac:dyDescent="0.25">
      <c r="A8" s="533" t="s">
        <v>574</v>
      </c>
      <c r="B8" s="534" t="s">
        <v>28</v>
      </c>
      <c r="C8" s="503"/>
      <c r="D8" s="503"/>
      <c r="E8" s="503"/>
      <c r="F8" s="503"/>
      <c r="G8" s="556"/>
      <c r="H8" s="556"/>
      <c r="I8" s="560"/>
      <c r="J8" s="560"/>
      <c r="K8" s="560"/>
      <c r="L8" s="560"/>
      <c r="M8" s="536" t="s">
        <v>20</v>
      </c>
      <c r="N8" s="546">
        <v>5</v>
      </c>
      <c r="O8" s="503"/>
      <c r="P8" s="503"/>
      <c r="S8" s="503"/>
      <c r="T8" s="561"/>
      <c r="U8" s="561"/>
      <c r="W8" s="540" t="s">
        <v>113</v>
      </c>
      <c r="X8" s="562">
        <v>1</v>
      </c>
    </row>
    <row r="9" spans="1:32" x14ac:dyDescent="0.25">
      <c r="A9" s="533" t="s">
        <v>575</v>
      </c>
      <c r="B9" s="534" t="s">
        <v>29</v>
      </c>
      <c r="C9" s="503"/>
      <c r="D9" s="503"/>
      <c r="E9" s="503"/>
      <c r="F9" s="503"/>
      <c r="G9" s="556"/>
      <c r="H9" s="556"/>
      <c r="I9" s="560"/>
      <c r="J9" s="503"/>
      <c r="K9" s="503"/>
      <c r="L9" s="503"/>
      <c r="M9" s="546" t="s">
        <v>13</v>
      </c>
      <c r="N9" s="546">
        <v>6</v>
      </c>
      <c r="O9" s="503"/>
      <c r="P9" s="503"/>
      <c r="Q9" s="1709" t="s">
        <v>1013</v>
      </c>
      <c r="R9" s="1710"/>
      <c r="S9" s="503"/>
      <c r="T9" s="503"/>
      <c r="U9" s="503"/>
      <c r="W9" s="540" t="s">
        <v>114</v>
      </c>
      <c r="X9" s="562">
        <v>2</v>
      </c>
    </row>
    <row r="10" spans="1:32" x14ac:dyDescent="0.25">
      <c r="A10" s="533" t="s">
        <v>576</v>
      </c>
      <c r="B10" s="534" t="s">
        <v>12</v>
      </c>
      <c r="C10" s="1685" t="s">
        <v>166</v>
      </c>
      <c r="D10" s="1686"/>
      <c r="E10" s="1685" t="s">
        <v>168</v>
      </c>
      <c r="F10" s="1686"/>
      <c r="G10" s="556"/>
      <c r="H10" s="556"/>
      <c r="I10" s="1025"/>
      <c r="J10" s="503"/>
      <c r="K10" s="503"/>
      <c r="L10" s="503"/>
      <c r="M10" s="503"/>
      <c r="N10" s="503"/>
      <c r="O10" s="503"/>
      <c r="P10" s="503"/>
      <c r="Q10" s="544" t="s">
        <v>20</v>
      </c>
      <c r="R10" s="546" t="s">
        <v>20</v>
      </c>
      <c r="S10" s="503"/>
      <c r="T10" s="503"/>
      <c r="U10" s="503"/>
      <c r="W10" s="540" t="s">
        <v>115</v>
      </c>
      <c r="X10" s="562">
        <v>3</v>
      </c>
    </row>
    <row r="11" spans="1:32" x14ac:dyDescent="0.25">
      <c r="A11" s="533" t="s">
        <v>577</v>
      </c>
      <c r="B11" s="534" t="s">
        <v>30</v>
      </c>
      <c r="C11" s="364" t="s">
        <v>167</v>
      </c>
      <c r="D11" s="563">
        <v>1</v>
      </c>
      <c r="E11" s="364" t="s">
        <v>110</v>
      </c>
      <c r="F11" s="563">
        <v>1</v>
      </c>
      <c r="G11" s="556"/>
      <c r="H11" s="556"/>
      <c r="I11" s="503"/>
      <c r="J11" s="503"/>
      <c r="K11" s="503"/>
      <c r="L11" s="503"/>
      <c r="M11" s="503"/>
      <c r="N11" s="503"/>
      <c r="O11" s="503"/>
      <c r="P11" s="503"/>
      <c r="Q11" s="544" t="s">
        <v>1012</v>
      </c>
      <c r="R11" s="546" t="s">
        <v>27</v>
      </c>
      <c r="S11" s="503"/>
      <c r="T11" s="503"/>
      <c r="U11" s="503"/>
      <c r="W11" s="540" t="s">
        <v>116</v>
      </c>
      <c r="X11" s="562">
        <v>4</v>
      </c>
    </row>
    <row r="12" spans="1:32" x14ac:dyDescent="0.25">
      <c r="A12" s="533" t="s">
        <v>578</v>
      </c>
      <c r="B12" s="534" t="s">
        <v>214</v>
      </c>
      <c r="C12" s="364" t="s">
        <v>50</v>
      </c>
      <c r="D12" s="563"/>
      <c r="E12" s="364" t="s">
        <v>111</v>
      </c>
      <c r="F12" s="563">
        <v>0</v>
      </c>
      <c r="G12" s="556"/>
      <c r="H12" s="556"/>
      <c r="I12" s="503"/>
      <c r="J12" s="503"/>
      <c r="K12" s="503"/>
      <c r="L12" s="503"/>
      <c r="M12" s="503"/>
      <c r="N12" s="503"/>
      <c r="O12" s="503"/>
      <c r="P12" s="503"/>
      <c r="Q12" s="544" t="s">
        <v>1334</v>
      </c>
      <c r="R12" s="546" t="s">
        <v>27</v>
      </c>
      <c r="S12" s="503"/>
      <c r="T12" s="503"/>
      <c r="U12" s="503"/>
    </row>
    <row r="13" spans="1:32" ht="22.5" x14ac:dyDescent="0.25">
      <c r="A13" s="533" t="s">
        <v>579</v>
      </c>
      <c r="B13" s="534" t="s">
        <v>31</v>
      </c>
      <c r="C13" s="503"/>
      <c r="D13" s="503"/>
      <c r="E13" s="503"/>
      <c r="F13" s="503"/>
      <c r="G13" s="556"/>
      <c r="H13" s="432" t="s">
        <v>489</v>
      </c>
      <c r="I13" s="432" t="s">
        <v>501</v>
      </c>
      <c r="J13" s="503"/>
      <c r="K13" s="503"/>
      <c r="L13" s="503"/>
      <c r="M13" s="503"/>
      <c r="N13" s="503"/>
      <c r="O13" s="503"/>
      <c r="P13" s="503"/>
      <c r="Q13" s="544" t="s">
        <v>1270</v>
      </c>
      <c r="R13" s="546" t="s">
        <v>11</v>
      </c>
      <c r="S13" s="503"/>
      <c r="T13" s="503"/>
      <c r="U13" s="503"/>
      <c r="W13" s="1703" t="s">
        <v>301</v>
      </c>
      <c r="X13" s="1704"/>
    </row>
    <row r="14" spans="1:32" x14ac:dyDescent="0.25">
      <c r="A14" s="533" t="s">
        <v>580</v>
      </c>
      <c r="B14" s="1687" t="s">
        <v>32</v>
      </c>
      <c r="C14" s="1688"/>
      <c r="D14" s="564" t="s">
        <v>2</v>
      </c>
      <c r="E14" s="1685" t="s">
        <v>174</v>
      </c>
      <c r="F14" s="1686"/>
      <c r="G14" s="503"/>
      <c r="H14" s="486" t="s">
        <v>502</v>
      </c>
      <c r="I14" s="422"/>
      <c r="J14" s="503"/>
      <c r="K14" s="503"/>
      <c r="L14" s="503"/>
      <c r="M14" s="503"/>
      <c r="N14" s="503"/>
      <c r="O14" s="503"/>
      <c r="P14" s="503"/>
      <c r="Q14" s="544" t="s">
        <v>13</v>
      </c>
      <c r="R14" s="546" t="s">
        <v>13</v>
      </c>
      <c r="S14" s="503"/>
      <c r="T14" s="503"/>
      <c r="U14" s="503"/>
      <c r="W14" s="540" t="s">
        <v>130</v>
      </c>
      <c r="X14" s="565">
        <v>1</v>
      </c>
    </row>
    <row r="15" spans="1:32" x14ac:dyDescent="0.25">
      <c r="A15" s="533" t="s">
        <v>581</v>
      </c>
      <c r="B15" s="566" t="s">
        <v>5</v>
      </c>
      <c r="C15" s="546"/>
      <c r="D15" s="567" t="s">
        <v>567</v>
      </c>
      <c r="E15" s="567" t="s">
        <v>567</v>
      </c>
      <c r="F15" s="567">
        <v>1</v>
      </c>
      <c r="G15" s="503"/>
      <c r="H15" s="486" t="s">
        <v>491</v>
      </c>
      <c r="I15" s="486">
        <v>1</v>
      </c>
      <c r="J15" s="503"/>
      <c r="K15" s="503"/>
      <c r="L15" s="503"/>
      <c r="M15" s="503"/>
      <c r="N15" s="503"/>
      <c r="O15" s="503"/>
      <c r="P15" s="503"/>
      <c r="Q15" s="534" t="s">
        <v>752</v>
      </c>
      <c r="R15" s="534" t="s">
        <v>752</v>
      </c>
      <c r="S15" s="503"/>
      <c r="T15" s="503"/>
      <c r="U15" s="503"/>
      <c r="W15" s="540" t="s">
        <v>131</v>
      </c>
      <c r="X15" s="565">
        <v>2</v>
      </c>
    </row>
    <row r="16" spans="1:32" ht="22.5" x14ac:dyDescent="0.25">
      <c r="A16" s="533" t="s">
        <v>582</v>
      </c>
      <c r="B16" s="534" t="s">
        <v>8</v>
      </c>
      <c r="C16" s="546">
        <v>1</v>
      </c>
      <c r="D16" s="567" t="s">
        <v>173</v>
      </c>
      <c r="E16" s="567" t="s">
        <v>173</v>
      </c>
      <c r="F16" s="567">
        <v>2</v>
      </c>
      <c r="G16" s="503"/>
      <c r="H16" s="486" t="s">
        <v>490</v>
      </c>
      <c r="I16" s="486">
        <v>2</v>
      </c>
      <c r="J16" s="503"/>
      <c r="K16" s="503"/>
      <c r="L16" s="503"/>
      <c r="M16" s="503"/>
      <c r="N16" s="503"/>
      <c r="O16" s="503"/>
      <c r="P16" s="503"/>
      <c r="Q16" s="534" t="s">
        <v>19</v>
      </c>
      <c r="R16" s="534" t="s">
        <v>19</v>
      </c>
      <c r="S16" s="503"/>
      <c r="T16" s="503"/>
      <c r="U16" s="503"/>
    </row>
    <row r="17" spans="1:21" x14ac:dyDescent="0.25">
      <c r="A17" s="533" t="s">
        <v>583</v>
      </c>
      <c r="B17" s="534" t="s">
        <v>16</v>
      </c>
      <c r="C17" s="546">
        <v>2</v>
      </c>
      <c r="D17" s="567" t="s">
        <v>1269</v>
      </c>
      <c r="E17" s="567" t="s">
        <v>1269</v>
      </c>
      <c r="F17" s="567">
        <v>3</v>
      </c>
      <c r="G17" s="503"/>
      <c r="H17" s="486" t="s">
        <v>495</v>
      </c>
      <c r="I17" s="486">
        <v>3</v>
      </c>
      <c r="J17" s="503"/>
      <c r="K17" s="503"/>
      <c r="L17" s="503"/>
      <c r="M17" s="503"/>
      <c r="N17" s="503"/>
      <c r="O17" s="503"/>
      <c r="P17" s="503"/>
      <c r="Q17" s="534" t="s">
        <v>11</v>
      </c>
      <c r="R17" s="534" t="s">
        <v>11</v>
      </c>
      <c r="S17" s="503"/>
      <c r="T17" s="503"/>
      <c r="U17" s="503"/>
    </row>
    <row r="18" spans="1:21" ht="22.5" x14ac:dyDescent="0.25">
      <c r="A18" s="533" t="s">
        <v>584</v>
      </c>
      <c r="B18" s="534" t="s">
        <v>23</v>
      </c>
      <c r="C18" s="546">
        <v>3</v>
      </c>
      <c r="D18" s="567" t="s">
        <v>932</v>
      </c>
      <c r="E18" s="567" t="s">
        <v>932</v>
      </c>
      <c r="F18" s="567">
        <v>5</v>
      </c>
      <c r="G18" s="503"/>
      <c r="H18" s="486" t="s">
        <v>496</v>
      </c>
      <c r="I18" s="486">
        <v>4</v>
      </c>
      <c r="J18" s="503"/>
      <c r="K18" s="503"/>
      <c r="L18" s="503"/>
      <c r="M18" s="503"/>
      <c r="N18" s="503"/>
      <c r="O18" s="503"/>
      <c r="P18" s="503"/>
      <c r="S18" s="503"/>
      <c r="T18" s="503"/>
      <c r="U18" s="503"/>
    </row>
    <row r="19" spans="1:21" ht="22.5" x14ac:dyDescent="0.25">
      <c r="A19" s="533" t="s">
        <v>585</v>
      </c>
      <c r="B19" s="534" t="s">
        <v>26</v>
      </c>
      <c r="C19" s="546">
        <v>4</v>
      </c>
      <c r="D19" s="567" t="s">
        <v>913</v>
      </c>
      <c r="E19" s="567" t="s">
        <v>913</v>
      </c>
      <c r="F19" s="567">
        <v>4</v>
      </c>
      <c r="G19" s="503"/>
      <c r="H19" s="486" t="s">
        <v>498</v>
      </c>
      <c r="I19" s="486">
        <v>5</v>
      </c>
      <c r="J19" s="503"/>
      <c r="K19" s="503"/>
      <c r="L19" s="503"/>
      <c r="M19" s="503"/>
      <c r="N19" s="503"/>
      <c r="O19" s="503"/>
      <c r="P19" s="503"/>
      <c r="Q19" s="853" t="s">
        <v>1015</v>
      </c>
      <c r="R19" s="853"/>
      <c r="S19" s="503"/>
      <c r="T19" s="503"/>
      <c r="U19" s="503"/>
    </row>
    <row r="20" spans="1:21" ht="56.25" x14ac:dyDescent="0.25">
      <c r="A20" s="533" t="s">
        <v>586</v>
      </c>
      <c r="B20" s="534" t="s">
        <v>753</v>
      </c>
      <c r="C20" s="546">
        <v>5</v>
      </c>
      <c r="D20" s="556"/>
      <c r="E20" s="567"/>
      <c r="F20" s="567"/>
      <c r="G20" s="503"/>
      <c r="H20" s="486" t="s">
        <v>494</v>
      </c>
      <c r="I20" s="486">
        <v>6</v>
      </c>
      <c r="J20" s="503"/>
      <c r="K20" s="503"/>
      <c r="L20" s="503"/>
      <c r="M20" s="503"/>
      <c r="N20" s="503"/>
      <c r="O20" s="503"/>
      <c r="P20" s="503"/>
      <c r="Q20" s="544" t="s">
        <v>20</v>
      </c>
      <c r="R20" s="578">
        <v>1</v>
      </c>
      <c r="S20" s="503"/>
      <c r="T20" s="503"/>
      <c r="U20" s="503"/>
    </row>
    <row r="21" spans="1:21" ht="22.5" x14ac:dyDescent="0.25">
      <c r="A21" s="533" t="s">
        <v>587</v>
      </c>
      <c r="B21" s="534" t="s">
        <v>28</v>
      </c>
      <c r="C21" s="558">
        <v>6</v>
      </c>
      <c r="D21" s="568" t="s">
        <v>217</v>
      </c>
      <c r="E21" s="569"/>
      <c r="F21" s="556"/>
      <c r="G21" s="503"/>
      <c r="H21" s="486" t="s">
        <v>37</v>
      </c>
      <c r="I21" s="486">
        <v>7</v>
      </c>
      <c r="J21" s="503"/>
      <c r="K21" s="503"/>
      <c r="L21" s="503"/>
      <c r="M21" s="503"/>
      <c r="N21" s="503"/>
      <c r="O21" s="503"/>
      <c r="P21" s="503"/>
      <c r="Q21" s="544" t="s">
        <v>1012</v>
      </c>
      <c r="R21" s="578">
        <v>2</v>
      </c>
      <c r="S21" s="503"/>
      <c r="T21" s="503"/>
      <c r="U21" s="503"/>
    </row>
    <row r="22" spans="1:21" x14ac:dyDescent="0.25">
      <c r="A22" s="533" t="s">
        <v>588</v>
      </c>
      <c r="B22" s="534" t="s">
        <v>29</v>
      </c>
      <c r="C22" s="558">
        <v>7</v>
      </c>
      <c r="D22" s="570" t="s">
        <v>111</v>
      </c>
      <c r="E22" s="571">
        <v>1</v>
      </c>
      <c r="F22" s="556"/>
      <c r="G22" s="503"/>
      <c r="H22" s="486" t="s">
        <v>492</v>
      </c>
      <c r="I22" s="486">
        <v>8</v>
      </c>
      <c r="J22" s="503"/>
      <c r="K22" s="503"/>
      <c r="L22" s="503"/>
      <c r="M22" s="503"/>
      <c r="N22" s="503"/>
      <c r="O22" s="503"/>
      <c r="P22" s="503"/>
      <c r="Q22" s="544" t="s">
        <v>1334</v>
      </c>
      <c r="R22" s="578">
        <v>3</v>
      </c>
      <c r="S22" s="503"/>
      <c r="T22" s="503"/>
      <c r="U22" s="503"/>
    </row>
    <row r="23" spans="1:21" x14ac:dyDescent="0.25">
      <c r="A23" s="533" t="s">
        <v>589</v>
      </c>
      <c r="B23" s="534" t="s">
        <v>12</v>
      </c>
      <c r="C23" s="558">
        <v>8</v>
      </c>
      <c r="D23" s="570" t="s">
        <v>110</v>
      </c>
      <c r="E23" s="571">
        <v>2</v>
      </c>
      <c r="F23" s="559"/>
      <c r="G23" s="503"/>
      <c r="H23" s="486" t="s">
        <v>493</v>
      </c>
      <c r="I23" s="486">
        <v>9</v>
      </c>
      <c r="J23" s="503"/>
      <c r="K23" s="503"/>
      <c r="L23" s="503"/>
      <c r="M23" s="503"/>
      <c r="N23" s="503"/>
      <c r="O23" s="503"/>
      <c r="P23" s="503"/>
      <c r="Q23" s="544" t="s">
        <v>1270</v>
      </c>
      <c r="R23" s="578">
        <v>4</v>
      </c>
      <c r="S23" s="503"/>
      <c r="T23" s="503"/>
      <c r="U23" s="503"/>
    </row>
    <row r="24" spans="1:21" x14ac:dyDescent="0.25">
      <c r="A24" s="533" t="s">
        <v>590</v>
      </c>
      <c r="B24" s="534" t="s">
        <v>30</v>
      </c>
      <c r="C24" s="558">
        <v>9</v>
      </c>
      <c r="D24" s="559"/>
      <c r="E24" s="559"/>
      <c r="F24" s="559"/>
      <c r="G24" s="503"/>
      <c r="H24" s="486" t="s">
        <v>40</v>
      </c>
      <c r="I24" s="486">
        <v>10</v>
      </c>
      <c r="J24" s="503"/>
      <c r="K24" s="503"/>
      <c r="L24" s="503"/>
      <c r="M24" s="503"/>
      <c r="N24" s="503"/>
      <c r="O24" s="503"/>
      <c r="P24" s="503"/>
      <c r="Q24" s="544" t="s">
        <v>13</v>
      </c>
      <c r="R24" s="578">
        <v>5</v>
      </c>
      <c r="S24" s="503"/>
      <c r="T24" s="503"/>
      <c r="U24" s="503"/>
    </row>
    <row r="25" spans="1:21" x14ac:dyDescent="0.25">
      <c r="A25" s="533" t="s">
        <v>591</v>
      </c>
      <c r="B25" s="534" t="s">
        <v>214</v>
      </c>
      <c r="C25" s="558">
        <v>10</v>
      </c>
      <c r="D25" s="559"/>
      <c r="E25" s="559"/>
      <c r="F25" s="559"/>
      <c r="G25" s="503"/>
      <c r="H25" s="486" t="s">
        <v>500</v>
      </c>
      <c r="I25" s="486">
        <v>11</v>
      </c>
      <c r="J25" s="503"/>
      <c r="K25" s="503"/>
      <c r="L25" s="503"/>
      <c r="M25" s="503"/>
      <c r="N25" s="503"/>
      <c r="O25" s="503"/>
      <c r="P25" s="503"/>
      <c r="Q25" s="534" t="s">
        <v>752</v>
      </c>
      <c r="R25" s="578">
        <v>6</v>
      </c>
      <c r="S25" s="503"/>
      <c r="T25" s="503"/>
      <c r="U25" s="503"/>
    </row>
    <row r="26" spans="1:21" ht="22.5" x14ac:dyDescent="0.25">
      <c r="A26" s="533" t="s">
        <v>592</v>
      </c>
      <c r="B26" s="534" t="s">
        <v>31</v>
      </c>
      <c r="C26" s="558">
        <v>11</v>
      </c>
      <c r="D26" s="568" t="s">
        <v>109</v>
      </c>
      <c r="E26" s="569"/>
      <c r="F26" s="559"/>
      <c r="G26" s="503"/>
      <c r="H26" s="486" t="s">
        <v>497</v>
      </c>
      <c r="I26" s="486">
        <v>12</v>
      </c>
      <c r="J26" s="503"/>
      <c r="K26" s="503"/>
      <c r="L26" s="503"/>
      <c r="M26" s="503"/>
      <c r="N26" s="503"/>
      <c r="O26" s="503"/>
      <c r="P26" s="503"/>
      <c r="Q26" s="534" t="s">
        <v>19</v>
      </c>
      <c r="R26" s="578">
        <v>7</v>
      </c>
      <c r="S26" s="503"/>
      <c r="T26" s="503"/>
      <c r="U26" s="503"/>
    </row>
    <row r="27" spans="1:21" ht="22.5" x14ac:dyDescent="0.25">
      <c r="A27" s="533" t="s">
        <v>593</v>
      </c>
      <c r="B27" s="534" t="s">
        <v>1365</v>
      </c>
      <c r="C27" s="558">
        <v>12</v>
      </c>
      <c r="D27" s="540" t="s">
        <v>110</v>
      </c>
      <c r="E27" s="571">
        <v>1</v>
      </c>
      <c r="F27" s="559"/>
      <c r="G27" s="503"/>
      <c r="H27" s="486" t="s">
        <v>499</v>
      </c>
      <c r="I27" s="486">
        <v>13</v>
      </c>
      <c r="J27" s="503"/>
      <c r="K27" s="503"/>
      <c r="L27" s="503"/>
      <c r="M27" s="503"/>
      <c r="N27" s="503"/>
      <c r="O27" s="503"/>
      <c r="P27" s="503"/>
      <c r="Q27" s="503"/>
      <c r="R27" s="503"/>
      <c r="S27" s="503"/>
      <c r="T27" s="503"/>
      <c r="U27" s="503"/>
    </row>
    <row r="28" spans="1:21" x14ac:dyDescent="0.25">
      <c r="A28" s="533" t="s">
        <v>594</v>
      </c>
      <c r="B28" s="503"/>
      <c r="C28" s="503"/>
      <c r="D28" s="540" t="s">
        <v>111</v>
      </c>
      <c r="E28" s="571">
        <v>2</v>
      </c>
      <c r="F28" s="559"/>
      <c r="G28" s="503"/>
      <c r="H28" s="503"/>
      <c r="I28" s="503"/>
      <c r="J28" s="503"/>
      <c r="K28" s="503"/>
      <c r="L28" s="503"/>
      <c r="M28" s="503"/>
      <c r="N28" s="503"/>
      <c r="O28" s="503"/>
      <c r="P28" s="503"/>
      <c r="Q28" s="503"/>
      <c r="R28" s="503"/>
      <c r="S28" s="503"/>
      <c r="T28" s="503"/>
      <c r="U28" s="503"/>
    </row>
    <row r="29" spans="1:21" x14ac:dyDescent="0.25">
      <c r="A29" s="533" t="s">
        <v>759</v>
      </c>
      <c r="B29" s="572" t="s">
        <v>188</v>
      </c>
      <c r="C29" s="1713" t="s">
        <v>193</v>
      </c>
      <c r="D29" s="1706"/>
      <c r="F29" s="503"/>
      <c r="G29" s="503"/>
      <c r="H29" s="503"/>
      <c r="I29" s="503"/>
      <c r="J29" s="503"/>
      <c r="K29" s="503"/>
      <c r="L29" s="503"/>
      <c r="M29" s="503"/>
      <c r="N29" s="503"/>
      <c r="O29" s="503"/>
      <c r="P29" s="503"/>
      <c r="Q29" s="503"/>
      <c r="R29" s="503"/>
      <c r="S29" s="503"/>
      <c r="T29" s="503"/>
      <c r="U29" s="503"/>
    </row>
    <row r="30" spans="1:21" x14ac:dyDescent="0.25">
      <c r="A30" s="533" t="s">
        <v>595</v>
      </c>
      <c r="B30" s="540" t="s">
        <v>189</v>
      </c>
      <c r="C30" s="540" t="s">
        <v>189</v>
      </c>
      <c r="D30" s="565">
        <v>1</v>
      </c>
      <c r="F30" s="503"/>
      <c r="G30" s="503"/>
      <c r="H30" s="503" t="s">
        <v>178</v>
      </c>
      <c r="I30" s="503"/>
      <c r="J30" s="563" t="s">
        <v>568</v>
      </c>
      <c r="K30" s="503"/>
      <c r="L30" s="503"/>
      <c r="M30" s="503"/>
      <c r="N30" s="503"/>
      <c r="O30" s="503"/>
      <c r="P30" s="503"/>
      <c r="Q30" s="503"/>
      <c r="R30" s="503"/>
      <c r="S30" s="503"/>
      <c r="T30" s="503"/>
      <c r="U30" s="503"/>
    </row>
    <row r="31" spans="1:21" ht="22.5" x14ac:dyDescent="0.25">
      <c r="A31" s="533" t="s">
        <v>596</v>
      </c>
      <c r="B31" s="540" t="s">
        <v>190</v>
      </c>
      <c r="C31" s="540" t="s">
        <v>190</v>
      </c>
      <c r="D31" s="565">
        <v>2</v>
      </c>
      <c r="F31" s="503"/>
      <c r="G31" s="503"/>
      <c r="H31" s="563" t="s">
        <v>515</v>
      </c>
      <c r="I31" s="563">
        <v>1</v>
      </c>
      <c r="J31" s="573" t="s">
        <v>110</v>
      </c>
      <c r="K31" s="503"/>
      <c r="L31" s="503"/>
      <c r="M31" s="503"/>
      <c r="N31" s="503"/>
      <c r="O31" s="503"/>
      <c r="P31" s="503"/>
      <c r="Q31" s="503"/>
      <c r="R31" s="503"/>
      <c r="S31" s="503"/>
      <c r="T31" s="503"/>
      <c r="U31" s="503"/>
    </row>
    <row r="32" spans="1:21" ht="22.5" x14ac:dyDescent="0.25">
      <c r="A32" s="533" t="s">
        <v>597</v>
      </c>
      <c r="B32" s="540" t="s">
        <v>191</v>
      </c>
      <c r="C32" s="540" t="s">
        <v>191</v>
      </c>
      <c r="D32" s="565">
        <v>3</v>
      </c>
      <c r="F32" s="503"/>
      <c r="G32" s="503"/>
      <c r="H32" s="563" t="s">
        <v>178</v>
      </c>
      <c r="I32" s="563">
        <v>2</v>
      </c>
      <c r="J32" s="573" t="s">
        <v>111</v>
      </c>
      <c r="K32" s="503"/>
      <c r="L32" s="503"/>
      <c r="M32" s="503"/>
      <c r="N32" s="503"/>
      <c r="O32" s="503"/>
      <c r="P32" s="503"/>
      <c r="Q32" s="503"/>
      <c r="R32" s="503"/>
      <c r="S32" s="503"/>
      <c r="T32" s="503"/>
      <c r="U32" s="503"/>
    </row>
    <row r="33" spans="1:21" ht="22.5" x14ac:dyDescent="0.25">
      <c r="A33" s="533" t="s">
        <v>598</v>
      </c>
      <c r="B33" s="540" t="s">
        <v>88</v>
      </c>
      <c r="C33" s="540" t="s">
        <v>192</v>
      </c>
      <c r="D33" s="565">
        <v>4</v>
      </c>
      <c r="F33" s="503"/>
      <c r="G33" s="503"/>
      <c r="H33" s="563" t="s">
        <v>688</v>
      </c>
      <c r="I33" s="563">
        <v>3</v>
      </c>
      <c r="J33" s="503"/>
      <c r="K33" s="503"/>
      <c r="L33" s="503"/>
      <c r="M33" s="503"/>
      <c r="N33" s="503"/>
      <c r="O33" s="503"/>
      <c r="P33" s="503"/>
      <c r="Q33" s="503"/>
      <c r="R33" s="503"/>
      <c r="S33" s="503"/>
      <c r="T33" s="503"/>
      <c r="U33" s="503"/>
    </row>
    <row r="34" spans="1:21" x14ac:dyDescent="0.25">
      <c r="A34" s="533" t="s">
        <v>599</v>
      </c>
      <c r="C34" s="540" t="s">
        <v>88</v>
      </c>
      <c r="D34" s="565">
        <v>5</v>
      </c>
      <c r="F34" s="503"/>
      <c r="G34" s="503"/>
      <c r="H34" s="503"/>
      <c r="I34" s="503"/>
      <c r="J34" s="503"/>
      <c r="K34" s="503"/>
      <c r="L34" s="503"/>
      <c r="M34" s="503"/>
      <c r="N34" s="503"/>
      <c r="O34" s="503"/>
      <c r="P34" s="503"/>
      <c r="Q34" s="503"/>
      <c r="R34" s="503"/>
      <c r="S34" s="503"/>
      <c r="T34" s="503"/>
      <c r="U34" s="503"/>
    </row>
    <row r="35" spans="1:21" x14ac:dyDescent="0.25">
      <c r="A35" s="533" t="s">
        <v>600</v>
      </c>
      <c r="B35" s="503"/>
      <c r="C35" s="503"/>
      <c r="D35" s="503"/>
      <c r="E35" s="503"/>
      <c r="F35" s="503"/>
      <c r="G35" s="503"/>
      <c r="H35" s="503"/>
      <c r="I35" s="503"/>
      <c r="J35" s="503"/>
      <c r="K35" s="503"/>
      <c r="L35" s="503"/>
      <c r="M35" s="503"/>
      <c r="N35" s="503"/>
      <c r="O35" s="503"/>
      <c r="P35" s="503"/>
      <c r="Q35" s="503"/>
      <c r="R35" s="503"/>
      <c r="S35" s="503"/>
      <c r="T35" s="503"/>
      <c r="U35" s="503"/>
    </row>
    <row r="36" spans="1:21" x14ac:dyDescent="0.25">
      <c r="A36" s="533" t="s">
        <v>803</v>
      </c>
      <c r="B36" s="503"/>
      <c r="C36" s="503"/>
      <c r="D36" s="503"/>
      <c r="E36" s="503"/>
      <c r="F36" s="503"/>
      <c r="G36" s="503"/>
      <c r="H36" s="503"/>
      <c r="I36" s="503"/>
      <c r="J36" s="503"/>
      <c r="K36" s="503"/>
      <c r="L36" s="503"/>
      <c r="M36" s="503"/>
      <c r="N36" s="503"/>
      <c r="O36" s="503"/>
      <c r="P36" s="503"/>
      <c r="Q36" s="503"/>
      <c r="R36" s="503"/>
      <c r="S36" s="503"/>
      <c r="T36" s="503"/>
      <c r="U36" s="503"/>
    </row>
    <row r="37" spans="1:21" x14ac:dyDescent="0.25">
      <c r="A37" s="533" t="s">
        <v>601</v>
      </c>
      <c r="B37" s="568" t="s">
        <v>194</v>
      </c>
      <c r="C37" s="568" t="s">
        <v>89</v>
      </c>
      <c r="D37" s="568" t="s">
        <v>1027</v>
      </c>
      <c r="E37" s="574" t="s">
        <v>676</v>
      </c>
      <c r="F37" s="574"/>
      <c r="G37" s="503"/>
      <c r="H37" s="574" t="s">
        <v>760</v>
      </c>
      <c r="I37" s="503"/>
      <c r="J37" s="503"/>
      <c r="K37" s="503"/>
      <c r="L37" s="503"/>
      <c r="M37" s="503"/>
      <c r="N37" s="503"/>
      <c r="O37" s="503"/>
      <c r="P37" s="503"/>
      <c r="Q37" s="503"/>
      <c r="R37" s="503"/>
      <c r="S37" s="503"/>
      <c r="T37" s="503"/>
      <c r="U37" s="503"/>
    </row>
    <row r="38" spans="1:21" ht="33.75" x14ac:dyDescent="0.25">
      <c r="A38" s="533" t="s">
        <v>602</v>
      </c>
      <c r="B38" s="575" t="s">
        <v>195</v>
      </c>
      <c r="C38" s="536" t="s">
        <v>110</v>
      </c>
      <c r="D38" s="536" t="s">
        <v>1019</v>
      </c>
      <c r="E38" s="563" t="s">
        <v>110</v>
      </c>
      <c r="F38" s="563">
        <v>1</v>
      </c>
      <c r="G38" s="503"/>
      <c r="H38" s="576" t="str">
        <f>IF('1.Hoja_de_Cotización'!C69="","",'1.Hoja_de_Cotización'!C69)</f>
        <v/>
      </c>
      <c r="I38" s="503"/>
      <c r="J38" s="503"/>
      <c r="K38" s="503"/>
      <c r="L38" s="503"/>
      <c r="M38" s="503"/>
      <c r="N38" s="503"/>
      <c r="O38" s="503"/>
      <c r="P38" s="503"/>
      <c r="Q38" s="503"/>
      <c r="R38" s="503"/>
      <c r="S38" s="503"/>
      <c r="T38" s="503"/>
      <c r="U38" s="503"/>
    </row>
    <row r="39" spans="1:21" ht="22.5" x14ac:dyDescent="0.25">
      <c r="A39" s="533" t="s">
        <v>603</v>
      </c>
      <c r="B39" s="575" t="s">
        <v>196</v>
      </c>
      <c r="C39" s="536" t="s">
        <v>111</v>
      </c>
      <c r="D39" s="536" t="s">
        <v>1020</v>
      </c>
      <c r="E39" s="563" t="s">
        <v>111</v>
      </c>
      <c r="F39" s="563">
        <v>2</v>
      </c>
      <c r="G39" s="503"/>
      <c r="H39" s="576" t="str">
        <f>IF('1.Hoja_de_Cotización'!E69="","",'1.Hoja_de_Cotización'!E69)</f>
        <v/>
      </c>
      <c r="I39" s="503"/>
      <c r="J39" s="503"/>
      <c r="K39" s="503"/>
      <c r="L39" s="503"/>
      <c r="M39" s="503"/>
      <c r="N39" s="503"/>
      <c r="O39" s="503"/>
      <c r="P39" s="503"/>
      <c r="Q39" s="503"/>
      <c r="R39" s="503"/>
      <c r="S39" s="503"/>
      <c r="T39" s="503"/>
      <c r="U39" s="503"/>
    </row>
    <row r="40" spans="1:21" x14ac:dyDescent="0.25">
      <c r="A40" s="533" t="s">
        <v>604</v>
      </c>
      <c r="B40" s="540" t="s">
        <v>197</v>
      </c>
      <c r="C40" s="503"/>
      <c r="D40" s="503"/>
      <c r="E40" s="503"/>
      <c r="F40" s="503"/>
      <c r="G40" s="503"/>
      <c r="H40" s="577" t="str">
        <f>IF('1.Hoja_de_Cotización'!G69="","",'1.Hoja_de_Cotización'!G69)</f>
        <v>DSJT Soluciones E.</v>
      </c>
      <c r="I40" s="503"/>
      <c r="J40" s="503"/>
      <c r="K40" s="503"/>
      <c r="L40" s="503"/>
      <c r="M40" s="503"/>
      <c r="N40" s="503"/>
      <c r="O40" s="503"/>
      <c r="P40" s="503"/>
      <c r="Q40" s="503"/>
      <c r="R40" s="503"/>
      <c r="S40" s="503"/>
      <c r="T40" s="503"/>
      <c r="U40" s="503"/>
    </row>
    <row r="41" spans="1:21" x14ac:dyDescent="0.25">
      <c r="A41" s="533" t="s">
        <v>605</v>
      </c>
      <c r="B41" s="503"/>
      <c r="C41" s="503"/>
      <c r="D41" s="503"/>
      <c r="E41" s="503"/>
      <c r="F41" s="503"/>
      <c r="G41" s="503"/>
      <c r="H41" s="576" t="str">
        <f>IF('1.Hoja_de_Cotización'!H69="","",'1.Hoja_de_Cotización'!H69)</f>
        <v/>
      </c>
      <c r="I41" s="503"/>
      <c r="J41" s="503"/>
      <c r="K41" s="503"/>
      <c r="L41" s="503"/>
      <c r="M41" s="503"/>
      <c r="N41" s="503"/>
      <c r="O41" s="503"/>
      <c r="P41" s="503"/>
      <c r="Q41" s="503"/>
      <c r="R41" s="503"/>
      <c r="S41" s="503"/>
      <c r="T41" s="503"/>
      <c r="U41" s="503"/>
    </row>
    <row r="42" spans="1:21" x14ac:dyDescent="0.25">
      <c r="A42" s="533" t="s">
        <v>606</v>
      </c>
      <c r="B42" s="1705" t="s">
        <v>517</v>
      </c>
      <c r="C42" s="1706"/>
      <c r="E42" s="568" t="s">
        <v>560</v>
      </c>
      <c r="F42" s="503"/>
      <c r="G42" s="503"/>
      <c r="H42" s="578" t="s">
        <v>761</v>
      </c>
      <c r="I42" s="503"/>
      <c r="J42" s="503"/>
      <c r="K42" s="503"/>
      <c r="L42" s="503"/>
      <c r="M42" s="503"/>
      <c r="N42" s="503"/>
      <c r="O42" s="503"/>
      <c r="P42" s="503"/>
      <c r="Q42" s="503"/>
      <c r="R42" s="503"/>
      <c r="S42" s="503"/>
      <c r="T42" s="503"/>
      <c r="U42" s="503"/>
    </row>
    <row r="43" spans="1:21" ht="22.5" x14ac:dyDescent="0.25">
      <c r="A43" s="533" t="s">
        <v>607</v>
      </c>
      <c r="B43" s="540" t="s">
        <v>518</v>
      </c>
      <c r="C43" s="579">
        <v>1</v>
      </c>
      <c r="E43" s="580" t="s">
        <v>561</v>
      </c>
      <c r="F43" s="503"/>
      <c r="G43" s="503"/>
      <c r="H43" s="503"/>
      <c r="I43" s="503"/>
      <c r="J43" s="503"/>
      <c r="K43" s="503"/>
      <c r="L43" s="503"/>
      <c r="M43" s="503"/>
      <c r="N43" s="503"/>
      <c r="O43" s="503"/>
      <c r="P43" s="503"/>
      <c r="Q43" s="503"/>
      <c r="R43" s="503"/>
      <c r="S43" s="503"/>
      <c r="T43" s="503"/>
      <c r="U43" s="503"/>
    </row>
    <row r="44" spans="1:21" x14ac:dyDescent="0.25">
      <c r="A44" s="533" t="s">
        <v>608</v>
      </c>
      <c r="B44" s="581" t="s">
        <v>519</v>
      </c>
      <c r="C44" s="579">
        <v>2</v>
      </c>
      <c r="E44" s="580" t="s">
        <v>562</v>
      </c>
      <c r="F44" s="503"/>
      <c r="G44" s="503"/>
      <c r="H44" s="503"/>
      <c r="I44" s="503"/>
      <c r="J44" s="503"/>
      <c r="K44" s="503"/>
      <c r="L44" s="503"/>
      <c r="M44" s="503"/>
      <c r="N44" s="503"/>
      <c r="O44" s="503"/>
      <c r="P44" s="503"/>
      <c r="Q44" s="503"/>
      <c r="R44" s="503"/>
      <c r="S44" s="503"/>
      <c r="T44" s="503"/>
      <c r="U44" s="503"/>
    </row>
    <row r="45" spans="1:21" x14ac:dyDescent="0.25">
      <c r="A45" s="533" t="s">
        <v>609</v>
      </c>
      <c r="B45" s="540" t="s">
        <v>520</v>
      </c>
      <c r="C45" s="579">
        <v>3</v>
      </c>
      <c r="E45" s="580" t="s">
        <v>563</v>
      </c>
      <c r="F45" s="503"/>
      <c r="G45" s="503"/>
      <c r="H45" s="503"/>
      <c r="I45" s="503"/>
      <c r="J45" s="503"/>
      <c r="K45" s="503"/>
      <c r="L45" s="503"/>
      <c r="M45" s="503"/>
      <c r="N45" s="503"/>
      <c r="O45" s="503"/>
      <c r="P45" s="503"/>
      <c r="Q45" s="503"/>
      <c r="R45" s="503"/>
      <c r="S45" s="503"/>
      <c r="T45" s="503"/>
      <c r="U45" s="503"/>
    </row>
    <row r="46" spans="1:21" x14ac:dyDescent="0.25">
      <c r="A46" s="533" t="s">
        <v>610</v>
      </c>
      <c r="B46" s="540" t="s">
        <v>521</v>
      </c>
      <c r="C46" s="579">
        <v>4</v>
      </c>
      <c r="E46" s="580" t="s">
        <v>564</v>
      </c>
      <c r="F46" s="503"/>
      <c r="G46" s="503"/>
      <c r="H46" s="503"/>
      <c r="I46" s="503"/>
      <c r="J46" s="503"/>
      <c r="K46" s="503"/>
      <c r="L46" s="503"/>
      <c r="M46" s="503"/>
      <c r="N46" s="503"/>
      <c r="O46" s="503"/>
      <c r="P46" s="503"/>
      <c r="Q46" s="503"/>
      <c r="R46" s="503"/>
      <c r="S46" s="503"/>
      <c r="T46" s="503"/>
      <c r="U46" s="503"/>
    </row>
    <row r="47" spans="1:21" ht="22.5" x14ac:dyDescent="0.25">
      <c r="A47" s="533" t="s">
        <v>611</v>
      </c>
      <c r="B47" s="540" t="s">
        <v>522</v>
      </c>
      <c r="C47" s="579">
        <v>5</v>
      </c>
      <c r="D47" s="503"/>
      <c r="E47" s="503"/>
      <c r="F47" s="503"/>
      <c r="G47" s="503"/>
      <c r="H47" s="574" t="s">
        <v>917</v>
      </c>
      <c r="I47" s="574"/>
      <c r="J47" s="503"/>
      <c r="K47" s="503"/>
      <c r="L47" s="503"/>
      <c r="M47" s="503"/>
      <c r="N47" s="503"/>
      <c r="O47" s="503"/>
      <c r="P47" s="503"/>
      <c r="Q47" s="503"/>
      <c r="R47" s="503"/>
      <c r="S47" s="503"/>
      <c r="T47" s="503"/>
      <c r="U47" s="503"/>
    </row>
    <row r="48" spans="1:21" x14ac:dyDescent="0.25">
      <c r="A48" s="533" t="s">
        <v>612</v>
      </c>
      <c r="B48" s="540" t="s">
        <v>523</v>
      </c>
      <c r="C48" s="579">
        <v>6</v>
      </c>
      <c r="E48" s="566" t="s">
        <v>692</v>
      </c>
      <c r="F48" s="546"/>
      <c r="G48" s="503"/>
      <c r="H48" s="563" t="s">
        <v>110</v>
      </c>
      <c r="I48" s="563">
        <v>1</v>
      </c>
      <c r="J48" s="503"/>
      <c r="K48" s="503"/>
      <c r="L48" s="503"/>
      <c r="M48" s="503"/>
      <c r="N48" s="503"/>
      <c r="O48" s="503"/>
      <c r="P48" s="503"/>
      <c r="Q48" s="503"/>
      <c r="R48" s="503"/>
      <c r="S48" s="503"/>
      <c r="T48" s="503"/>
      <c r="U48" s="503"/>
    </row>
    <row r="49" spans="1:21" x14ac:dyDescent="0.25">
      <c r="A49" s="533" t="s">
        <v>613</v>
      </c>
      <c r="B49" s="540" t="s">
        <v>524</v>
      </c>
      <c r="C49" s="579">
        <v>7</v>
      </c>
      <c r="E49" s="534" t="s">
        <v>8</v>
      </c>
      <c r="F49" s="546">
        <v>1</v>
      </c>
      <c r="G49" s="503"/>
      <c r="H49" s="563" t="s">
        <v>111</v>
      </c>
      <c r="I49" s="563">
        <v>2</v>
      </c>
      <c r="J49" s="503"/>
      <c r="K49" s="503"/>
      <c r="L49" s="503"/>
      <c r="M49" s="503"/>
      <c r="N49" s="503"/>
      <c r="O49" s="503"/>
      <c r="P49" s="503"/>
      <c r="Q49" s="503"/>
      <c r="R49" s="503"/>
      <c r="S49" s="503"/>
      <c r="T49" s="503"/>
      <c r="U49" s="503"/>
    </row>
    <row r="50" spans="1:21" x14ac:dyDescent="0.25">
      <c r="A50" s="533" t="s">
        <v>614</v>
      </c>
      <c r="B50" s="540" t="s">
        <v>525</v>
      </c>
      <c r="C50" s="579">
        <v>8</v>
      </c>
      <c r="E50" s="534" t="s">
        <v>16</v>
      </c>
      <c r="F50" s="546">
        <v>2</v>
      </c>
      <c r="G50" s="503"/>
      <c r="H50" s="503"/>
      <c r="I50" s="503"/>
      <c r="J50" s="503"/>
      <c r="K50" s="503"/>
      <c r="L50" s="503"/>
      <c r="M50" s="503"/>
      <c r="N50" s="503"/>
      <c r="O50" s="503"/>
      <c r="P50" s="503"/>
      <c r="Q50" s="503"/>
      <c r="R50" s="503"/>
      <c r="S50" s="503"/>
      <c r="T50" s="503"/>
      <c r="U50" s="503"/>
    </row>
    <row r="51" spans="1:21" x14ac:dyDescent="0.25">
      <c r="A51" s="533" t="s">
        <v>615</v>
      </c>
      <c r="B51" s="540" t="s">
        <v>526</v>
      </c>
      <c r="C51" s="579">
        <v>9</v>
      </c>
      <c r="E51" s="534" t="s">
        <v>23</v>
      </c>
      <c r="F51" s="546">
        <v>3</v>
      </c>
      <c r="G51" s="503"/>
      <c r="H51" s="503"/>
      <c r="I51" s="503"/>
      <c r="J51" s="503"/>
      <c r="K51" s="503"/>
      <c r="L51" s="503"/>
      <c r="M51" s="503"/>
      <c r="N51" s="503"/>
      <c r="O51" s="503"/>
      <c r="P51" s="503"/>
      <c r="Q51" s="503"/>
      <c r="R51" s="503"/>
      <c r="S51" s="503"/>
      <c r="T51" s="503"/>
      <c r="U51" s="503"/>
    </row>
    <row r="52" spans="1:21" x14ac:dyDescent="0.25">
      <c r="A52" s="533" t="s">
        <v>616</v>
      </c>
      <c r="B52" s="540" t="s">
        <v>527</v>
      </c>
      <c r="C52" s="579">
        <v>10</v>
      </c>
      <c r="E52" s="534" t="s">
        <v>26</v>
      </c>
      <c r="F52" s="546">
        <v>4</v>
      </c>
      <c r="G52" s="503"/>
      <c r="H52" s="503"/>
      <c r="I52" s="503"/>
      <c r="J52" s="503"/>
      <c r="K52" s="503"/>
      <c r="L52" s="503"/>
      <c r="M52" s="503"/>
      <c r="N52" s="503"/>
      <c r="O52" s="503"/>
      <c r="P52" s="503"/>
      <c r="Q52" s="503"/>
      <c r="R52" s="503"/>
      <c r="S52" s="503"/>
      <c r="T52" s="503"/>
      <c r="U52" s="503"/>
    </row>
    <row r="53" spans="1:21" ht="22.5" x14ac:dyDescent="0.25">
      <c r="A53" s="533" t="s">
        <v>617</v>
      </c>
      <c r="B53" s="540" t="s">
        <v>528</v>
      </c>
      <c r="C53" s="579">
        <v>11</v>
      </c>
      <c r="E53" s="534" t="s">
        <v>753</v>
      </c>
      <c r="F53" s="546">
        <v>5</v>
      </c>
      <c r="G53" s="503"/>
      <c r="H53" s="534"/>
      <c r="I53" s="546"/>
      <c r="J53" s="503"/>
      <c r="K53" s="503"/>
      <c r="L53" s="503"/>
      <c r="M53" s="503"/>
      <c r="N53" s="503"/>
      <c r="O53" s="503"/>
      <c r="P53" s="503"/>
      <c r="Q53" s="503"/>
      <c r="R53" s="503"/>
      <c r="S53" s="503"/>
      <c r="T53" s="503"/>
      <c r="U53" s="503"/>
    </row>
    <row r="54" spans="1:21" x14ac:dyDescent="0.25">
      <c r="A54" s="533" t="s">
        <v>618</v>
      </c>
      <c r="B54" s="540" t="s">
        <v>529</v>
      </c>
      <c r="C54" s="579">
        <v>12</v>
      </c>
      <c r="E54" s="534" t="s">
        <v>12</v>
      </c>
      <c r="F54" s="558">
        <v>8</v>
      </c>
      <c r="G54" s="503"/>
      <c r="H54" s="503"/>
      <c r="I54" s="503"/>
      <c r="J54" s="503"/>
      <c r="K54" s="503"/>
      <c r="L54" s="503"/>
      <c r="M54" s="503"/>
      <c r="N54" s="503"/>
      <c r="O54" s="503"/>
      <c r="P54" s="503"/>
      <c r="Q54" s="503"/>
      <c r="R54" s="503"/>
      <c r="S54" s="503"/>
      <c r="T54" s="503"/>
      <c r="U54" s="503"/>
    </row>
    <row r="55" spans="1:21" x14ac:dyDescent="0.25">
      <c r="A55" s="533" t="s">
        <v>843</v>
      </c>
      <c r="B55" s="540" t="s">
        <v>530</v>
      </c>
      <c r="C55" s="579">
        <v>13</v>
      </c>
      <c r="E55" s="534" t="s">
        <v>1365</v>
      </c>
      <c r="F55" s="546">
        <v>12</v>
      </c>
      <c r="G55" s="503"/>
      <c r="H55" s="503"/>
      <c r="I55" s="503"/>
      <c r="J55" s="503"/>
      <c r="K55" s="503"/>
      <c r="L55" s="503"/>
      <c r="M55" s="503"/>
      <c r="N55" s="503"/>
      <c r="O55" s="503"/>
      <c r="P55" s="503"/>
      <c r="Q55" s="503"/>
      <c r="R55" s="503"/>
      <c r="S55" s="503"/>
      <c r="T55" s="503"/>
      <c r="U55" s="503"/>
    </row>
    <row r="56" spans="1:21" x14ac:dyDescent="0.25">
      <c r="A56" s="533" t="s">
        <v>619</v>
      </c>
      <c r="B56" s="540" t="s">
        <v>531</v>
      </c>
      <c r="C56" s="579">
        <v>14</v>
      </c>
      <c r="E56" s="534" t="s">
        <v>1670</v>
      </c>
      <c r="F56" s="558">
        <v>13</v>
      </c>
      <c r="G56" s="503"/>
      <c r="H56" s="503"/>
      <c r="I56" s="503"/>
      <c r="J56" s="503"/>
      <c r="K56" s="503"/>
      <c r="L56" s="503"/>
      <c r="M56" s="503"/>
      <c r="N56" s="503"/>
      <c r="O56" s="503"/>
      <c r="P56" s="503"/>
      <c r="Q56" s="503"/>
      <c r="R56" s="503"/>
      <c r="S56" s="503"/>
      <c r="T56" s="503"/>
      <c r="U56" s="503"/>
    </row>
    <row r="57" spans="1:21" x14ac:dyDescent="0.25">
      <c r="A57" s="533" t="s">
        <v>620</v>
      </c>
      <c r="B57" s="540" t="s">
        <v>532</v>
      </c>
      <c r="C57" s="579">
        <v>15</v>
      </c>
      <c r="E57" s="582" t="s">
        <v>693</v>
      </c>
      <c r="F57" s="583"/>
      <c r="G57" s="503"/>
      <c r="H57" s="503"/>
      <c r="I57" s="503"/>
      <c r="J57" s="503"/>
      <c r="K57" s="503"/>
      <c r="L57" s="503"/>
      <c r="M57" s="503"/>
      <c r="N57" s="503"/>
      <c r="O57" s="503"/>
      <c r="P57" s="503"/>
      <c r="Q57" s="503"/>
      <c r="R57" s="503"/>
      <c r="S57" s="503"/>
      <c r="T57" s="503"/>
      <c r="U57" s="503"/>
    </row>
    <row r="58" spans="1:21" x14ac:dyDescent="0.25">
      <c r="A58" s="533" t="s">
        <v>621</v>
      </c>
      <c r="B58" s="540" t="s">
        <v>533</v>
      </c>
      <c r="C58" s="579">
        <v>16</v>
      </c>
      <c r="E58" s="534" t="s">
        <v>28</v>
      </c>
      <c r="F58" s="558">
        <v>6</v>
      </c>
      <c r="G58" s="503"/>
      <c r="H58" s="503"/>
      <c r="I58" s="503"/>
      <c r="J58" s="503"/>
      <c r="K58" s="503"/>
      <c r="L58" s="503"/>
      <c r="M58" s="503"/>
      <c r="N58" s="503"/>
      <c r="O58" s="503"/>
      <c r="P58" s="503"/>
      <c r="Q58" s="503"/>
      <c r="R58" s="503"/>
      <c r="S58" s="503"/>
      <c r="T58" s="503"/>
      <c r="U58" s="503"/>
    </row>
    <row r="59" spans="1:21" x14ac:dyDescent="0.25">
      <c r="A59" s="533" t="s">
        <v>622</v>
      </c>
      <c r="B59" s="540" t="s">
        <v>534</v>
      </c>
      <c r="C59" s="579">
        <v>17</v>
      </c>
      <c r="E59" s="534" t="s">
        <v>30</v>
      </c>
      <c r="F59" s="558">
        <v>9</v>
      </c>
      <c r="G59" s="503"/>
      <c r="H59" s="503"/>
      <c r="I59" s="503"/>
      <c r="J59" s="503"/>
      <c r="K59" s="503"/>
      <c r="L59" s="503"/>
      <c r="M59" s="503"/>
      <c r="N59" s="503"/>
      <c r="O59" s="503"/>
      <c r="P59" s="503"/>
      <c r="Q59" s="503"/>
      <c r="R59" s="503"/>
      <c r="S59" s="503"/>
      <c r="T59" s="503"/>
      <c r="U59" s="503"/>
    </row>
    <row r="60" spans="1:21" ht="22.5" x14ac:dyDescent="0.25">
      <c r="A60" s="533" t="s">
        <v>623</v>
      </c>
      <c r="B60" s="540" t="s">
        <v>535</v>
      </c>
      <c r="C60" s="579">
        <v>18</v>
      </c>
      <c r="E60" s="534" t="s">
        <v>214</v>
      </c>
      <c r="F60" s="558">
        <v>10</v>
      </c>
      <c r="G60" s="503"/>
      <c r="H60" s="503" t="s">
        <v>198</v>
      </c>
      <c r="I60" s="503"/>
      <c r="J60" s="503"/>
      <c r="K60" s="503"/>
      <c r="L60" s="503"/>
      <c r="M60" s="503"/>
      <c r="N60" s="503"/>
      <c r="O60" s="503"/>
      <c r="P60" s="503"/>
      <c r="Q60" s="503"/>
      <c r="R60" s="503"/>
      <c r="S60" s="503"/>
      <c r="T60" s="503"/>
      <c r="U60" s="503"/>
    </row>
    <row r="61" spans="1:21" x14ac:dyDescent="0.25">
      <c r="A61" s="533" t="s">
        <v>624</v>
      </c>
      <c r="B61" s="540" t="s">
        <v>536</v>
      </c>
      <c r="C61" s="579">
        <v>19</v>
      </c>
      <c r="E61" s="534" t="s">
        <v>31</v>
      </c>
      <c r="F61" s="558">
        <v>11</v>
      </c>
      <c r="G61" s="503"/>
      <c r="H61" s="503"/>
      <c r="I61" s="503"/>
      <c r="J61" s="503"/>
      <c r="K61" s="503"/>
      <c r="L61" s="503"/>
      <c r="M61" s="503"/>
      <c r="N61" s="503"/>
      <c r="O61" s="503"/>
      <c r="P61" s="503"/>
      <c r="Q61" s="503"/>
      <c r="R61" s="503"/>
      <c r="S61" s="503"/>
      <c r="T61" s="503"/>
      <c r="U61" s="503"/>
    </row>
    <row r="62" spans="1:21" x14ac:dyDescent="0.25">
      <c r="A62" s="533" t="s">
        <v>625</v>
      </c>
      <c r="B62" s="540" t="s">
        <v>537</v>
      </c>
      <c r="C62" s="579">
        <v>20</v>
      </c>
      <c r="D62" s="503"/>
      <c r="E62" s="534" t="s">
        <v>29</v>
      </c>
      <c r="F62" s="558">
        <v>7</v>
      </c>
      <c r="G62" s="503"/>
      <c r="H62" s="503"/>
      <c r="I62" s="503"/>
      <c r="J62" s="503"/>
      <c r="K62" s="503"/>
      <c r="L62" s="503"/>
      <c r="M62" s="503"/>
      <c r="N62" s="503"/>
      <c r="O62" s="503"/>
      <c r="P62" s="503"/>
      <c r="Q62" s="503"/>
      <c r="R62" s="503"/>
      <c r="S62" s="503"/>
      <c r="T62" s="503"/>
      <c r="U62" s="503"/>
    </row>
    <row r="63" spans="1:21" x14ac:dyDescent="0.25">
      <c r="A63" s="533" t="s">
        <v>626</v>
      </c>
      <c r="B63" s="540" t="s">
        <v>538</v>
      </c>
      <c r="C63" s="579">
        <v>21</v>
      </c>
      <c r="D63" s="503"/>
      <c r="E63" s="534"/>
      <c r="F63" s="558"/>
      <c r="G63" s="503"/>
      <c r="H63" s="503"/>
      <c r="I63" s="503"/>
      <c r="J63" s="503"/>
      <c r="K63" s="503"/>
      <c r="L63" s="503"/>
      <c r="M63" s="503"/>
      <c r="N63" s="503"/>
      <c r="O63" s="503"/>
      <c r="P63" s="503"/>
      <c r="Q63" s="503"/>
      <c r="R63" s="503"/>
      <c r="S63" s="503"/>
      <c r="T63" s="503"/>
      <c r="U63" s="503"/>
    </row>
    <row r="64" spans="1:21" x14ac:dyDescent="0.25">
      <c r="A64" s="533" t="s">
        <v>627</v>
      </c>
      <c r="B64" s="540" t="s">
        <v>19</v>
      </c>
      <c r="C64" s="579">
        <v>22</v>
      </c>
      <c r="D64" s="503"/>
      <c r="E64" s="503"/>
      <c r="F64" s="503"/>
      <c r="G64" s="503"/>
      <c r="H64" s="503"/>
      <c r="I64" s="503"/>
      <c r="J64" s="503"/>
      <c r="K64" s="503"/>
      <c r="L64" s="503"/>
      <c r="M64" s="503"/>
      <c r="N64" s="503"/>
      <c r="O64" s="503"/>
      <c r="P64" s="503"/>
      <c r="Q64" s="503"/>
      <c r="R64" s="503"/>
      <c r="S64" s="503"/>
      <c r="T64" s="503"/>
      <c r="U64" s="503"/>
    </row>
    <row r="65" spans="1:21" x14ac:dyDescent="0.25">
      <c r="A65" s="533" t="s">
        <v>628</v>
      </c>
      <c r="B65" s="540" t="s">
        <v>539</v>
      </c>
      <c r="C65" s="579">
        <v>23</v>
      </c>
      <c r="D65" s="503"/>
      <c r="E65" s="503"/>
      <c r="F65" s="503"/>
      <c r="G65" s="503"/>
      <c r="H65" s="503"/>
      <c r="I65" s="503"/>
      <c r="J65" s="503"/>
      <c r="K65" s="503"/>
      <c r="L65" s="503"/>
      <c r="M65" s="503"/>
      <c r="N65" s="503"/>
      <c r="O65" s="503"/>
      <c r="P65" s="503"/>
      <c r="Q65" s="503"/>
      <c r="R65" s="503"/>
      <c r="S65" s="503"/>
      <c r="T65" s="503"/>
      <c r="U65" s="503"/>
    </row>
    <row r="66" spans="1:21" x14ac:dyDescent="0.25">
      <c r="A66" s="533" t="s">
        <v>629</v>
      </c>
      <c r="B66" s="540" t="s">
        <v>540</v>
      </c>
      <c r="C66" s="579">
        <v>24</v>
      </c>
      <c r="D66" s="503"/>
      <c r="E66" s="503"/>
      <c r="F66" s="503"/>
      <c r="G66" s="503"/>
      <c r="H66" s="503"/>
      <c r="I66" s="503"/>
      <c r="J66" s="503"/>
      <c r="K66" s="503"/>
      <c r="L66" s="503"/>
      <c r="M66" s="503"/>
      <c r="N66" s="503"/>
      <c r="O66" s="503"/>
      <c r="P66" s="503"/>
      <c r="Q66" s="503"/>
      <c r="R66" s="503"/>
      <c r="S66" s="503"/>
      <c r="T66" s="503"/>
      <c r="U66" s="503"/>
    </row>
    <row r="67" spans="1:21" x14ac:dyDescent="0.25">
      <c r="A67" s="533" t="s">
        <v>630</v>
      </c>
      <c r="B67" s="503"/>
      <c r="C67" s="503"/>
      <c r="D67" s="503"/>
      <c r="E67" s="574" t="s">
        <v>926</v>
      </c>
      <c r="F67" s="574"/>
      <c r="G67" s="503"/>
      <c r="H67" s="503"/>
      <c r="I67" s="503"/>
      <c r="J67" s="503"/>
      <c r="K67" s="503"/>
      <c r="L67" s="503"/>
      <c r="M67" s="503"/>
      <c r="N67" s="503"/>
      <c r="O67" s="503"/>
      <c r="P67" s="503"/>
      <c r="Q67" s="503"/>
      <c r="R67" s="503"/>
      <c r="S67" s="503"/>
      <c r="T67" s="503"/>
      <c r="U67" s="503"/>
    </row>
    <row r="68" spans="1:21" x14ac:dyDescent="0.25">
      <c r="A68" s="533" t="s">
        <v>631</v>
      </c>
      <c r="B68" s="503"/>
      <c r="C68" s="503"/>
      <c r="D68" s="503"/>
      <c r="E68" s="578" t="s">
        <v>969</v>
      </c>
      <c r="F68" s="578">
        <v>1</v>
      </c>
      <c r="G68" s="578" t="s">
        <v>927</v>
      </c>
      <c r="H68" s="503"/>
      <c r="I68" s="503"/>
      <c r="J68" s="503"/>
      <c r="K68" s="503"/>
      <c r="L68" s="503"/>
      <c r="M68" s="503"/>
      <c r="N68" s="503"/>
      <c r="O68" s="503"/>
      <c r="P68" s="503"/>
      <c r="Q68" s="503"/>
      <c r="R68" s="503"/>
      <c r="S68" s="503"/>
      <c r="T68" s="503"/>
      <c r="U68" s="503"/>
    </row>
    <row r="69" spans="1:21" x14ac:dyDescent="0.25">
      <c r="A69" s="533" t="s">
        <v>632</v>
      </c>
      <c r="B69" s="503"/>
      <c r="C69" s="503"/>
      <c r="D69" s="503"/>
      <c r="E69" s="578" t="s">
        <v>968</v>
      </c>
      <c r="F69" s="578">
        <v>2</v>
      </c>
      <c r="G69" s="578" t="s">
        <v>967</v>
      </c>
      <c r="H69" s="503"/>
      <c r="I69" s="503"/>
      <c r="J69" s="503"/>
      <c r="K69" s="503"/>
      <c r="L69" s="503"/>
      <c r="M69" s="503"/>
      <c r="N69" s="503"/>
      <c r="O69" s="503"/>
      <c r="P69" s="503"/>
      <c r="Q69" s="503"/>
      <c r="R69" s="503"/>
      <c r="S69" s="503"/>
      <c r="T69" s="503"/>
      <c r="U69" s="503"/>
    </row>
    <row r="70" spans="1:21" x14ac:dyDescent="0.25">
      <c r="A70" s="533" t="s">
        <v>691</v>
      </c>
      <c r="B70" s="503"/>
      <c r="C70" s="503"/>
      <c r="D70" s="503"/>
      <c r="E70" s="578" t="s">
        <v>936</v>
      </c>
      <c r="F70" s="578">
        <v>3</v>
      </c>
      <c r="G70" s="578" t="s">
        <v>928</v>
      </c>
      <c r="H70" s="503"/>
      <c r="I70" s="503"/>
      <c r="J70" s="503"/>
      <c r="K70" s="503"/>
      <c r="L70" s="503"/>
      <c r="M70" s="503"/>
      <c r="N70" s="503"/>
      <c r="O70" s="503"/>
      <c r="P70" s="503"/>
      <c r="Q70" s="503"/>
      <c r="R70" s="503"/>
      <c r="S70" s="503"/>
      <c r="T70" s="503"/>
      <c r="U70" s="503"/>
    </row>
    <row r="71" spans="1:21" x14ac:dyDescent="0.25">
      <c r="A71" s="533" t="s">
        <v>633</v>
      </c>
      <c r="B71" s="503"/>
      <c r="C71" s="503"/>
      <c r="D71" s="503"/>
      <c r="E71" s="578" t="s">
        <v>935</v>
      </c>
      <c r="F71" s="578">
        <v>4</v>
      </c>
      <c r="G71" s="578" t="s">
        <v>929</v>
      </c>
      <c r="H71" s="503"/>
      <c r="I71" s="503"/>
      <c r="J71" s="503"/>
      <c r="K71" s="503"/>
      <c r="L71" s="503"/>
      <c r="M71" s="503"/>
      <c r="N71" s="503"/>
      <c r="O71" s="503"/>
      <c r="P71" s="503"/>
      <c r="Q71" s="503"/>
      <c r="R71" s="503"/>
      <c r="S71" s="503"/>
      <c r="T71" s="503"/>
      <c r="U71" s="503"/>
    </row>
    <row r="72" spans="1:21" x14ac:dyDescent="0.25">
      <c r="A72" s="533" t="s">
        <v>33</v>
      </c>
      <c r="B72" s="503"/>
      <c r="C72" s="503"/>
      <c r="D72" s="503"/>
      <c r="E72" s="578" t="s">
        <v>934</v>
      </c>
      <c r="F72" s="578">
        <v>5</v>
      </c>
      <c r="G72" s="578" t="s">
        <v>930</v>
      </c>
      <c r="H72" s="503"/>
      <c r="I72" s="503"/>
      <c r="J72" s="503"/>
      <c r="K72" s="503"/>
      <c r="L72" s="503"/>
      <c r="M72" s="503"/>
      <c r="N72" s="503"/>
      <c r="O72" s="503"/>
      <c r="P72" s="503"/>
      <c r="Q72" s="503"/>
      <c r="R72" s="503"/>
      <c r="S72" s="503"/>
      <c r="T72" s="503"/>
      <c r="U72" s="503"/>
    </row>
    <row r="73" spans="1:21" x14ac:dyDescent="0.25">
      <c r="A73" s="533" t="s">
        <v>34</v>
      </c>
      <c r="B73" s="503"/>
      <c r="C73" s="503"/>
      <c r="D73" s="503"/>
      <c r="H73" s="503"/>
      <c r="I73" s="503"/>
      <c r="J73" s="503"/>
      <c r="K73" s="503"/>
      <c r="L73" s="503"/>
      <c r="M73" s="503"/>
      <c r="N73" s="503"/>
      <c r="O73" s="503"/>
      <c r="P73" s="503"/>
      <c r="Q73" s="503"/>
      <c r="R73" s="503"/>
      <c r="S73" s="503"/>
      <c r="T73" s="503"/>
      <c r="U73" s="503"/>
    </row>
    <row r="74" spans="1:21" x14ac:dyDescent="0.25">
      <c r="A74" s="533" t="s">
        <v>35</v>
      </c>
      <c r="B74" s="503"/>
      <c r="C74" s="503"/>
      <c r="D74" s="503"/>
      <c r="E74" s="503" t="s">
        <v>937</v>
      </c>
      <c r="F74" s="503"/>
      <c r="G74" s="503"/>
      <c r="H74" s="503"/>
      <c r="I74" s="503"/>
      <c r="J74" s="503"/>
      <c r="K74" s="503"/>
      <c r="L74" s="503"/>
      <c r="M74" s="503"/>
      <c r="N74" s="503"/>
      <c r="O74" s="503"/>
      <c r="P74" s="503"/>
      <c r="Q74" s="503"/>
      <c r="R74" s="503"/>
      <c r="S74" s="503"/>
      <c r="T74" s="503"/>
      <c r="U74" s="503"/>
    </row>
    <row r="75" spans="1:21" x14ac:dyDescent="0.25">
      <c r="A75" s="533" t="s">
        <v>36</v>
      </c>
      <c r="B75" s="503"/>
      <c r="C75" s="503"/>
      <c r="D75" s="503"/>
      <c r="E75" s="578" t="s">
        <v>798</v>
      </c>
      <c r="F75" s="578">
        <v>1</v>
      </c>
      <c r="G75" s="578" t="s">
        <v>798</v>
      </c>
      <c r="I75" s="503"/>
      <c r="J75" s="503"/>
      <c r="K75" s="503"/>
      <c r="L75" s="503"/>
      <c r="M75" s="503"/>
      <c r="N75" s="503"/>
      <c r="O75" s="503"/>
      <c r="P75" s="503"/>
      <c r="Q75" s="503"/>
      <c r="R75" s="503"/>
      <c r="S75" s="503"/>
      <c r="T75" s="503"/>
      <c r="U75" s="503"/>
    </row>
    <row r="76" spans="1:21" x14ac:dyDescent="0.25">
      <c r="A76" s="533" t="s">
        <v>671</v>
      </c>
      <c r="B76" s="503"/>
      <c r="C76" s="503"/>
      <c r="D76" s="503"/>
      <c r="E76" s="578" t="s">
        <v>799</v>
      </c>
      <c r="F76" s="578">
        <v>2</v>
      </c>
      <c r="G76" s="578" t="s">
        <v>799</v>
      </c>
      <c r="I76" s="503"/>
      <c r="J76" s="503"/>
      <c r="K76" s="503"/>
      <c r="L76" s="503"/>
      <c r="M76" s="503"/>
      <c r="N76" s="503"/>
      <c r="O76" s="503"/>
      <c r="P76" s="503"/>
      <c r="Q76" s="503"/>
      <c r="R76" s="503"/>
      <c r="S76" s="503"/>
      <c r="T76" s="503"/>
      <c r="U76" s="503"/>
    </row>
    <row r="77" spans="1:21" x14ac:dyDescent="0.25">
      <c r="A77" s="533" t="s">
        <v>38</v>
      </c>
      <c r="E77" s="578" t="s">
        <v>938</v>
      </c>
      <c r="F77" s="578">
        <v>3</v>
      </c>
      <c r="G77" s="578" t="s">
        <v>938</v>
      </c>
    </row>
    <row r="78" spans="1:21" x14ac:dyDescent="0.25">
      <c r="A78" s="533" t="s">
        <v>39</v>
      </c>
      <c r="E78" s="578" t="s">
        <v>976</v>
      </c>
      <c r="F78" s="393">
        <v>4</v>
      </c>
      <c r="G78" s="578" t="s">
        <v>976</v>
      </c>
    </row>
    <row r="79" spans="1:21" x14ac:dyDescent="0.25">
      <c r="A79" s="584" t="s">
        <v>40</v>
      </c>
      <c r="E79" s="578" t="s">
        <v>971</v>
      </c>
      <c r="F79" s="393">
        <v>5</v>
      </c>
      <c r="G79" s="578" t="s">
        <v>971</v>
      </c>
    </row>
    <row r="80" spans="1:21" x14ac:dyDescent="0.25">
      <c r="A80" s="584" t="s">
        <v>804</v>
      </c>
      <c r="E80" s="578" t="s">
        <v>977</v>
      </c>
      <c r="F80" s="393">
        <v>6</v>
      </c>
      <c r="G80" s="578" t="s">
        <v>977</v>
      </c>
    </row>
    <row r="81" spans="1:7" x14ac:dyDescent="0.25">
      <c r="A81" s="584" t="s">
        <v>850</v>
      </c>
      <c r="E81" s="578" t="s">
        <v>972</v>
      </c>
      <c r="F81" s="393">
        <v>7</v>
      </c>
      <c r="G81" s="578" t="s">
        <v>972</v>
      </c>
    </row>
    <row r="82" spans="1:7" x14ac:dyDescent="0.25">
      <c r="A82" s="584" t="s">
        <v>925</v>
      </c>
      <c r="E82" s="578" t="s">
        <v>973</v>
      </c>
      <c r="F82" s="393">
        <v>8</v>
      </c>
      <c r="G82" s="578" t="s">
        <v>973</v>
      </c>
    </row>
    <row r="83" spans="1:7" x14ac:dyDescent="0.25">
      <c r="A83" s="584" t="s">
        <v>1044</v>
      </c>
      <c r="E83" s="578"/>
      <c r="F83" s="393"/>
    </row>
    <row r="84" spans="1:7" x14ac:dyDescent="0.25">
      <c r="A84" s="584" t="s">
        <v>1366</v>
      </c>
      <c r="E84" s="578"/>
      <c r="F84" s="393"/>
    </row>
    <row r="85" spans="1:7" x14ac:dyDescent="0.25">
      <c r="A85" s="584" t="s">
        <v>1431</v>
      </c>
      <c r="E85" s="578"/>
      <c r="F85" s="393"/>
    </row>
    <row r="86" spans="1:7" x14ac:dyDescent="0.25">
      <c r="A86" s="584" t="s">
        <v>1679</v>
      </c>
      <c r="E86" s="578"/>
      <c r="F86" s="393"/>
    </row>
    <row r="87" spans="1:7" x14ac:dyDescent="0.25">
      <c r="A87" s="584" t="s">
        <v>2019</v>
      </c>
      <c r="E87" s="578"/>
      <c r="F87" s="393"/>
    </row>
    <row r="88" spans="1:7" x14ac:dyDescent="0.25">
      <c r="A88" s="584" t="s">
        <v>2217</v>
      </c>
      <c r="E88" s="534"/>
    </row>
    <row r="89" spans="1:7" x14ac:dyDescent="0.25">
      <c r="A89" s="584" t="s">
        <v>2218</v>
      </c>
      <c r="E89" s="534"/>
    </row>
    <row r="90" spans="1:7" x14ac:dyDescent="0.25">
      <c r="A90" s="533" t="s">
        <v>634</v>
      </c>
      <c r="E90" s="534"/>
    </row>
    <row r="91" spans="1:7" x14ac:dyDescent="0.25">
      <c r="A91" s="533" t="s">
        <v>635</v>
      </c>
      <c r="E91" s="534"/>
    </row>
    <row r="92" spans="1:7" x14ac:dyDescent="0.25">
      <c r="A92" s="533" t="s">
        <v>636</v>
      </c>
      <c r="E92" s="534"/>
    </row>
    <row r="93" spans="1:7" x14ac:dyDescent="0.25">
      <c r="A93" s="533" t="s">
        <v>637</v>
      </c>
    </row>
    <row r="94" spans="1:7" x14ac:dyDescent="0.25">
      <c r="A94" s="533" t="s">
        <v>638</v>
      </c>
      <c r="E94" s="1707" t="s">
        <v>974</v>
      </c>
      <c r="F94" s="1708"/>
      <c r="G94" s="1711"/>
    </row>
    <row r="95" spans="1:7" x14ac:dyDescent="0.25">
      <c r="A95" s="533" t="s">
        <v>639</v>
      </c>
      <c r="E95" s="393" t="s">
        <v>110</v>
      </c>
      <c r="F95" s="393">
        <v>1</v>
      </c>
      <c r="G95" s="1711"/>
    </row>
    <row r="96" spans="1:7" x14ac:dyDescent="0.25">
      <c r="A96" s="533" t="s">
        <v>640</v>
      </c>
      <c r="E96" s="393" t="s">
        <v>111</v>
      </c>
      <c r="F96" s="393">
        <v>2</v>
      </c>
    </row>
    <row r="97" spans="1:7" x14ac:dyDescent="0.25">
      <c r="A97" s="533" t="s">
        <v>641</v>
      </c>
    </row>
    <row r="98" spans="1:7" x14ac:dyDescent="0.25">
      <c r="A98" s="533" t="s">
        <v>642</v>
      </c>
      <c r="E98" s="1707" t="s">
        <v>975</v>
      </c>
      <c r="F98" s="1708"/>
      <c r="G98" s="1712"/>
    </row>
    <row r="99" spans="1:7" x14ac:dyDescent="0.25">
      <c r="A99" s="533" t="s">
        <v>643</v>
      </c>
      <c r="E99" s="393" t="s">
        <v>17</v>
      </c>
      <c r="F99" s="393">
        <v>1</v>
      </c>
      <c r="G99" s="1712"/>
    </row>
    <row r="100" spans="1:7" x14ac:dyDescent="0.25">
      <c r="A100" s="533" t="s">
        <v>644</v>
      </c>
      <c r="E100" s="393" t="s">
        <v>762</v>
      </c>
      <c r="F100" s="393">
        <v>2</v>
      </c>
    </row>
    <row r="101" spans="1:7" x14ac:dyDescent="0.25">
      <c r="A101" s="533" t="s">
        <v>645</v>
      </c>
    </row>
    <row r="102" spans="1:7" x14ac:dyDescent="0.25">
      <c r="A102" s="533" t="s">
        <v>646</v>
      </c>
    </row>
    <row r="103" spans="1:7" x14ac:dyDescent="0.25">
      <c r="A103" s="533" t="s">
        <v>647</v>
      </c>
      <c r="E103" s="1707" t="s">
        <v>1010</v>
      </c>
      <c r="F103" s="1708"/>
    </row>
    <row r="104" spans="1:7" x14ac:dyDescent="0.25">
      <c r="A104" s="533" t="s">
        <v>648</v>
      </c>
      <c r="E104" s="393" t="s">
        <v>1009</v>
      </c>
      <c r="F104" s="393">
        <v>2</v>
      </c>
    </row>
    <row r="105" spans="1:7" x14ac:dyDescent="0.25">
      <c r="A105" s="533" t="s">
        <v>649</v>
      </c>
      <c r="E105" s="393" t="s">
        <v>1008</v>
      </c>
      <c r="F105" s="393">
        <v>1</v>
      </c>
    </row>
    <row r="106" spans="1:7" x14ac:dyDescent="0.25">
      <c r="A106" s="533" t="s">
        <v>650</v>
      </c>
      <c r="E106" s="393"/>
      <c r="F106" s="393"/>
    </row>
    <row r="107" spans="1:7" x14ac:dyDescent="0.25">
      <c r="A107" s="533" t="s">
        <v>651</v>
      </c>
    </row>
    <row r="108" spans="1:7" x14ac:dyDescent="0.25">
      <c r="A108" s="533" t="s">
        <v>652</v>
      </c>
    </row>
    <row r="109" spans="1:7" x14ac:dyDescent="0.25">
      <c r="A109" s="533" t="s">
        <v>653</v>
      </c>
    </row>
    <row r="110" spans="1:7" x14ac:dyDescent="0.25">
      <c r="A110" s="533" t="s">
        <v>654</v>
      </c>
    </row>
    <row r="111" spans="1:7" x14ac:dyDescent="0.25">
      <c r="A111" s="533" t="s">
        <v>655</v>
      </c>
    </row>
    <row r="112" spans="1:7" x14ac:dyDescent="0.25">
      <c r="A112" s="533" t="s">
        <v>656</v>
      </c>
    </row>
    <row r="113" spans="1:6" x14ac:dyDescent="0.25">
      <c r="A113" s="533" t="s">
        <v>657</v>
      </c>
    </row>
    <row r="114" spans="1:6" x14ac:dyDescent="0.25">
      <c r="A114" s="533" t="s">
        <v>658</v>
      </c>
      <c r="E114" s="567" t="s">
        <v>933</v>
      </c>
      <c r="F114" s="567">
        <v>3</v>
      </c>
    </row>
    <row r="115" spans="1:6" x14ac:dyDescent="0.25">
      <c r="A115" s="533" t="s">
        <v>659</v>
      </c>
    </row>
    <row r="116" spans="1:6" x14ac:dyDescent="0.25">
      <c r="A116" s="533" t="s">
        <v>660</v>
      </c>
    </row>
    <row r="117" spans="1:6" x14ac:dyDescent="0.25">
      <c r="A117" s="533" t="s">
        <v>661</v>
      </c>
    </row>
    <row r="118" spans="1:6" x14ac:dyDescent="0.25">
      <c r="A118" s="533" t="s">
        <v>662</v>
      </c>
      <c r="E118" s="393" t="s">
        <v>1671</v>
      </c>
      <c r="F118" s="393"/>
    </row>
    <row r="119" spans="1:6" x14ac:dyDescent="0.25">
      <c r="A119" s="533" t="s">
        <v>663</v>
      </c>
      <c r="E119" s="393"/>
      <c r="F119" s="393"/>
    </row>
    <row r="120" spans="1:6" x14ac:dyDescent="0.25">
      <c r="A120" s="533" t="s">
        <v>664</v>
      </c>
      <c r="E120" s="393" t="s">
        <v>1672</v>
      </c>
      <c r="F120" s="393">
        <v>1</v>
      </c>
    </row>
    <row r="121" spans="1:6" x14ac:dyDescent="0.25">
      <c r="A121" s="533" t="s">
        <v>691</v>
      </c>
      <c r="E121" s="393" t="s">
        <v>1673</v>
      </c>
      <c r="F121" s="393">
        <v>2</v>
      </c>
    </row>
    <row r="122" spans="1:6" x14ac:dyDescent="0.25">
      <c r="A122" s="533" t="s">
        <v>665</v>
      </c>
      <c r="E122" s="393" t="s">
        <v>1674</v>
      </c>
      <c r="F122" s="393">
        <v>3</v>
      </c>
    </row>
    <row r="123" spans="1:6" x14ac:dyDescent="0.25">
      <c r="A123" s="533" t="s">
        <v>666</v>
      </c>
      <c r="E123" s="393" t="s">
        <v>1675</v>
      </c>
      <c r="F123" s="393">
        <v>4</v>
      </c>
    </row>
    <row r="124" spans="1:6" x14ac:dyDescent="0.25">
      <c r="A124" s="533" t="s">
        <v>667</v>
      </c>
    </row>
    <row r="125" spans="1:6" x14ac:dyDescent="0.25">
      <c r="A125" s="533" t="s">
        <v>668</v>
      </c>
      <c r="E125" s="319" t="s">
        <v>1677</v>
      </c>
    </row>
    <row r="126" spans="1:6" x14ac:dyDescent="0.25">
      <c r="A126" s="533" t="s">
        <v>849</v>
      </c>
      <c r="E126" s="393" t="s">
        <v>110</v>
      </c>
      <c r="F126" s="393">
        <v>1</v>
      </c>
    </row>
    <row r="127" spans="1:6" x14ac:dyDescent="0.25">
      <c r="E127" s="393" t="s">
        <v>111</v>
      </c>
      <c r="F127" s="393">
        <v>2</v>
      </c>
    </row>
    <row r="131" spans="5:5" x14ac:dyDescent="0.25">
      <c r="E131" s="1097" t="s">
        <v>1681</v>
      </c>
    </row>
    <row r="132" spans="5:5" x14ac:dyDescent="0.25">
      <c r="E132" s="393" t="s">
        <v>1682</v>
      </c>
    </row>
    <row r="133" spans="5:5" x14ac:dyDescent="0.25">
      <c r="E133" s="393" t="s">
        <v>1683</v>
      </c>
    </row>
    <row r="134" spans="5:5" x14ac:dyDescent="0.25">
      <c r="E134" s="393" t="s">
        <v>1684</v>
      </c>
    </row>
    <row r="135" spans="5:5" x14ac:dyDescent="0.25">
      <c r="E135" s="393" t="s">
        <v>1685</v>
      </c>
    </row>
    <row r="136" spans="5:5" x14ac:dyDescent="0.25">
      <c r="E136" s="393" t="s">
        <v>1801</v>
      </c>
    </row>
    <row r="137" spans="5:5" x14ac:dyDescent="0.25">
      <c r="E137" s="393" t="s">
        <v>1686</v>
      </c>
    </row>
    <row r="140" spans="5:5" x14ac:dyDescent="0.25">
      <c r="E140" s="1097" t="s">
        <v>541</v>
      </c>
    </row>
    <row r="141" spans="5:5" x14ac:dyDescent="0.25">
      <c r="E141" s="393" t="s">
        <v>1798</v>
      </c>
    </row>
    <row r="142" spans="5:5" x14ac:dyDescent="0.25">
      <c r="E142" s="393" t="s">
        <v>1799</v>
      </c>
    </row>
    <row r="143" spans="5:5" x14ac:dyDescent="0.25">
      <c r="E143" s="393" t="s">
        <v>1800</v>
      </c>
    </row>
  </sheetData>
  <autoFilter ref="A1:K115">
    <filterColumn colId="6" showButton="0"/>
    <filterColumn colId="8" showButton="0"/>
    <filterColumn colId="9" showButton="0"/>
  </autoFilter>
  <mergeCells count="28">
    <mergeCell ref="AA1:AB1"/>
    <mergeCell ref="W7:X7"/>
    <mergeCell ref="W13:X13"/>
    <mergeCell ref="B42:C42"/>
    <mergeCell ref="E103:F103"/>
    <mergeCell ref="Q9:R9"/>
    <mergeCell ref="G94:G95"/>
    <mergeCell ref="G98:G99"/>
    <mergeCell ref="C29:D29"/>
    <mergeCell ref="E94:F94"/>
    <mergeCell ref="E98:F98"/>
    <mergeCell ref="H7:I7"/>
    <mergeCell ref="AC1:AD1"/>
    <mergeCell ref="AC2:AD2"/>
    <mergeCell ref="C10:D10"/>
    <mergeCell ref="E10:F10"/>
    <mergeCell ref="B14:C14"/>
    <mergeCell ref="G2:H2"/>
    <mergeCell ref="M2:N2"/>
    <mergeCell ref="X1:Z1"/>
    <mergeCell ref="E14:F14"/>
    <mergeCell ref="T1:U1"/>
    <mergeCell ref="T2:U2"/>
    <mergeCell ref="G1:H1"/>
    <mergeCell ref="I1:K1"/>
    <mergeCell ref="O1:S1"/>
    <mergeCell ref="M1:N1"/>
    <mergeCell ref="AA2:AB2"/>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D1899023C231304B9DAB565EE292510F" ma:contentTypeVersion="9" ma:contentTypeDescription="Crear nuevo documento." ma:contentTypeScope="" ma:versionID="21ceef22feb96adbcd40f50685c8b495">
  <xsd:schema xmlns:xsd="http://www.w3.org/2001/XMLSchema" xmlns:p="http://schemas.microsoft.com/office/2006/metadata/properties" targetNamespace="http://schemas.microsoft.com/office/2006/metadata/properties" ma:root="true" ma:fieldsID="a842e179fd711325ceab02fb6457132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8BAB1103-63D1-4004-8EE8-FF036BE09216}">
  <ds:schemaRefs>
    <ds:schemaRef ds:uri="http://schemas.microsoft.com/sharepoint/v3/contenttype/forms"/>
  </ds:schemaRefs>
</ds:datastoreItem>
</file>

<file path=customXml/itemProps2.xml><?xml version="1.0" encoding="utf-8"?>
<ds:datastoreItem xmlns:ds="http://schemas.openxmlformats.org/officeDocument/2006/customXml" ds:itemID="{0B3870C3-ED87-4C9A-87F9-20523DE990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B651ADC-3ED8-49C2-A4FD-EF7A882ECA2C}">
  <ds:schemaRefs>
    <ds:schemaRef ds:uri="http://purl.org/dc/terms/"/>
    <ds:schemaRef ds:uri="http://schemas.microsoft.com/office/2006/documentManagement/types"/>
    <ds:schemaRef ds:uri="http://purl.org/dc/elements/1.1/"/>
    <ds:schemaRef ds:uri="http://www.w3.org/XML/1998/namespace"/>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33</vt:i4>
      </vt:variant>
      <vt:variant>
        <vt:lpstr>Rangos con nombre</vt:lpstr>
      </vt:variant>
      <vt:variant>
        <vt:i4>264</vt:i4>
      </vt:variant>
    </vt:vector>
  </HeadingPairs>
  <TitlesOfParts>
    <vt:vector size="297" baseType="lpstr">
      <vt:lpstr>calculadora</vt:lpstr>
      <vt:lpstr>Tasas de Interés</vt:lpstr>
      <vt:lpstr>1.Hoja_de_Cotización</vt:lpstr>
      <vt:lpstr>2.Impresión</vt:lpstr>
      <vt:lpstr>Hoja_Cambio</vt:lpstr>
      <vt:lpstr>Impresión_Cambio</vt:lpstr>
      <vt:lpstr>Requisitos_Cambio</vt:lpstr>
      <vt:lpstr>Catálogos</vt:lpstr>
      <vt:lpstr>Programa</vt:lpstr>
      <vt:lpstr>Comisiones_Cargos</vt:lpstr>
      <vt:lpstr>TabGtos</vt:lpstr>
      <vt:lpstr>GtosFwla</vt:lpstr>
      <vt:lpstr>3.1.COPA</vt:lpstr>
      <vt:lpstr>4.Check List - Requisitos</vt:lpstr>
      <vt:lpstr>5.Formularios</vt:lpstr>
      <vt:lpstr>Solicitud_SegVida</vt:lpstr>
      <vt:lpstr>6.Promotores Hacen Escritura</vt:lpstr>
      <vt:lpstr>7. Proyectos Interinos Const</vt:lpstr>
      <vt:lpstr>Traspaso</vt:lpstr>
      <vt:lpstr>Hoja2</vt:lpstr>
      <vt:lpstr>8.Proy NoFinanciados x Banco</vt:lpstr>
      <vt:lpstr>9.Contratista_Int</vt:lpstr>
      <vt:lpstr>10.Requisitos-Ley Preferencial</vt:lpstr>
      <vt:lpstr>11.Compra de Vivienda Nueva</vt:lpstr>
      <vt:lpstr>12.Compra de Vivienda Usada</vt:lpstr>
      <vt:lpstr>13.Traspaso de Acciones</vt:lpstr>
      <vt:lpstr>14.Compra Vivienda Vacacional</vt:lpstr>
      <vt:lpstr>15.Casa Cash</vt:lpstr>
      <vt:lpstr>16.Traspaso de Otro Banco</vt:lpstr>
      <vt:lpstr>17.Cambio de dueño deudor</vt:lpstr>
      <vt:lpstr>18.PrecalificaciónInterino</vt:lpstr>
      <vt:lpstr>19.Interino de Construcción</vt:lpstr>
      <vt:lpstr>20.Compra de Terreno</vt:lpstr>
      <vt:lpstr>abono</vt:lpstr>
      <vt:lpstr>'17.Cambio de dueño deudor'!acciones</vt:lpstr>
      <vt:lpstr>acciones</vt:lpstr>
      <vt:lpstr>'1.Hoja_de_Cotización'!Área_de_impresión</vt:lpstr>
      <vt:lpstr>'10.Requisitos-Ley Preferencial'!Área_de_impresión</vt:lpstr>
      <vt:lpstr>'12.Compra de Vivienda Usada'!Área_de_impresión</vt:lpstr>
      <vt:lpstr>'13.Traspaso de Acciones'!Área_de_impresión</vt:lpstr>
      <vt:lpstr>'2.Impresión'!Área_de_impresión</vt:lpstr>
      <vt:lpstr>'4.Check List - Requisitos'!Área_de_impresión</vt:lpstr>
      <vt:lpstr>Hoja_Cambio!Área_de_impresión</vt:lpstr>
      <vt:lpstr>Impresión_Cambio!Área_de_impresión</vt:lpstr>
      <vt:lpstr>Requisitos_Cambio!Área_de_impresión</vt:lpstr>
      <vt:lpstr>bene_jubi</vt:lpstr>
      <vt:lpstr>'10.Requisitos-Ley Preferencial'!canal</vt:lpstr>
      <vt:lpstr>'17.Cambio de dueño deudor'!canal</vt:lpstr>
      <vt:lpstr>canal</vt:lpstr>
      <vt:lpstr>'10.Requisitos-Ley Preferencial'!cancela</vt:lpstr>
      <vt:lpstr>'17.Cambio de dueño deudor'!cancela</vt:lpstr>
      <vt:lpstr>cancela</vt:lpstr>
      <vt:lpstr>Solicitud_SegVida!Casilla2</vt:lpstr>
      <vt:lpstr>comb_fwla</vt:lpstr>
      <vt:lpstr>comb_jubilado</vt:lpstr>
      <vt:lpstr>comb_llave_gtos_fwla</vt:lpstr>
      <vt:lpstr>comb_llave_notaria</vt:lpstr>
      <vt:lpstr>comb_llave_registro</vt:lpstr>
      <vt:lpstr>comb_llave_serleg</vt:lpstr>
      <vt:lpstr>'17.Cambio de dueño deudor'!comb_promotor</vt:lpstr>
      <vt:lpstr>comb_promotor</vt:lpstr>
      <vt:lpstr>'10.Requisitos-Ley Preferencial'!comb_serv_01</vt:lpstr>
      <vt:lpstr>'17.Cambio de dueño deudor'!comb_serv_01</vt:lpstr>
      <vt:lpstr>comb_serv_01</vt:lpstr>
      <vt:lpstr>'10.Requisitos-Ley Preferencial'!comb_serv_02</vt:lpstr>
      <vt:lpstr>'17.Cambio de dueño deudor'!comb_serv_02</vt:lpstr>
      <vt:lpstr>comb_serv_02</vt:lpstr>
      <vt:lpstr>'10.Requisitos-Ley Preferencial'!comb_serv_03</vt:lpstr>
      <vt:lpstr>'17.Cambio de dueño deudor'!comb_serv_03</vt:lpstr>
      <vt:lpstr>comb_serv_03</vt:lpstr>
      <vt:lpstr>'10.Requisitos-Ley Preferencial'!comb_serv_04</vt:lpstr>
      <vt:lpstr>'17.Cambio de dueño deudor'!comb_serv_04</vt:lpstr>
      <vt:lpstr>comb_serv_04</vt:lpstr>
      <vt:lpstr>'10.Requisitos-Ley Preferencial'!comb_serv_05</vt:lpstr>
      <vt:lpstr>'17.Cambio de dueño deudor'!comb_serv_05</vt:lpstr>
      <vt:lpstr>comb_serv_05</vt:lpstr>
      <vt:lpstr>'10.Requisitos-Ley Preferencial'!comb_serv_06</vt:lpstr>
      <vt:lpstr>'17.Cambio de dueño deudor'!comb_serv_06</vt:lpstr>
      <vt:lpstr>comb_serv_06</vt:lpstr>
      <vt:lpstr>'10.Requisitos-Ley Preferencial'!comb_serv_07</vt:lpstr>
      <vt:lpstr>'17.Cambio de dueño deudor'!comb_serv_07</vt:lpstr>
      <vt:lpstr>comb_serv_07</vt:lpstr>
      <vt:lpstr>'10.Requisitos-Ley Preferencial'!comb_serv_08</vt:lpstr>
      <vt:lpstr>'17.Cambio de dueño deudor'!comb_serv_08</vt:lpstr>
      <vt:lpstr>comb_serv_08</vt:lpstr>
      <vt:lpstr>'10.Requisitos-Ley Preferencial'!comb_serv_09</vt:lpstr>
      <vt:lpstr>'17.Cambio de dueño deudor'!comb_serv_09</vt:lpstr>
      <vt:lpstr>comb_serv_09</vt:lpstr>
      <vt:lpstr>'10.Requisitos-Ley Preferencial'!comb_serv_10</vt:lpstr>
      <vt:lpstr>'17.Cambio de dueño deudor'!comb_serv_10</vt:lpstr>
      <vt:lpstr>comb_serv_10</vt:lpstr>
      <vt:lpstr>'10.Requisitos-Ley Preferencial'!comb_serv_11</vt:lpstr>
      <vt:lpstr>'17.Cambio de dueño deudor'!comb_serv_11</vt:lpstr>
      <vt:lpstr>comb_serv_11</vt:lpstr>
      <vt:lpstr>'10.Requisitos-Ley Preferencial'!comb_serv_12</vt:lpstr>
      <vt:lpstr>'17.Cambio de dueño deudor'!comb_serv_12</vt:lpstr>
      <vt:lpstr>comb_serv_12</vt:lpstr>
      <vt:lpstr>'10.Requisitos-Ley Preferencial'!comb_serv_13</vt:lpstr>
      <vt:lpstr>'17.Cambio de dueño deudor'!comb_serv_13</vt:lpstr>
      <vt:lpstr>comb_serv_13</vt:lpstr>
      <vt:lpstr>'10.Requisitos-Ley Preferencial'!comb_serv_14</vt:lpstr>
      <vt:lpstr>'17.Cambio de dueño deudor'!comb_serv_14</vt:lpstr>
      <vt:lpstr>comb_serv_14</vt:lpstr>
      <vt:lpstr>'10.Requisitos-Ley Preferencial'!comb_serv_15</vt:lpstr>
      <vt:lpstr>'17.Cambio de dueño deudor'!comb_serv_15</vt:lpstr>
      <vt:lpstr>comb_serv_15</vt:lpstr>
      <vt:lpstr>'17.Cambio de dueño deudor'!comb_tipocliente</vt:lpstr>
      <vt:lpstr>comb_tipocliente</vt:lpstr>
      <vt:lpstr>'17.Cambio de dueño deudor'!combo_acciones</vt:lpstr>
      <vt:lpstr>combo_acciones</vt:lpstr>
      <vt:lpstr>'10.Requisitos-Ley Preferencial'!combo_antiguedad</vt:lpstr>
      <vt:lpstr>'17.Cambio de dueño deudor'!combo_antiguedad</vt:lpstr>
      <vt:lpstr>combo_antiguedad</vt:lpstr>
      <vt:lpstr>combo_canal</vt:lpstr>
      <vt:lpstr>combo_cancela</vt:lpstr>
      <vt:lpstr>'10.Requisitos-Ley Preferencial'!combo_feci</vt:lpstr>
      <vt:lpstr>'17.Cambio de dueño deudor'!combo_feci</vt:lpstr>
      <vt:lpstr>combo_feci</vt:lpstr>
      <vt:lpstr>'10.Requisitos-Ley Preferencial'!combo_fideicomiso</vt:lpstr>
      <vt:lpstr>'17.Cambio de dueño deudor'!combo_fideicomiso</vt:lpstr>
      <vt:lpstr>combo_fideicomiso</vt:lpstr>
      <vt:lpstr>'10.Requisitos-Ley Preferencial'!combo_finalidad</vt:lpstr>
      <vt:lpstr>'17.Cambio de dueño deudor'!combo_finalidad</vt:lpstr>
      <vt:lpstr>combo_finalidad</vt:lpstr>
      <vt:lpstr>combo_financiamiento</vt:lpstr>
      <vt:lpstr>'10.Requisitos-Ley Preferencial'!combo_forma_pago</vt:lpstr>
      <vt:lpstr>'17.Cambio de dueño deudor'!combo_forma_pago</vt:lpstr>
      <vt:lpstr>combo_forma_pago</vt:lpstr>
      <vt:lpstr>'10.Requisitos-Ley Preferencial'!combo_fwla</vt:lpstr>
      <vt:lpstr>'17.Cambio de dueño deudor'!combo_fwla</vt:lpstr>
      <vt:lpstr>combo_fwla</vt:lpstr>
      <vt:lpstr>'10.Requisitos-Ley Preferencial'!combo_garantía</vt:lpstr>
      <vt:lpstr>'17.Cambio de dueño deudor'!combo_garantía</vt:lpstr>
      <vt:lpstr>combo_garantía</vt:lpstr>
      <vt:lpstr>'10.Requisitos-Ley Preferencial'!combo_gastos_empl</vt:lpstr>
      <vt:lpstr>'17.Cambio de dueño deudor'!combo_gastos_empl</vt:lpstr>
      <vt:lpstr>combo_gastos_empl</vt:lpstr>
      <vt:lpstr>'10.Requisitos-Ley Preferencial'!combo_hace_escritura</vt:lpstr>
      <vt:lpstr>'17.Cambio de dueño deudor'!combo_hace_escritura</vt:lpstr>
      <vt:lpstr>combo_hace_escritura</vt:lpstr>
      <vt:lpstr>'10.Requisitos-Ley Preferencial'!combo_notaria</vt:lpstr>
      <vt:lpstr>'17.Cambio de dueño deudor'!combo_notaria</vt:lpstr>
      <vt:lpstr>combo_notaria</vt:lpstr>
      <vt:lpstr>'10.Requisitos-Ley Preferencial'!combo_participante</vt:lpstr>
      <vt:lpstr>'17.Cambio de dueño deudor'!combo_participante</vt:lpstr>
      <vt:lpstr>combo_participante</vt:lpstr>
      <vt:lpstr>'10.Requisitos-Ley Preferencial'!combo_PolIncendio</vt:lpstr>
      <vt:lpstr>'17.Cambio de dueño deudor'!combo_PolIncendio</vt:lpstr>
      <vt:lpstr>combo_PolIncendio</vt:lpstr>
      <vt:lpstr>combo_politica</vt:lpstr>
      <vt:lpstr>'10.Requisitos-Ley Preferencial'!combo_prog</vt:lpstr>
      <vt:lpstr>'17.Cambio de dueño deudor'!combo_prog</vt:lpstr>
      <vt:lpstr>combo_prog</vt:lpstr>
      <vt:lpstr>'10.Requisitos-Ley Preferencial'!combo_registro</vt:lpstr>
      <vt:lpstr>'17.Cambio de dueño deudor'!combo_registro</vt:lpstr>
      <vt:lpstr>combo_registro</vt:lpstr>
      <vt:lpstr>combo_relación</vt:lpstr>
      <vt:lpstr>'10.Requisitos-Ley Preferencial'!combo_renovación</vt:lpstr>
      <vt:lpstr>'17.Cambio de dueño deudor'!combo_renovación</vt:lpstr>
      <vt:lpstr>combo_renovación</vt:lpstr>
      <vt:lpstr>'10.Requisitos-Ley Preferencial'!combo_serv_Fideicomiso</vt:lpstr>
      <vt:lpstr>'17.Cambio de dueño deudor'!combo_serv_Fideicomiso</vt:lpstr>
      <vt:lpstr>combo_serv_Fideicomiso</vt:lpstr>
      <vt:lpstr>'10.Requisitos-Ley Preferencial'!combo_servicios_Legales</vt:lpstr>
      <vt:lpstr>'17.Cambio de dueño deudor'!combo_servicios_Legales</vt:lpstr>
      <vt:lpstr>combo_servicios_Legales</vt:lpstr>
      <vt:lpstr>'17.Cambio de dueño deudor'!combo_terreno</vt:lpstr>
      <vt:lpstr>combo_terreno</vt:lpstr>
      <vt:lpstr>'17.Cambio de dueño deudor'!combo_tipocliente</vt:lpstr>
      <vt:lpstr>combo_tipocliente</vt:lpstr>
      <vt:lpstr>'10.Requisitos-Ley Preferencial'!combo_tipoPrestamo</vt:lpstr>
      <vt:lpstr>'17.Cambio de dueño deudor'!combo_tipoPrestamo</vt:lpstr>
      <vt:lpstr>combo_tipoPrestamo</vt:lpstr>
      <vt:lpstr>'10.Requisitos-Ley Preferencial'!combo_tipoTrámite</vt:lpstr>
      <vt:lpstr>'17.Cambio de dueño deudor'!combo_tipoTrámite</vt:lpstr>
      <vt:lpstr>combo_tipoTrámite</vt:lpstr>
      <vt:lpstr>'10.Requisitos-Ley Preferencial'!combo_trabajo</vt:lpstr>
      <vt:lpstr>'17.Cambio de dueño deudor'!combo_trabajo</vt:lpstr>
      <vt:lpstr>combo_trabajo</vt:lpstr>
      <vt:lpstr>'10.Requisitos-Ley Preferencial'!compra_ley</vt:lpstr>
      <vt:lpstr>'17.Cambio de dueño deudor'!compra_ley</vt:lpstr>
      <vt:lpstr>compra_ley</vt:lpstr>
      <vt:lpstr>'10.Requisitos-Ley Preferencial'!demas</vt:lpstr>
      <vt:lpstr>'17.Cambio de dueño deudor'!demas</vt:lpstr>
      <vt:lpstr>demas</vt:lpstr>
      <vt:lpstr>'10.Requisitos-Ley Preferencial'!dueño_deuda</vt:lpstr>
      <vt:lpstr>'17.Cambio de dueño deudor'!dueño_deuda</vt:lpstr>
      <vt:lpstr>dueño_deuda</vt:lpstr>
      <vt:lpstr>'10.Requisitos-Ley Preferencial'!EmplBG_gtosGratis</vt:lpstr>
      <vt:lpstr>'17.Cambio de dueño deudor'!EmplBG_gtosGratis</vt:lpstr>
      <vt:lpstr>EmplBG_gtosGratis</vt:lpstr>
      <vt:lpstr>'17.Cambio de dueño deudor'!equi_ccash</vt:lpstr>
      <vt:lpstr>equi_ccash</vt:lpstr>
      <vt:lpstr>'10.Requisitos-Ley Preferencial'!feci</vt:lpstr>
      <vt:lpstr>'17.Cambio de dueño deudor'!feci</vt:lpstr>
      <vt:lpstr>feci</vt:lpstr>
      <vt:lpstr>'10.Requisitos-Ley Preferencial'!fideicomiso</vt:lpstr>
      <vt:lpstr>'17.Cambio de dueño deudor'!fideicomiso</vt:lpstr>
      <vt:lpstr>fideicomiso</vt:lpstr>
      <vt:lpstr>'10.Requisitos-Ley Preferencial'!Finalidad</vt:lpstr>
      <vt:lpstr>'17.Cambio de dueño deudor'!Finalidad</vt:lpstr>
      <vt:lpstr>Finalidad</vt:lpstr>
      <vt:lpstr>'10.Requisitos-Ley Preferencial'!finalidad_bg</vt:lpstr>
      <vt:lpstr>'17.Cambio de dueño deudor'!finalidad_bg</vt:lpstr>
      <vt:lpstr>finalidad_bg</vt:lpstr>
      <vt:lpstr>'17.Cambio de dueño deudor'!finalidad_otros</vt:lpstr>
      <vt:lpstr>finalidad_otros</vt:lpstr>
      <vt:lpstr>'10.Requisitos-Ley Preferencial'!forma_pago</vt:lpstr>
      <vt:lpstr>'17.Cambio de dueño deudor'!forma_pago</vt:lpstr>
      <vt:lpstr>forma_pago</vt:lpstr>
      <vt:lpstr>Gtos_Financiados</vt:lpstr>
      <vt:lpstr>'10.Requisitos-Ley Preferencial'!hace_escritura</vt:lpstr>
      <vt:lpstr>'17.Cambio de dueño deudor'!hace_escritura</vt:lpstr>
      <vt:lpstr>hace_escritura</vt:lpstr>
      <vt:lpstr>'17.Cambio de dueño deudor'!interior</vt:lpstr>
      <vt:lpstr>interior</vt:lpstr>
      <vt:lpstr>'10.Requisitos-Ley Preferencial'!lista_casacash</vt:lpstr>
      <vt:lpstr>'17.Cambio de dueño deudor'!lista_casacash</vt:lpstr>
      <vt:lpstr>lista_casacash</vt:lpstr>
      <vt:lpstr>'10.Requisitos-Ley Preferencial'!lista_ccash</vt:lpstr>
      <vt:lpstr>'17.Cambio de dueño deudor'!lista_ccash</vt:lpstr>
      <vt:lpstr>lista_ccash</vt:lpstr>
      <vt:lpstr>'10.Requisitos-Ley Preferencial'!Lista_compra</vt:lpstr>
      <vt:lpstr>'17.Cambio de dueño deudor'!Lista_compra</vt:lpstr>
      <vt:lpstr>Lista_compra</vt:lpstr>
      <vt:lpstr>'10.Requisitos-Ley Preferencial'!lista_compras</vt:lpstr>
      <vt:lpstr>'17.Cambio de dueño deudor'!lista_compras</vt:lpstr>
      <vt:lpstr>lista_compras</vt:lpstr>
      <vt:lpstr>'10.Requisitos-Ley Preferencial'!lista_const</vt:lpstr>
      <vt:lpstr>'17.Cambio de dueño deudor'!lista_const</vt:lpstr>
      <vt:lpstr>lista_const</vt:lpstr>
      <vt:lpstr>'10.Requisitos-Ley Preferencial'!lista_ext</vt:lpstr>
      <vt:lpstr>'17.Cambio de dueño deudor'!lista_ext</vt:lpstr>
      <vt:lpstr>lista_ext</vt:lpstr>
      <vt:lpstr>'10.Requisitos-Ley Preferencial'!lista_traspaso</vt:lpstr>
      <vt:lpstr>'17.Cambio de dueño deudor'!lista_traspaso</vt:lpstr>
      <vt:lpstr>lista_traspaso</vt:lpstr>
      <vt:lpstr>'10.Requisitos-Ley Preferencial'!lista_vaca</vt:lpstr>
      <vt:lpstr>'17.Cambio de dueño deudor'!lista_vaca</vt:lpstr>
      <vt:lpstr>lista_vaca</vt:lpstr>
      <vt:lpstr>'10.Requisitos-Ley Preferencial'!llave_programa</vt:lpstr>
      <vt:lpstr>'17.Cambio de dueño deudor'!llave_programa</vt:lpstr>
      <vt:lpstr>llave_programa</vt:lpstr>
      <vt:lpstr>'10.Requisitos-Ley Preferencial'!Mercado_</vt:lpstr>
      <vt:lpstr>'17.Cambio de dueño deudor'!Mercado_</vt:lpstr>
      <vt:lpstr>Mercado_</vt:lpstr>
      <vt:lpstr>mhtml_http___miredestrella_TasasyCargos_Documents_Tasas_20y_20Plazos_20junio_202016.mht</vt:lpstr>
      <vt:lpstr>nueva_usada</vt:lpstr>
      <vt:lpstr>'10.Requisitos-Ley Preferencial'!Oficina</vt:lpstr>
      <vt:lpstr>'17.Cambio de dueño deudor'!Oficina</vt:lpstr>
      <vt:lpstr>Oficina</vt:lpstr>
      <vt:lpstr>'17.Cambio de dueño deudor'!panama</vt:lpstr>
      <vt:lpstr>panama</vt:lpstr>
      <vt:lpstr>'10.Requisitos-Ley Preferencial'!participante</vt:lpstr>
      <vt:lpstr>'17.Cambio de dueño deudor'!participante</vt:lpstr>
      <vt:lpstr>participante</vt:lpstr>
      <vt:lpstr>'10.Requisitos-Ley Preferencial'!Pol_incendio</vt:lpstr>
      <vt:lpstr>'17.Cambio de dueño deudor'!Pol_incendio</vt:lpstr>
      <vt:lpstr>Pol_incendio</vt:lpstr>
      <vt:lpstr>'17.Cambio de dueño deudor'!politica</vt:lpstr>
      <vt:lpstr>politica</vt:lpstr>
      <vt:lpstr>'17.Cambio de dueño deudor'!politica_comb_2</vt:lpstr>
      <vt:lpstr>politica_comb_2</vt:lpstr>
      <vt:lpstr>'10.Requisitos-Ley Preferencial'!programa</vt:lpstr>
      <vt:lpstr>'17.Cambio de dueño deudor'!programa</vt:lpstr>
      <vt:lpstr>programa</vt:lpstr>
      <vt:lpstr>prueba</vt:lpstr>
      <vt:lpstr>relacion</vt:lpstr>
      <vt:lpstr>'10.Requisitos-Ley Preferencial'!relación</vt:lpstr>
      <vt:lpstr>'17.Cambio de dueño deudor'!relación</vt:lpstr>
      <vt:lpstr>relación</vt:lpstr>
      <vt:lpstr>'10.Requisitos-Ley Preferencial'!Renovación</vt:lpstr>
      <vt:lpstr>'17.Cambio de dueño deudor'!Renovación</vt:lpstr>
      <vt:lpstr>Renovación</vt:lpstr>
      <vt:lpstr>segmento</vt:lpstr>
      <vt:lpstr>sucursales</vt:lpstr>
      <vt:lpstr>calculadora!tasa1</vt:lpstr>
      <vt:lpstr>terreno</vt:lpstr>
      <vt:lpstr>'17.Cambio de dueño deudor'!tipo_cliente</vt:lpstr>
      <vt:lpstr>tipo_cliente</vt:lpstr>
      <vt:lpstr>'10.Requisitos-Ley Preferencial'!tipo_garantía</vt:lpstr>
      <vt:lpstr>'17.Cambio de dueño deudor'!tipo_garantía</vt:lpstr>
      <vt:lpstr>tipo_garantía</vt:lpstr>
      <vt:lpstr>'17.Cambio de dueño deudor'!ubi_promotor</vt:lpstr>
      <vt:lpstr>ubi_promotor</vt:lpstr>
      <vt:lpstr>'10.Requisitos-Ley Preferencial'!usada</vt:lpstr>
      <vt:lpstr>'17.Cambio de dueño deudor'!usada</vt:lpstr>
      <vt:lpstr>usada</vt:lpstr>
      <vt:lpstr>'10.Requisitos-Ley Preferencial'!uso_propiedad</vt:lpstr>
      <vt:lpstr>'17.Cambio de dueño deudor'!uso_propiedad</vt:lpstr>
      <vt:lpstr>uso_propiedad</vt:lpstr>
      <vt:lpstr>vacacional</vt:lpstr>
      <vt:lpstr>Ver</vt:lpstr>
      <vt:lpstr>Ver_Tasas</vt:lpstr>
      <vt:lpstr>'10.Requisitos-Ley Preferencial'!vida</vt:lpstr>
      <vt:lpstr>'17.Cambio de dueño deudor'!vida</vt:lpstr>
      <vt:lpstr>vida</vt:lpstr>
    </vt:vector>
  </TitlesOfParts>
  <Company>BANCO GENERAL,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Hoja Cotización Hipotecas</dc:title>
  <dc:creator>LAlvarez</dc:creator>
  <cp:lastModifiedBy>Daniel Eduardo González</cp:lastModifiedBy>
  <cp:lastPrinted>2019-03-20T23:48:49Z</cp:lastPrinted>
  <dcterms:created xsi:type="dcterms:W3CDTF">2013-08-19T19:00:29Z</dcterms:created>
  <dcterms:modified xsi:type="dcterms:W3CDTF">2019-12-17T15:24:38Z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0x010100D1899023C231304B9DAB565EE292510F</vt:lpwstr>
  </property>
</Properties>
</file>