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dre\360 Capital Dropbox\Audrey Bernier\Finance Team\iLevel\Current files\2025 10 One pager\automatisation\"/>
    </mc:Choice>
  </mc:AlternateContent>
  <xr:revisionPtr revIDLastSave="0" documentId="8_{87198B93-DB86-4C61-ABFC-F663F93C9A97}" xr6:coauthVersionLast="47" xr6:coauthVersionMax="47" xr10:uidLastSave="{00000000-0000-0000-0000-000000000000}"/>
  <bookViews>
    <workbookView xWindow="-9790" yWindow="-21710" windowWidth="38620" windowHeight="21100" xr2:uid="{3EC0E78D-5444-418F-BAA0-C535012F6993}"/>
  </bookViews>
  <sheets>
    <sheet name="Guidoio" sheetId="1" r:id="rId1"/>
    <sheet name="JAMPY" sheetId="2" r:id="rId2"/>
  </sheets>
  <externalReferences>
    <externalReference r:id="rId3"/>
  </externalReferences>
  <definedNames>
    <definedName name="EntityName" localSheetId="0">Guidoio!$S$19</definedName>
    <definedName name="EntityName" localSheetId="1">JAMPY!$S$19</definedName>
    <definedName name="EntityName">#REF!</definedName>
    <definedName name="PeriodEndDate" localSheetId="0">Guidoio!$U$19</definedName>
    <definedName name="PeriodEndDate" localSheetId="1">JAMPY!$U$19</definedName>
    <definedName name="PeriodEndDate">#REF!</definedName>
    <definedName name="_xlnm.Print_Area" localSheetId="0">Guidoio!$K$17:$V$68</definedName>
    <definedName name="_xlnm.Print_Area" localSheetId="1">JAMPY!$K$17:$V$68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1" i="2" l="1"/>
  <c r="N63" i="2"/>
  <c r="N62" i="2"/>
  <c r="AA67" i="2"/>
  <c r="AB67" i="2" s="1"/>
  <c r="AA66" i="2"/>
  <c r="AB66" i="2" s="1"/>
  <c r="AA65" i="2"/>
  <c r="AB65" i="2" s="1"/>
  <c r="AA64" i="2"/>
  <c r="AB64" i="2" s="1"/>
  <c r="AA63" i="2"/>
  <c r="AB63" i="2" s="1"/>
  <c r="AA62" i="2"/>
  <c r="AB62" i="2" s="1"/>
  <c r="AA61" i="2"/>
  <c r="AB61" i="2" s="1"/>
  <c r="AA60" i="2"/>
  <c r="AB60" i="2" s="1"/>
  <c r="AA59" i="2"/>
  <c r="AB59" i="2" s="1"/>
  <c r="AA58" i="2"/>
  <c r="AB58" i="2" s="1"/>
  <c r="N57" i="2"/>
  <c r="N41" i="2"/>
  <c r="U42" i="2"/>
  <c r="T42" i="2"/>
  <c r="S42" i="2"/>
  <c r="R42" i="2"/>
  <c r="U41" i="2"/>
  <c r="T41" i="2"/>
  <c r="S41" i="2"/>
  <c r="R41" i="2"/>
  <c r="U40" i="2"/>
  <c r="T40" i="2"/>
  <c r="S40" i="2"/>
  <c r="R40" i="2"/>
  <c r="U39" i="2"/>
  <c r="T39" i="2"/>
  <c r="S39" i="2"/>
  <c r="R39" i="2"/>
  <c r="U38" i="2"/>
  <c r="T38" i="2"/>
  <c r="S38" i="2"/>
  <c r="R38" i="2"/>
  <c r="N38" i="2"/>
  <c r="N37" i="2"/>
  <c r="E36" i="2"/>
  <c r="M30" i="2"/>
  <c r="Q23" i="2"/>
  <c r="S4" i="2"/>
  <c r="N64" i="1"/>
  <c r="N63" i="1"/>
  <c r="N62" i="1"/>
  <c r="AA67" i="1"/>
  <c r="AB67" i="1" s="1"/>
  <c r="AA66" i="1"/>
  <c r="AB66" i="1" s="1"/>
  <c r="AA65" i="1"/>
  <c r="AB65" i="1" s="1"/>
  <c r="AA64" i="1"/>
  <c r="AB64" i="1" s="1"/>
  <c r="AA63" i="1"/>
  <c r="AB63" i="1" s="1"/>
  <c r="AA62" i="1"/>
  <c r="AB62" i="1" s="1"/>
  <c r="AA61" i="1"/>
  <c r="AB61" i="1" s="1"/>
  <c r="AA60" i="1"/>
  <c r="AB60" i="1" s="1"/>
  <c r="AA59" i="1"/>
  <c r="AB59" i="1" s="1"/>
  <c r="AA58" i="1"/>
  <c r="AB58" i="1" s="1"/>
  <c r="N57" i="1"/>
  <c r="N41" i="1"/>
  <c r="U42" i="1"/>
  <c r="T42" i="1"/>
  <c r="S42" i="1"/>
  <c r="R42" i="1"/>
  <c r="U41" i="1"/>
  <c r="T41" i="1"/>
  <c r="S41" i="1"/>
  <c r="R41" i="1"/>
  <c r="U40" i="1"/>
  <c r="T40" i="1"/>
  <c r="S40" i="1"/>
  <c r="R40" i="1"/>
  <c r="U39" i="1"/>
  <c r="T39" i="1"/>
  <c r="S39" i="1"/>
  <c r="R39" i="1"/>
  <c r="U38" i="1"/>
  <c r="T38" i="1"/>
  <c r="S38" i="1"/>
  <c r="R38" i="1"/>
  <c r="N38" i="1"/>
  <c r="N37" i="1"/>
  <c r="E36" i="1"/>
  <c r="M30" i="1"/>
  <c r="Q23" i="1"/>
  <c r="S4" i="1"/>
  <c r="N47" i="2"/>
  <c r="N45" i="2"/>
  <c r="N44" i="2"/>
  <c r="N47" i="1"/>
  <c r="N44" i="1"/>
  <c r="N45" i="1"/>
  <c r="S67" i="2"/>
  <c r="Q67" i="2"/>
  <c r="S66" i="2"/>
  <c r="Q66" i="2"/>
  <c r="S65" i="2"/>
  <c r="Q65" i="2"/>
  <c r="S64" i="2"/>
  <c r="Q64" i="2"/>
  <c r="S63" i="2"/>
  <c r="Q63" i="2"/>
  <c r="S62" i="2"/>
  <c r="Q62" i="2"/>
  <c r="S61" i="2"/>
  <c r="Q61" i="2"/>
  <c r="U55" i="2"/>
  <c r="T55" i="2"/>
  <c r="S55" i="2"/>
  <c r="R55" i="2"/>
  <c r="Q55" i="2"/>
  <c r="U54" i="2"/>
  <c r="T54" i="2"/>
  <c r="S54" i="2"/>
  <c r="R54" i="2"/>
  <c r="Q54" i="2"/>
  <c r="U53" i="2"/>
  <c r="T53" i="2"/>
  <c r="S53" i="2"/>
  <c r="R53" i="2"/>
  <c r="Q53" i="2"/>
  <c r="U52" i="2"/>
  <c r="T52" i="2"/>
  <c r="S52" i="2"/>
  <c r="R52" i="2"/>
  <c r="Q52" i="2"/>
  <c r="U51" i="2"/>
  <c r="T51" i="2"/>
  <c r="S51" i="2"/>
  <c r="R51" i="2"/>
  <c r="Q51" i="2"/>
  <c r="M51" i="2"/>
  <c r="U50" i="2"/>
  <c r="T50" i="2"/>
  <c r="S50" i="2"/>
  <c r="R50" i="2"/>
  <c r="Q50" i="2"/>
  <c r="U49" i="2"/>
  <c r="T49" i="2"/>
  <c r="S49" i="2"/>
  <c r="R49" i="2"/>
  <c r="Q49" i="2"/>
  <c r="U48" i="2"/>
  <c r="T48" i="2"/>
  <c r="S48" i="2"/>
  <c r="R48" i="2"/>
  <c r="N39" i="2" s="1" a="1"/>
  <c r="N39" i="2" s="1"/>
  <c r="Q48" i="2"/>
  <c r="AB14" i="2"/>
  <c r="AA14" i="2"/>
  <c r="U14" i="2"/>
  <c r="T14" i="2"/>
  <c r="S14" i="2"/>
  <c r="R14" i="2"/>
  <c r="Q14" i="2"/>
  <c r="N14" i="2"/>
  <c r="M14" i="2"/>
  <c r="AB13" i="2"/>
  <c r="AA13" i="2"/>
  <c r="U13" i="2"/>
  <c r="T13" i="2"/>
  <c r="S13" i="2"/>
  <c r="R13" i="2"/>
  <c r="Q13" i="2"/>
  <c r="N13" i="2"/>
  <c r="M13" i="2"/>
  <c r="AB12" i="2"/>
  <c r="AA12" i="2"/>
  <c r="U12" i="2"/>
  <c r="T12" i="2"/>
  <c r="S12" i="2"/>
  <c r="R12" i="2"/>
  <c r="Q12" i="2"/>
  <c r="N12" i="2"/>
  <c r="M12" i="2"/>
  <c r="AB11" i="2"/>
  <c r="AA11" i="2"/>
  <c r="U11" i="2"/>
  <c r="T11" i="2"/>
  <c r="S11" i="2"/>
  <c r="R11" i="2"/>
  <c r="Q11" i="2"/>
  <c r="N11" i="2"/>
  <c r="M11" i="2"/>
  <c r="AB10" i="2"/>
  <c r="AA10" i="2"/>
  <c r="U10" i="2"/>
  <c r="T10" i="2"/>
  <c r="S10" i="2"/>
  <c r="R10" i="2"/>
  <c r="Q10" i="2"/>
  <c r="N10" i="2"/>
  <c r="M10" i="2"/>
  <c r="AB9" i="2"/>
  <c r="AA9" i="2"/>
  <c r="U9" i="2"/>
  <c r="T9" i="2"/>
  <c r="S9" i="2"/>
  <c r="R9" i="2"/>
  <c r="Q9" i="2"/>
  <c r="N9" i="2"/>
  <c r="M9" i="2"/>
  <c r="AB8" i="2"/>
  <c r="AA8" i="2"/>
  <c r="U8" i="2"/>
  <c r="T8" i="2"/>
  <c r="S8" i="2"/>
  <c r="R8" i="2"/>
  <c r="Q8" i="2"/>
  <c r="N8" i="2"/>
  <c r="M8" i="2"/>
  <c r="AB7" i="2"/>
  <c r="AA7" i="2"/>
  <c r="U7" i="2"/>
  <c r="T7" i="2"/>
  <c r="S7" i="2"/>
  <c r="R7" i="2"/>
  <c r="Q7" i="2"/>
  <c r="N7" i="2"/>
  <c r="M7" i="2"/>
  <c r="AB6" i="2"/>
  <c r="AA6" i="2"/>
  <c r="U6" i="2"/>
  <c r="T6" i="2"/>
  <c r="S6" i="2"/>
  <c r="R6" i="2"/>
  <c r="Q6" i="2"/>
  <c r="N6" i="2"/>
  <c r="M6" i="2"/>
  <c r="Q4" i="2"/>
  <c r="N4" i="2"/>
  <c r="M4" i="2"/>
  <c r="H3" i="2"/>
  <c r="R3" i="2" s="1"/>
  <c r="H2" i="2"/>
  <c r="H1" i="2"/>
  <c r="S67" i="1"/>
  <c r="Q67" i="1"/>
  <c r="S66" i="1"/>
  <c r="Q66" i="1"/>
  <c r="S65" i="1"/>
  <c r="Q65" i="1"/>
  <c r="U55" i="1"/>
  <c r="T55" i="1"/>
  <c r="S55" i="1"/>
  <c r="R55" i="1"/>
  <c r="Q55" i="1"/>
  <c r="U54" i="1"/>
  <c r="T54" i="1"/>
  <c r="S54" i="1"/>
  <c r="R54" i="1"/>
  <c r="Q54" i="1"/>
  <c r="U53" i="1"/>
  <c r="T53" i="1"/>
  <c r="S53" i="1"/>
  <c r="R53" i="1"/>
  <c r="Q53" i="1"/>
  <c r="U52" i="1"/>
  <c r="T52" i="1"/>
  <c r="S52" i="1"/>
  <c r="R52" i="1"/>
  <c r="Q52" i="1"/>
  <c r="U51" i="1"/>
  <c r="T51" i="1"/>
  <c r="S51" i="1"/>
  <c r="R51" i="1"/>
  <c r="Q51" i="1"/>
  <c r="M51" i="1"/>
  <c r="U50" i="1"/>
  <c r="T50" i="1"/>
  <c r="S50" i="1"/>
  <c r="R50" i="1"/>
  <c r="Q50" i="1"/>
  <c r="U49" i="1"/>
  <c r="T49" i="1"/>
  <c r="S49" i="1"/>
  <c r="R49" i="1"/>
  <c r="Q49" i="1"/>
  <c r="U48" i="1"/>
  <c r="T48" i="1"/>
  <c r="S48" i="1"/>
  <c r="R48" i="1"/>
  <c r="N39" i="1" s="1" a="1"/>
  <c r="N39" i="1" s="1"/>
  <c r="Q48" i="1"/>
  <c r="AB14" i="1"/>
  <c r="AA14" i="1"/>
  <c r="U14" i="1"/>
  <c r="T14" i="1"/>
  <c r="S14" i="1"/>
  <c r="R14" i="1"/>
  <c r="Q14" i="1"/>
  <c r="N14" i="1"/>
  <c r="M14" i="1"/>
  <c r="AB13" i="1"/>
  <c r="AA13" i="1"/>
  <c r="U13" i="1"/>
  <c r="T13" i="1"/>
  <c r="S13" i="1"/>
  <c r="R13" i="1"/>
  <c r="Q13" i="1"/>
  <c r="N13" i="1"/>
  <c r="M13" i="1"/>
  <c r="AB12" i="1"/>
  <c r="AA12" i="1"/>
  <c r="U12" i="1"/>
  <c r="T12" i="1"/>
  <c r="S12" i="1"/>
  <c r="R12" i="1"/>
  <c r="Q12" i="1"/>
  <c r="N12" i="1"/>
  <c r="M12" i="1"/>
  <c r="AB11" i="1"/>
  <c r="AA11" i="1"/>
  <c r="U11" i="1"/>
  <c r="T11" i="1"/>
  <c r="S11" i="1"/>
  <c r="R11" i="1"/>
  <c r="Q11" i="1"/>
  <c r="N11" i="1"/>
  <c r="M11" i="1"/>
  <c r="AB10" i="1"/>
  <c r="AA10" i="1"/>
  <c r="U10" i="1"/>
  <c r="T10" i="1"/>
  <c r="S10" i="1"/>
  <c r="R10" i="1"/>
  <c r="Q10" i="1"/>
  <c r="N10" i="1"/>
  <c r="M10" i="1"/>
  <c r="AB9" i="1"/>
  <c r="AA9" i="1"/>
  <c r="U9" i="1"/>
  <c r="T9" i="1"/>
  <c r="S9" i="1"/>
  <c r="R9" i="1"/>
  <c r="Q9" i="1"/>
  <c r="N9" i="1"/>
  <c r="M9" i="1"/>
  <c r="AB8" i="1"/>
  <c r="AA8" i="1"/>
  <c r="U8" i="1"/>
  <c r="T8" i="1"/>
  <c r="S8" i="1"/>
  <c r="R8" i="1"/>
  <c r="Q8" i="1"/>
  <c r="N8" i="1"/>
  <c r="M8" i="1"/>
  <c r="AB7" i="1"/>
  <c r="AA7" i="1"/>
  <c r="U7" i="1"/>
  <c r="T7" i="1"/>
  <c r="S7" i="1"/>
  <c r="R7" i="1"/>
  <c r="Q7" i="1"/>
  <c r="N7" i="1"/>
  <c r="M7" i="1"/>
  <c r="AB6" i="1"/>
  <c r="AA6" i="1"/>
  <c r="U6" i="1"/>
  <c r="T6" i="1"/>
  <c r="S6" i="1"/>
  <c r="R6" i="1"/>
  <c r="Q6" i="1"/>
  <c r="N6" i="1"/>
  <c r="M6" i="1"/>
  <c r="Q4" i="1"/>
  <c r="N4" i="1"/>
  <c r="M4" i="1"/>
  <c r="H3" i="1"/>
  <c r="S3" i="1" s="1"/>
  <c r="H2" i="1"/>
  <c r="H1" i="1"/>
  <c r="N2" i="2" l="1"/>
  <c r="Q2" i="1"/>
  <c r="AB2" i="2"/>
  <c r="AA2" i="2"/>
  <c r="M1" i="1"/>
  <c r="H5" i="2"/>
  <c r="AA5" i="2" s="1"/>
  <c r="H5" i="1"/>
  <c r="AB5" i="1" s="1"/>
  <c r="Q2" i="2"/>
  <c r="R2" i="2"/>
  <c r="S2" i="2"/>
  <c r="T2" i="2"/>
  <c r="U2" i="2"/>
  <c r="R2" i="1"/>
  <c r="S2" i="1"/>
  <c r="M1" i="2"/>
  <c r="T2" i="1"/>
  <c r="N1" i="2"/>
  <c r="N1" i="1"/>
  <c r="U2" i="1"/>
  <c r="Q1" i="2"/>
  <c r="Q1" i="1"/>
  <c r="AA2" i="1"/>
  <c r="R1" i="2"/>
  <c r="R1" i="1"/>
  <c r="S1" i="2"/>
  <c r="S1" i="1"/>
  <c r="T3" i="1"/>
  <c r="T1" i="2"/>
  <c r="T1" i="1"/>
  <c r="U3" i="1"/>
  <c r="AB4" i="1" s="1"/>
  <c r="U1" i="2"/>
  <c r="S3" i="2"/>
  <c r="U1" i="1"/>
  <c r="AA3" i="1"/>
  <c r="AA1" i="2"/>
  <c r="T3" i="2"/>
  <c r="AA1" i="1"/>
  <c r="AB3" i="1"/>
  <c r="AB1" i="2"/>
  <c r="U3" i="2"/>
  <c r="AB1" i="1"/>
  <c r="AA3" i="2"/>
  <c r="AB3" i="2"/>
  <c r="AB2" i="1"/>
  <c r="M3" i="1"/>
  <c r="M2" i="1"/>
  <c r="M21" i="1" s="1"/>
  <c r="Q3" i="1"/>
  <c r="N3" i="2"/>
  <c r="N2" i="1"/>
  <c r="R3" i="1"/>
  <c r="M2" i="2"/>
  <c r="M21" i="2" s="1"/>
  <c r="Q3" i="2"/>
  <c r="N3" i="1"/>
  <c r="M3" i="2"/>
  <c r="M5" i="1" l="1"/>
  <c r="M5" i="2"/>
  <c r="N5" i="1"/>
  <c r="AA5" i="1"/>
  <c r="U5" i="1"/>
  <c r="S5" i="2"/>
  <c r="Q5" i="2"/>
  <c r="N5" i="2"/>
  <c r="T5" i="1"/>
  <c r="R5" i="2"/>
  <c r="S5" i="1"/>
  <c r="U5" i="2"/>
  <c r="R5" i="1"/>
  <c r="T5" i="2"/>
  <c r="Q5" i="1"/>
  <c r="AB5" i="2"/>
  <c r="U4" i="1"/>
  <c r="AA4" i="1"/>
  <c r="AB4" i="2"/>
  <c r="AA4" i="2"/>
  <c r="U4" i="2"/>
  <c r="E37" i="2"/>
  <c r="E38" i="2" s="1"/>
  <c r="E35" i="2"/>
  <c r="E34" i="2" s="1"/>
  <c r="E33" i="2" s="1"/>
  <c r="E32" i="2" s="1"/>
  <c r="E31" i="2" s="1"/>
  <c r="E30" i="2" s="1"/>
  <c r="E29" i="2" s="1"/>
  <c r="E28" i="2" s="1"/>
  <c r="E27" i="2" s="1"/>
  <c r="E26" i="2" s="1"/>
  <c r="E25" i="2" s="1"/>
  <c r="E24" i="2" s="1"/>
  <c r="E23" i="2" s="1"/>
  <c r="E22" i="2" s="1"/>
  <c r="E21" i="2" s="1"/>
  <c r="E37" i="1"/>
  <c r="E38" i="1" s="1"/>
  <c r="E35" i="1"/>
  <c r="E34" i="1" s="1"/>
  <c r="E33" i="1" s="1"/>
  <c r="E32" i="1" s="1"/>
  <c r="E31" i="1" s="1"/>
  <c r="E30" i="1" s="1"/>
  <c r="E29" i="1" s="1"/>
  <c r="E28" i="1" s="1"/>
  <c r="E27" i="1" s="1"/>
  <c r="E26" i="1" s="1"/>
  <c r="E25" i="1" s="1"/>
  <c r="E24" i="1" s="1"/>
  <c r="E23" i="1" s="1"/>
  <c r="E22" i="1" s="1"/>
  <c r="E21" i="1" s="1"/>
  <c r="R4" i="1"/>
  <c r="S37" i="1"/>
  <c r="R4" i="2" l="1"/>
  <c r="N46" i="1"/>
  <c r="S37" i="2"/>
  <c r="T4" i="1"/>
  <c r="U37" i="1"/>
  <c r="T4" i="2"/>
  <c r="U37" i="2"/>
  <c r="R37" i="1"/>
  <c r="R37" i="2" l="1"/>
  <c r="N46" i="2"/>
  <c r="H58" i="2" a="1"/>
  <c r="H58" i="1" a="1"/>
  <c r="T37" i="2"/>
  <c r="T37" i="1"/>
  <c r="H58" i="1" l="1"/>
  <c r="Q58" i="1" s="1"/>
  <c r="S58" i="1"/>
  <c r="S62" i="1"/>
  <c r="S59" i="1"/>
  <c r="Q62" i="1"/>
  <c r="S60" i="1"/>
  <c r="Q63" i="1"/>
  <c r="S64" i="1"/>
  <c r="S63" i="1"/>
  <c r="Q64" i="1"/>
  <c r="Q59" i="1"/>
  <c r="Q60" i="1"/>
  <c r="S61" i="1"/>
  <c r="Q61" i="1"/>
  <c r="H58" i="2"/>
  <c r="Q58" i="2" s="1"/>
  <c r="S5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</futureMetadata>
  <cellMetadata count="1">
    <bk>
      <rc t="1" v="0"/>
    </bk>
  </cellMetadata>
  <valueMetadata count="6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</valueMetadata>
</metadata>
</file>

<file path=xl/sharedStrings.xml><?xml version="1.0" encoding="utf-8"?>
<sst xmlns="http://schemas.openxmlformats.org/spreadsheetml/2006/main" count="439" uniqueCount="186">
  <si>
    <t>Fund</t>
  </si>
  <si>
    <t>Asset</t>
  </si>
  <si>
    <t>Period End</t>
  </si>
  <si>
    <t>Period End II</t>
  </si>
  <si>
    <t>Current</t>
  </si>
  <si>
    <t>As of Date</t>
  </si>
  <si>
    <t>As of Date II</t>
  </si>
  <si>
    <t>Period Length</t>
  </si>
  <si>
    <t>RP</t>
  </si>
  <si>
    <t>Period Length II</t>
  </si>
  <si>
    <t>L3M</t>
  </si>
  <si>
    <t>Period Length III</t>
  </si>
  <si>
    <t>CYTD</t>
  </si>
  <si>
    <t>Scenario</t>
  </si>
  <si>
    <t>Actual</t>
  </si>
  <si>
    <t>Currency</t>
  </si>
  <si>
    <t>RC</t>
  </si>
  <si>
    <t>Scaling</t>
  </si>
  <si>
    <t>Not Scaled</t>
  </si>
  <si>
    <t>Scaling II</t>
  </si>
  <si>
    <t>Millions</t>
  </si>
  <si>
    <t>FX Type</t>
  </si>
  <si>
    <t>Spot</t>
  </si>
  <si>
    <t>TEMPLATE IT</t>
  </si>
  <si>
    <t>360 DIGITALY</t>
  </si>
  <si>
    <t>Guidoio</t>
  </si>
  <si>
    <t>360 Capital 2011</t>
  </si>
  <si>
    <t>A share</t>
  </si>
  <si>
    <t>B share</t>
  </si>
  <si>
    <t>Description</t>
  </si>
  <si>
    <t>360 Fund V</t>
  </si>
  <si>
    <t>Business Description (Long)</t>
  </si>
  <si>
    <t>360 Life II Italian Sub-Fund</t>
  </si>
  <si>
    <t>JAMPY</t>
  </si>
  <si>
    <t>360 Life II Main Sub-Fund</t>
  </si>
  <si>
    <t>Movopack</t>
  </si>
  <si>
    <t>360 Polimi TT Fund</t>
  </si>
  <si>
    <t>SOOURCE</t>
  </si>
  <si>
    <t>360 SICAF</t>
  </si>
  <si>
    <t>TALENTWARE</t>
  </si>
  <si>
    <t>360 SQUARE</t>
  </si>
  <si>
    <t>Tundr</t>
  </si>
  <si>
    <t>360 Square II</t>
  </si>
  <si>
    <t>ZEFI</t>
  </si>
  <si>
    <t>Main developments and outlook</t>
  </si>
  <si>
    <t>Main developments</t>
  </si>
  <si>
    <t>A+360</t>
  </si>
  <si>
    <t>FONDO PARALLELO LV 360</t>
  </si>
  <si>
    <t>POLI360 2</t>
  </si>
  <si>
    <t>Robolution Capital I</t>
  </si>
  <si>
    <t>Test Fund</t>
  </si>
  <si>
    <t>Summary</t>
  </si>
  <si>
    <t>Transaction Date</t>
  </si>
  <si>
    <t>Amount</t>
  </si>
  <si>
    <t>Transaction ID</t>
  </si>
  <si>
    <t>Website</t>
  </si>
  <si>
    <t xml:space="preserve">Website </t>
  </si>
  <si>
    <t>Financials
year-to-date (M€)</t>
  </si>
  <si>
    <t>At cost: BoI rules // Last round is a Series A round with a €8M pre-money valuation and a total financing round of €3.65M.</t>
  </si>
  <si>
    <t>Geography</t>
  </si>
  <si>
    <t>ARR</t>
  </si>
  <si>
    <t>Location</t>
  </si>
  <si>
    <t>Mark to Market: at cost Q4 2024 +A €500K SAFE and a €155K founder secondary purchase divided between the Sicaf and Digitaly, each participating equally (50/50).</t>
  </si>
  <si>
    <t>Serie</t>
  </si>
  <si>
    <t>Sales - Year to Date (in EUR)</t>
  </si>
  <si>
    <t>Stage of initial investment</t>
  </si>
  <si>
    <t>Revenue</t>
  </si>
  <si>
    <t>At cost: Q4 2024 investment</t>
  </si>
  <si>
    <t>EBITDA - Year to Date (in EUR)</t>
  </si>
  <si>
    <t>EBITDA</t>
  </si>
  <si>
    <t>Fund role in the initial investment</t>
  </si>
  <si>
    <t>Debt - last position available (in EUR)</t>
  </si>
  <si>
    <t>Role in the initial investment</t>
  </si>
  <si>
    <t>Financial debt</t>
  </si>
  <si>
    <t>Cash - last position available (in EUR)</t>
  </si>
  <si>
    <t>Cash</t>
  </si>
  <si>
    <t>Nb of employees (FTE)</t>
  </si>
  <si>
    <t>FTE</t>
  </si>
  <si>
    <t>Invest</t>
  </si>
  <si>
    <t>Amount invested</t>
  </si>
  <si>
    <t>Valuation</t>
  </si>
  <si>
    <t>Fair Value</t>
  </si>
  <si>
    <t>Multiple</t>
  </si>
  <si>
    <t>Valuation (BoI rules)</t>
  </si>
  <si>
    <t>Fair Value 
(BoI rules)</t>
  </si>
  <si>
    <t xml:space="preserve">Date of Investment </t>
  </si>
  <si>
    <t>Stage/Type</t>
  </si>
  <si>
    <t>Invested amount (€M)</t>
  </si>
  <si>
    <t>Pre-money Valuation (€M)</t>
  </si>
  <si>
    <t>Total size of the round (€M)</t>
  </si>
  <si>
    <t>Stage</t>
  </si>
  <si>
    <t>Pre-money valuation</t>
  </si>
  <si>
    <t>Total size of the round</t>
  </si>
  <si>
    <t>Pre-Seed</t>
  </si>
  <si>
    <t>Secondary</t>
  </si>
  <si>
    <t>Valuation comment</t>
  </si>
  <si>
    <t>Series A</t>
  </si>
  <si>
    <t>Sort Data Column</t>
  </si>
  <si>
    <t>Management</t>
  </si>
  <si>
    <t/>
  </si>
  <si>
    <t>Investor name</t>
  </si>
  <si>
    <t>Ownership</t>
  </si>
  <si>
    <t>Segment 01</t>
  </si>
  <si>
    <t>Co-Investor Name</t>
  </si>
  <si>
    <t>Co-Investor Stake</t>
  </si>
  <si>
    <t>Segment 02</t>
  </si>
  <si>
    <t>Segment 03</t>
  </si>
  <si>
    <t>Segment 04</t>
  </si>
  <si>
    <t>Board member</t>
  </si>
  <si>
    <t>Segment 05</t>
  </si>
  <si>
    <t>Board observer</t>
  </si>
  <si>
    <t>Segment 06</t>
  </si>
  <si>
    <t>Business field</t>
  </si>
  <si>
    <t>Segment 07</t>
  </si>
  <si>
    <t>Industry</t>
  </si>
  <si>
    <t>Segment 08</t>
  </si>
  <si>
    <t>Segment 09</t>
  </si>
  <si>
    <t>Segment 10</t>
  </si>
  <si>
    <t>LOGO</t>
  </si>
  <si>
    <t>Adapta Studio</t>
  </si>
  <si>
    <t>Aerleum</t>
  </si>
  <si>
    <t>AGADE</t>
  </si>
  <si>
    <t>Banca Aidexa</t>
  </si>
  <si>
    <t>Arbe Robotics</t>
  </si>
  <si>
    <t>Beanstock</t>
  </si>
  <si>
    <t>Beem Energy</t>
  </si>
  <si>
    <t>C12 Quantum Electronics</t>
  </si>
  <si>
    <t>CAEmate</t>
  </si>
  <si>
    <t>Callyope</t>
  </si>
  <si>
    <t>Carpe Carbon</t>
  </si>
  <si>
    <t>Casavo</t>
  </si>
  <si>
    <t>Charitystars</t>
  </si>
  <si>
    <t>Circular Materials</t>
  </si>
  <si>
    <t>Cubyn</t>
  </si>
  <si>
    <t>Diffly</t>
  </si>
  <si>
    <t>Energy Dome</t>
  </si>
  <si>
    <t>Enspired</t>
  </si>
  <si>
    <t>Equixly</t>
  </si>
  <si>
    <t>Exotec</t>
  </si>
  <si>
    <t>Exotrail</t>
  </si>
  <si>
    <t>EYE4NIR</t>
  </si>
  <si>
    <t>Ez-Wheel</t>
  </si>
  <si>
    <t>Fotokite</t>
  </si>
  <si>
    <t>GEVI</t>
  </si>
  <si>
    <t>GrAI Matter Labs</t>
  </si>
  <si>
    <t>Greyparrot</t>
  </si>
  <si>
    <t>Heyteam</t>
  </si>
  <si>
    <t>ID5</t>
  </si>
  <si>
    <t>in&amp;motion</t>
  </si>
  <si>
    <t>Ingage</t>
  </si>
  <si>
    <t>Innoviz Technologies</t>
  </si>
  <si>
    <t>Inxpect</t>
  </si>
  <si>
    <t>IriusRisk</t>
  </si>
  <si>
    <t>Isaac</t>
  </si>
  <si>
    <t>Kampaay</t>
  </si>
  <si>
    <t>Korint</t>
  </si>
  <si>
    <t>Le Slip Français</t>
  </si>
  <si>
    <t>Lithium Lasers</t>
  </si>
  <si>
    <t>MelaWorks</t>
  </si>
  <si>
    <t>NeuroNova</t>
  </si>
  <si>
    <t>NEWTWEN</t>
  </si>
  <si>
    <t>NOCEnergy</t>
  </si>
  <si>
    <t>Pallon (ex-Hades)</t>
  </si>
  <si>
    <t>Phononic Vibes</t>
  </si>
  <si>
    <t>PhotonPath</t>
  </si>
  <si>
    <t>Prophesee</t>
  </si>
  <si>
    <t>QLIP</t>
  </si>
  <si>
    <t>Resilco</t>
  </si>
  <si>
    <t>Sinergy Flow</t>
  </si>
  <si>
    <t>Siteflow</t>
  </si>
  <si>
    <t>Skillvue</t>
  </si>
  <si>
    <t>Sophia Genetics</t>
  </si>
  <si>
    <t>Specify</t>
  </si>
  <si>
    <t>The Socialite Family</t>
  </si>
  <si>
    <t>Traefik</t>
  </si>
  <si>
    <t>Unseenlabs</t>
  </si>
  <si>
    <t>Via Sana</t>
  </si>
  <si>
    <t>Voidless</t>
  </si>
  <si>
    <t>Wakeo</t>
  </si>
  <si>
    <t>Xceed</t>
  </si>
  <si>
    <t>InvestmentCashFlows(2, 4)</t>
  </si>
  <si>
    <t>InvestmentCashFlows(2, 5)</t>
  </si>
  <si>
    <t>InvestmentCashFlows(4, 4)</t>
  </si>
  <si>
    <t>InvestmentCashFlows(5, 5)</t>
  </si>
  <si>
    <t>Funds(14, 1)</t>
  </si>
  <si>
    <t>Assets(9,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</si>
</sst>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-yyyy"/>
    <numFmt numFmtId="165" formatCode="_(* #,##0.00_);_(* \(#,##0.00\);_(* &quot;-&quot;??_);_(@_)"/>
    <numFmt numFmtId="166" formatCode="#,##0.0,,;\(#,##0.0,,\);\-"/>
    <numFmt numFmtId="167" formatCode="#,##0.0,,&quot; M€&quot;"/>
    <numFmt numFmtId="168" formatCode="0.00\x"/>
    <numFmt numFmtId="169" formatCode="#,##0,,;\(#,##0,,\);\-"/>
    <numFmt numFmtId="170" formatCode="dd/mm/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Montserrat"/>
    </font>
    <font>
      <sz val="11"/>
      <color theme="1"/>
      <name val="Montserrat"/>
    </font>
    <font>
      <b/>
      <sz val="12"/>
      <color rgb="FF0070C0"/>
      <name val="Montserrat"/>
    </font>
    <font>
      <sz val="11"/>
      <color rgb="FFFF0000"/>
      <name val="Montserrat"/>
    </font>
    <font>
      <b/>
      <sz val="9"/>
      <color theme="0" tint="-4.9989318521683403E-2"/>
      <name val="Montserrat"/>
    </font>
    <font>
      <b/>
      <sz val="10"/>
      <color theme="0"/>
      <name val="Montserrat"/>
    </font>
    <font>
      <sz val="9"/>
      <color theme="1"/>
      <name val="Montserrat"/>
    </font>
    <font>
      <b/>
      <sz val="12"/>
      <color theme="0"/>
      <name val="Montserrat"/>
    </font>
    <font>
      <b/>
      <sz val="9"/>
      <color theme="0"/>
      <name val="Montserrat"/>
    </font>
    <font>
      <sz val="9"/>
      <color theme="0"/>
      <name val="Montserrat"/>
    </font>
    <font>
      <b/>
      <sz val="9"/>
      <color theme="1"/>
      <name val="Montserrat"/>
    </font>
    <font>
      <sz val="8"/>
      <color theme="1"/>
      <name val="Montserrat"/>
    </font>
    <font>
      <sz val="11"/>
      <color rgb="FF0070C0"/>
      <name val="Montserrat"/>
    </font>
    <font>
      <b/>
      <sz val="8"/>
      <color theme="1"/>
      <name val="Montserrat"/>
    </font>
    <font>
      <u/>
      <sz val="11"/>
      <color theme="10"/>
      <name val="Aptos Narrow"/>
      <family val="2"/>
      <scheme val="minor"/>
    </font>
    <font>
      <u/>
      <sz val="8"/>
      <color theme="10"/>
      <name val="Montserrat"/>
    </font>
    <font>
      <b/>
      <sz val="8"/>
      <color theme="0"/>
      <name val="Montserrat"/>
    </font>
    <font>
      <sz val="8"/>
      <color rgb="FF0070C0"/>
      <name val="Montserrat"/>
    </font>
    <font>
      <b/>
      <sz val="11"/>
      <color rgb="FFFF000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2202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theme="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theme="0"/>
      </right>
      <top/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indexed="64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medium">
        <color rgb="FFFF0000"/>
      </left>
      <right/>
      <top style="medium">
        <color rgb="FFFF0000"/>
      </top>
      <bottom style="thin">
        <color theme="1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rgb="FFFF0000"/>
      </left>
      <right/>
      <top style="thin">
        <color theme="1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1" xfId="0" applyFont="1" applyBorder="1"/>
    <xf numFmtId="0" fontId="3" fillId="0" borderId="2" xfId="0" applyFont="1" applyBorder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2" fillId="0" borderId="4" xfId="0" applyFont="1" applyBorder="1"/>
    <xf numFmtId="0" fontId="3" fillId="0" borderId="5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14" fontId="3" fillId="0" borderId="5" xfId="0" applyNumberFormat="1" applyFont="1" applyBorder="1" applyAlignment="1">
      <alignment horizontal="right"/>
    </xf>
    <xf numFmtId="14" fontId="3" fillId="0" borderId="4" xfId="0" applyNumberFormat="1" applyFont="1" applyBorder="1" applyAlignment="1">
      <alignment horizontal="right"/>
    </xf>
    <xf numFmtId="14" fontId="3" fillId="0" borderId="6" xfId="0" applyNumberFormat="1" applyFont="1" applyBorder="1" applyAlignment="1">
      <alignment horizontal="right"/>
    </xf>
    <xf numFmtId="0" fontId="2" fillId="0" borderId="7" xfId="0" applyFont="1" applyBorder="1"/>
    <xf numFmtId="0" fontId="3" fillId="0" borderId="8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4" fillId="2" borderId="0" xfId="0" applyFont="1" applyFill="1"/>
    <xf numFmtId="0" fontId="5" fillId="0" borderId="0" xfId="0" applyFont="1"/>
    <xf numFmtId="0" fontId="6" fillId="3" borderId="0" xfId="0" applyFont="1" applyFill="1"/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/>
    <xf numFmtId="0" fontId="9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0" fontId="10" fillId="3" borderId="0" xfId="0" applyFont="1" applyFill="1"/>
    <xf numFmtId="0" fontId="11" fillId="3" borderId="0" xfId="0" applyFont="1" applyFill="1"/>
    <xf numFmtId="0" fontId="3" fillId="0" borderId="10" xfId="0" applyFont="1" applyBorder="1"/>
    <xf numFmtId="14" fontId="3" fillId="0" borderId="10" xfId="0" applyNumberFormat="1" applyFont="1" applyBorder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 vertical="center"/>
    </xf>
    <xf numFmtId="0" fontId="12" fillId="0" borderId="0" xfId="0" applyFont="1"/>
    <xf numFmtId="0" fontId="13" fillId="0" borderId="10" xfId="0" applyFont="1" applyBorder="1"/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0" fillId="0" borderId="0" xfId="0" applyFont="1" applyAlignment="1">
      <alignment vertical="center"/>
    </xf>
    <xf numFmtId="0" fontId="13" fillId="0" borderId="0" xfId="0" applyFont="1"/>
    <xf numFmtId="0" fontId="1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2" fillId="0" borderId="17" xfId="0" applyFont="1" applyBorder="1"/>
    <xf numFmtId="14" fontId="3" fillId="0" borderId="14" xfId="0" applyNumberFormat="1" applyFont="1" applyBorder="1" applyAlignment="1">
      <alignment horizontal="center"/>
    </xf>
    <xf numFmtId="14" fontId="13" fillId="0" borderId="10" xfId="0" applyNumberFormat="1" applyFont="1" applyBorder="1"/>
    <xf numFmtId="0" fontId="8" fillId="0" borderId="18" xfId="0" applyFont="1" applyBorder="1"/>
    <xf numFmtId="0" fontId="15" fillId="0" borderId="19" xfId="0" applyFont="1" applyBorder="1" applyAlignment="1">
      <alignment horizontal="left" vertical="center" wrapText="1"/>
    </xf>
    <xf numFmtId="0" fontId="17" fillId="0" borderId="20" xfId="3" applyFont="1" applyBorder="1" applyAlignment="1">
      <alignment horizontal="right" vertical="center" wrapText="1"/>
    </xf>
    <xf numFmtId="0" fontId="8" fillId="0" borderId="21" xfId="0" applyFont="1" applyBorder="1"/>
    <xf numFmtId="0" fontId="18" fillId="3" borderId="22" xfId="0" applyFont="1" applyFill="1" applyBorder="1" applyAlignment="1">
      <alignment horizontal="left" vertical="center" wrapText="1"/>
    </xf>
    <xf numFmtId="164" fontId="18" fillId="3" borderId="23" xfId="0" applyNumberFormat="1" applyFont="1" applyFill="1" applyBorder="1" applyAlignment="1">
      <alignment horizontal="center" vertical="center"/>
    </xf>
    <xf numFmtId="164" fontId="18" fillId="3" borderId="22" xfId="0" applyNumberFormat="1" applyFont="1" applyFill="1" applyBorder="1" applyAlignment="1">
      <alignment horizontal="center" vertical="center"/>
    </xf>
    <xf numFmtId="0" fontId="8" fillId="0" borderId="24" xfId="0" applyFont="1" applyBorder="1"/>
    <xf numFmtId="0" fontId="15" fillId="0" borderId="25" xfId="0" applyFont="1" applyBorder="1" applyAlignment="1">
      <alignment horizontal="left" vertical="center" wrapText="1"/>
    </xf>
    <xf numFmtId="0" fontId="13" fillId="0" borderId="0" xfId="0" applyFont="1" applyAlignment="1">
      <alignment horizontal="right" vertical="center" wrapText="1"/>
    </xf>
    <xf numFmtId="0" fontId="8" fillId="0" borderId="26" xfId="0" applyFont="1" applyBorder="1"/>
    <xf numFmtId="164" fontId="13" fillId="4" borderId="27" xfId="0" applyNumberFormat="1" applyFont="1" applyFill="1" applyBorder="1" applyAlignment="1">
      <alignment horizontal="left"/>
    </xf>
    <xf numFmtId="166" fontId="13" fillId="4" borderId="27" xfId="1" applyNumberFormat="1" applyFont="1" applyFill="1" applyBorder="1" applyAlignment="1">
      <alignment horizontal="center" vertical="center"/>
    </xf>
    <xf numFmtId="166" fontId="13" fillId="4" borderId="0" xfId="1" applyNumberFormat="1" applyFont="1" applyFill="1" applyBorder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3" fillId="0" borderId="0" xfId="0" applyFont="1" applyAlignment="1">
      <alignment horizontal="right" vertical="center" wrapText="1"/>
    </xf>
    <xf numFmtId="0" fontId="13" fillId="0" borderId="26" xfId="0" applyFont="1" applyBorder="1"/>
    <xf numFmtId="164" fontId="13" fillId="0" borderId="27" xfId="0" applyNumberFormat="1" applyFont="1" applyBorder="1" applyAlignment="1">
      <alignment horizontal="left"/>
    </xf>
    <xf numFmtId="166" fontId="13" fillId="0" borderId="0" xfId="1" applyNumberFormat="1" applyFont="1" applyFill="1" applyBorder="1" applyAlignment="1">
      <alignment horizontal="center" vertical="center"/>
    </xf>
    <xf numFmtId="166" fontId="13" fillId="0" borderId="27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49" fontId="13" fillId="0" borderId="27" xfId="0" applyNumberFormat="1" applyFont="1" applyBorder="1" applyAlignment="1">
      <alignment horizontal="left"/>
    </xf>
    <xf numFmtId="49" fontId="13" fillId="0" borderId="0" xfId="1" applyNumberFormat="1" applyFont="1" applyFill="1" applyBorder="1" applyAlignment="1">
      <alignment horizontal="center" vertical="center"/>
    </xf>
    <xf numFmtId="49" fontId="13" fillId="0" borderId="27" xfId="1" applyNumberFormat="1" applyFont="1" applyFill="1" applyBorder="1" applyAlignment="1">
      <alignment horizontal="center" vertical="center"/>
    </xf>
    <xf numFmtId="167" fontId="13" fillId="0" borderId="0" xfId="1" applyNumberFormat="1" applyFont="1" applyFill="1" applyBorder="1" applyAlignment="1">
      <alignment horizontal="right" vertical="center"/>
    </xf>
    <xf numFmtId="0" fontId="19" fillId="0" borderId="10" xfId="0" applyFont="1" applyBorder="1"/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68" fontId="13" fillId="5" borderId="0" xfId="1" applyNumberFormat="1" applyFont="1" applyFill="1" applyBorder="1" applyAlignment="1">
      <alignment horizontal="right" vertical="center"/>
    </xf>
    <xf numFmtId="0" fontId="15" fillId="0" borderId="25" xfId="0" applyFont="1" applyBorder="1" applyAlignment="1">
      <alignment horizontal="left" vertical="top" wrapText="1"/>
    </xf>
    <xf numFmtId="0" fontId="18" fillId="3" borderId="23" xfId="0" applyFont="1" applyFill="1" applyBorder="1" applyAlignment="1">
      <alignment horizontal="left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7" fontId="13" fillId="0" borderId="0" xfId="1" applyNumberFormat="1" applyFont="1" applyFill="1" applyBorder="1" applyAlignment="1">
      <alignment vertical="top"/>
    </xf>
    <xf numFmtId="164" fontId="13" fillId="0" borderId="0" xfId="0" applyNumberFormat="1" applyFont="1" applyAlignment="1">
      <alignment horizontal="left"/>
    </xf>
    <xf numFmtId="169" fontId="13" fillId="0" borderId="0" xfId="1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" fontId="3" fillId="0" borderId="15" xfId="0" applyNumberFormat="1" applyFont="1" applyBorder="1" applyAlignment="1">
      <alignment horizontal="center" vertical="center"/>
    </xf>
    <xf numFmtId="4" fontId="3" fillId="0" borderId="16" xfId="0" applyNumberFormat="1" applyFont="1" applyBorder="1" applyAlignment="1">
      <alignment horizontal="center" vertical="center"/>
    </xf>
    <xf numFmtId="0" fontId="15" fillId="0" borderId="25" xfId="0" applyFont="1" applyBorder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13" fillId="0" borderId="31" xfId="0" applyFont="1" applyBorder="1"/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right" vertical="top" wrapText="1"/>
    </xf>
    <xf numFmtId="168" fontId="13" fillId="5" borderId="26" xfId="1" applyNumberFormat="1" applyFont="1" applyFill="1" applyBorder="1" applyAlignment="1">
      <alignment horizontal="center" vertical="center"/>
    </xf>
    <xf numFmtId="166" fontId="13" fillId="0" borderId="31" xfId="1" applyNumberFormat="1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3" fillId="0" borderId="33" xfId="0" applyFont="1" applyBorder="1"/>
    <xf numFmtId="9" fontId="8" fillId="0" borderId="34" xfId="2" applyFont="1" applyBorder="1" applyAlignment="1">
      <alignment horizontal="center"/>
    </xf>
    <xf numFmtId="0" fontId="13" fillId="0" borderId="35" xfId="0" applyFont="1" applyBorder="1"/>
    <xf numFmtId="9" fontId="8" fillId="0" borderId="36" xfId="2" applyFont="1" applyBorder="1" applyAlignment="1">
      <alignment horizontal="center"/>
    </xf>
    <xf numFmtId="9" fontId="8" fillId="0" borderId="0" xfId="2" applyFont="1" applyBorder="1" applyAlignment="1">
      <alignment horizontal="center"/>
    </xf>
    <xf numFmtId="9" fontId="13" fillId="0" borderId="32" xfId="2" applyFont="1" applyFill="1" applyBorder="1" applyAlignment="1">
      <alignment horizontal="center"/>
    </xf>
    <xf numFmtId="9" fontId="13" fillId="0" borderId="0" xfId="2" applyFont="1" applyFill="1" applyBorder="1" applyAlignment="1">
      <alignment horizontal="center"/>
    </xf>
    <xf numFmtId="10" fontId="13" fillId="0" borderId="0" xfId="2" applyNumberFormat="1" applyFont="1" applyFill="1" applyBorder="1" applyAlignment="1">
      <alignment horizontal="center"/>
    </xf>
    <xf numFmtId="0" fontId="13" fillId="0" borderId="37" xfId="0" applyFont="1" applyBorder="1"/>
    <xf numFmtId="9" fontId="8" fillId="0" borderId="6" xfId="2" applyFont="1" applyBorder="1" applyAlignment="1">
      <alignment horizontal="center"/>
    </xf>
    <xf numFmtId="0" fontId="13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center"/>
    </xf>
    <xf numFmtId="0" fontId="13" fillId="0" borderId="38" xfId="0" applyFont="1" applyBorder="1"/>
    <xf numFmtId="9" fontId="8" fillId="0" borderId="39" xfId="2" applyFont="1" applyBorder="1" applyAlignment="1">
      <alignment horizontal="center"/>
    </xf>
    <xf numFmtId="0" fontId="8" fillId="0" borderId="40" xfId="0" applyFont="1" applyBorder="1"/>
    <xf numFmtId="0" fontId="8" fillId="0" borderId="41" xfId="0" applyFont="1" applyBorder="1"/>
    <xf numFmtId="0" fontId="13" fillId="0" borderId="42" xfId="0" applyFont="1" applyBorder="1"/>
    <xf numFmtId="0" fontId="8" fillId="0" borderId="43" xfId="0" applyFont="1" applyBorder="1"/>
    <xf numFmtId="0" fontId="13" fillId="0" borderId="43" xfId="0" applyFont="1" applyBorder="1"/>
    <xf numFmtId="0" fontId="13" fillId="0" borderId="44" xfId="0" applyFont="1" applyBorder="1"/>
    <xf numFmtId="0" fontId="13" fillId="0" borderId="45" xfId="0" applyFont="1" applyBorder="1"/>
    <xf numFmtId="0" fontId="20" fillId="0" borderId="0" xfId="0" applyFont="1" applyAlignment="1">
      <alignment horizont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170" fontId="3" fillId="0" borderId="11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8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467895</xdr:colOff>
      <xdr:row>139</xdr:row>
      <xdr:rowOff>66842</xdr:rowOff>
    </xdr:from>
    <xdr:to>
      <xdr:col>0</xdr:col>
      <xdr:colOff>1925053</xdr:colOff>
      <xdr:row>139</xdr:row>
      <xdr:rowOff>1524766</xdr:rowOff>
    </xdr:to>
    <xdr:pic>
      <xdr:nvPicPr>
        <xdr:cNvPr id="2" name="Picture 1" descr="Logo de Talentware">
          <a:extLst>
            <a:ext uri="{FF2B5EF4-FFF2-40B4-BE49-F238E27FC236}">
              <a16:creationId xmlns:a16="http://schemas.microsoft.com/office/drawing/2014/main" id="{29318749-959D-400F-8FDD-BCC4068C6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895" y="118856292"/>
          <a:ext cx="1457158" cy="1457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467895</xdr:colOff>
      <xdr:row>139</xdr:row>
      <xdr:rowOff>66842</xdr:rowOff>
    </xdr:from>
    <xdr:to>
      <xdr:col>0</xdr:col>
      <xdr:colOff>1925053</xdr:colOff>
      <xdr:row>139</xdr:row>
      <xdr:rowOff>1524766</xdr:rowOff>
    </xdr:to>
    <xdr:pic>
      <xdr:nvPicPr>
        <xdr:cNvPr id="2" name="Picture 1" descr="Logo de Talentware">
          <a:extLst>
            <a:ext uri="{FF2B5EF4-FFF2-40B4-BE49-F238E27FC236}">
              <a16:creationId xmlns:a16="http://schemas.microsoft.com/office/drawing/2014/main" id="{56FE22E1-C8B5-4D6E-A33A-7C0D5DAB1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895" y="118792792"/>
          <a:ext cx="1457158" cy="1457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dre\360%20Capital%20Dropbox\Audrey%20Bernier\Finance%20Team\iLevel\Current%20files\2025%2010%20One%20pager\iLEVEL%20One-pager%20report_V2%20-%20Digitaly.xlsx" TargetMode="External"/><Relationship Id="rId1" Type="http://schemas.openxmlformats.org/officeDocument/2006/relationships/externalLinkPath" Target="/Users/audre/360%20Capital%20Dropbox/Audrey%20Bernier/Finance%20Team/iLevel/Current%20files/2025%2010%20One%20pager/iLEVEL%20One-pager%20report_V2%20-%20Digita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Guidoio"/>
      <sheetName val="JAMPY"/>
      <sheetName val="Movopack"/>
      <sheetName val="SOOURCE"/>
      <sheetName val="TALENTWARE"/>
      <sheetName val="Tundr"/>
      <sheetName val="ZEF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Relationship Id="rId63" Type="http://schemas.openxmlformats.org/officeDocument/2006/relationships/image" Target="../media/image6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pn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pn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9">
  <rv s="0">
    <v>0</v>
    <v>4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0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36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33B6-3223-4F2A-9703-6342BC997311}">
  <sheetPr>
    <pageSetUpPr fitToPage="1"/>
  </sheetPr>
  <dimension ref="A1:AK187"/>
  <sheetViews>
    <sheetView showGridLines="0" tabSelected="1" view="pageBreakPreview" topLeftCell="I4" zoomScale="95" zoomScaleNormal="100" zoomScaleSheetLayoutView="115" workbookViewId="0">
      <selection activeCell="Q23" sqref="Q23:U28"/>
    </sheetView>
  </sheetViews>
  <sheetFormatPr defaultColWidth="8.90625" defaultRowHeight="16.5" outlineLevelRow="1" outlineLevelCol="1" x14ac:dyDescent="0.45"/>
  <cols>
    <col min="1" max="2" width="34" style="3" customWidth="1" outlineLevel="1"/>
    <col min="3" max="4" width="30.1796875" style="3" customWidth="1" outlineLevel="1"/>
    <col min="5" max="5" width="11.6328125" style="3" customWidth="1" outlineLevel="1"/>
    <col min="6" max="6" width="8.90625" style="3" customWidth="1" outlineLevel="1"/>
    <col min="7" max="7" width="26.1796875" style="3" customWidth="1" outlineLevel="1"/>
    <col min="8" max="8" width="28.1796875" style="3" customWidth="1" outlineLevel="1"/>
    <col min="9" max="9" width="19" style="3" customWidth="1" outlineLevel="1"/>
    <col min="10" max="10" width="3" style="3" customWidth="1"/>
    <col min="11" max="11" width="2.36328125" style="3" customWidth="1"/>
    <col min="12" max="12" width="2.54296875" style="3" customWidth="1"/>
    <col min="13" max="13" width="17.54296875" style="3" customWidth="1"/>
    <col min="14" max="14" width="18.08984375" style="3" customWidth="1"/>
    <col min="15" max="16" width="1.6328125" style="3" customWidth="1"/>
    <col min="17" max="17" width="16.6328125" style="3" customWidth="1"/>
    <col min="18" max="18" width="13.6328125" style="3" customWidth="1"/>
    <col min="19" max="20" width="15.81640625" style="3" customWidth="1"/>
    <col min="21" max="21" width="13.6328125" style="3" customWidth="1"/>
    <col min="22" max="22" width="2.36328125" style="3" customWidth="1"/>
    <col min="23" max="23" width="3.36328125" style="3" customWidth="1"/>
    <col min="24" max="24" width="8.36328125" style="3" customWidth="1" outlineLevel="1"/>
    <col min="25" max="26" width="17.1796875" style="3" customWidth="1" outlineLevel="1"/>
    <col min="27" max="28" width="17.36328125" style="3" customWidth="1" outlineLevel="1"/>
    <col min="29" max="33" width="23.6328125" style="3" customWidth="1" outlineLevel="1"/>
    <col min="34" max="37" width="24.90625" style="3" customWidth="1" outlineLevel="1"/>
    <col min="38" max="39" width="24.90625" style="3" customWidth="1"/>
    <col min="40" max="16384" width="8.90625" style="3"/>
  </cols>
  <sheetData>
    <row r="1" spans="7:28" outlineLevel="1" x14ac:dyDescent="0.45">
      <c r="G1" s="1" t="s">
        <v>0</v>
      </c>
      <c r="H1" s="2" t="str">
        <f>IF($M$19="","",$M$19)</f>
        <v>360 DIGITALY</v>
      </c>
      <c r="M1" s="4" t="str">
        <f>IF($H1="","",$H1)</f>
        <v>360 DIGITALY</v>
      </c>
      <c r="N1" s="5" t="str">
        <f t="shared" ref="N1:U14" si="0">IF($H1="","",$H1)</f>
        <v>360 DIGITALY</v>
      </c>
      <c r="O1" s="5"/>
      <c r="P1" s="5"/>
      <c r="Q1" s="5" t="str">
        <f t="shared" si="0"/>
        <v>360 DIGITALY</v>
      </c>
      <c r="R1" s="5" t="str">
        <f t="shared" si="0"/>
        <v>360 DIGITALY</v>
      </c>
      <c r="S1" s="5" t="str">
        <f t="shared" si="0"/>
        <v>360 DIGITALY</v>
      </c>
      <c r="T1" s="5" t="str">
        <f t="shared" si="0"/>
        <v>360 DIGITALY</v>
      </c>
      <c r="U1" s="2" t="str">
        <f t="shared" si="0"/>
        <v>360 DIGITALY</v>
      </c>
      <c r="AA1" s="4" t="str">
        <f t="shared" ref="AA1:AB3" si="1">IF($H1="","",$H1)</f>
        <v>360 DIGITALY</v>
      </c>
      <c r="AB1" s="2" t="str">
        <f t="shared" si="1"/>
        <v>360 DIGITALY</v>
      </c>
    </row>
    <row r="2" spans="7:28" outlineLevel="1" x14ac:dyDescent="0.45">
      <c r="G2" s="6" t="s">
        <v>1</v>
      </c>
      <c r="H2" s="7" t="str">
        <f>IF($S$19="","",$S$19)</f>
        <v>Guidoio</v>
      </c>
      <c r="M2" s="8" t="str">
        <f t="shared" ref="M2:M14" si="2">IF($H2="","",$H2)</f>
        <v>Guidoio</v>
      </c>
      <c r="N2" s="9" t="str">
        <f t="shared" si="0"/>
        <v>Guidoio</v>
      </c>
      <c r="O2" s="9"/>
      <c r="P2" s="9"/>
      <c r="Q2" s="9" t="str">
        <f t="shared" si="0"/>
        <v>Guidoio</v>
      </c>
      <c r="R2" s="9" t="str">
        <f t="shared" si="0"/>
        <v>Guidoio</v>
      </c>
      <c r="S2" s="9" t="str">
        <f t="shared" si="0"/>
        <v>Guidoio</v>
      </c>
      <c r="T2" s="9" t="str">
        <f t="shared" si="0"/>
        <v>Guidoio</v>
      </c>
      <c r="U2" s="7" t="str">
        <f t="shared" si="0"/>
        <v>Guidoio</v>
      </c>
      <c r="AA2" s="8" t="str">
        <f t="shared" si="1"/>
        <v>Guidoio</v>
      </c>
      <c r="AB2" s="7" t="str">
        <f t="shared" si="1"/>
        <v>Guidoio</v>
      </c>
    </row>
    <row r="3" spans="7:28" outlineLevel="1" x14ac:dyDescent="0.45">
      <c r="G3" s="6" t="s">
        <v>2</v>
      </c>
      <c r="H3" s="10">
        <f>IF($U$19="","",$U$19)</f>
        <v>45930</v>
      </c>
      <c r="M3" s="11">
        <f t="shared" si="2"/>
        <v>45930</v>
      </c>
      <c r="N3" s="12">
        <f t="shared" si="0"/>
        <v>45930</v>
      </c>
      <c r="O3" s="12"/>
      <c r="P3" s="12"/>
      <c r="Q3" s="12">
        <f t="shared" si="0"/>
        <v>45930</v>
      </c>
      <c r="R3" s="12">
        <f t="shared" si="0"/>
        <v>45930</v>
      </c>
      <c r="S3" s="12">
        <f t="shared" si="0"/>
        <v>45930</v>
      </c>
      <c r="T3" s="12">
        <f t="shared" si="0"/>
        <v>45930</v>
      </c>
      <c r="U3" s="10">
        <f t="shared" si="0"/>
        <v>45930</v>
      </c>
      <c r="AA3" s="11">
        <f t="shared" si="1"/>
        <v>45930</v>
      </c>
      <c r="AB3" s="10">
        <f t="shared" si="1"/>
        <v>45930</v>
      </c>
    </row>
    <row r="4" spans="7:28" outlineLevel="1" x14ac:dyDescent="0.45">
      <c r="G4" s="6" t="s">
        <v>3</v>
      </c>
      <c r="H4" s="7" t="s">
        <v>4</v>
      </c>
      <c r="M4" s="8" t="str">
        <f t="shared" si="2"/>
        <v>Current</v>
      </c>
      <c r="N4" s="9" t="str">
        <f t="shared" si="0"/>
        <v>Current</v>
      </c>
      <c r="O4" s="9"/>
      <c r="P4" s="9"/>
      <c r="Q4" s="9" t="str">
        <f t="shared" si="0"/>
        <v>Current</v>
      </c>
      <c r="R4" s="10">
        <f>IFERROR(EOMONTH(S4,-12),"")</f>
        <v>45291</v>
      </c>
      <c r="S4" s="10">
        <f>IFERROR(45657/1,"")</f>
        <v>45657</v>
      </c>
      <c r="T4" s="10">
        <f>IFERROR(EOMONTH(U4,-12),"")</f>
        <v>45565</v>
      </c>
      <c r="U4" s="10">
        <f>$U$3</f>
        <v>45930</v>
      </c>
      <c r="AA4" s="11">
        <f>$U$3</f>
        <v>45930</v>
      </c>
      <c r="AB4" s="10">
        <f>$U$3</f>
        <v>45930</v>
      </c>
    </row>
    <row r="5" spans="7:28" outlineLevel="1" x14ac:dyDescent="0.45">
      <c r="G5" s="6" t="s">
        <v>5</v>
      </c>
      <c r="H5" s="10">
        <f>H$3</f>
        <v>45930</v>
      </c>
      <c r="M5" s="11">
        <f t="shared" si="2"/>
        <v>45930</v>
      </c>
      <c r="N5" s="12">
        <f t="shared" si="0"/>
        <v>45930</v>
      </c>
      <c r="O5" s="12"/>
      <c r="P5" s="12"/>
      <c r="Q5" s="12">
        <f t="shared" si="0"/>
        <v>45930</v>
      </c>
      <c r="R5" s="12">
        <f t="shared" si="0"/>
        <v>45930</v>
      </c>
      <c r="S5" s="12">
        <f t="shared" si="0"/>
        <v>45930</v>
      </c>
      <c r="T5" s="12">
        <f t="shared" si="0"/>
        <v>45930</v>
      </c>
      <c r="U5" s="10">
        <f t="shared" si="0"/>
        <v>45930</v>
      </c>
      <c r="AA5" s="11">
        <f t="shared" ref="AA5:AB14" si="3">IF($H5="","",$H5)</f>
        <v>45930</v>
      </c>
      <c r="AB5" s="10">
        <f t="shared" si="3"/>
        <v>45930</v>
      </c>
    </row>
    <row r="6" spans="7:28" outlineLevel="1" x14ac:dyDescent="0.45">
      <c r="G6" s="6" t="s">
        <v>6</v>
      </c>
      <c r="H6" s="7" t="s">
        <v>4</v>
      </c>
      <c r="M6" s="8" t="str">
        <f t="shared" si="2"/>
        <v>Current</v>
      </c>
      <c r="N6" s="9" t="str">
        <f t="shared" si="0"/>
        <v>Current</v>
      </c>
      <c r="O6" s="9"/>
      <c r="P6" s="9"/>
      <c r="Q6" s="9" t="str">
        <f t="shared" si="0"/>
        <v>Current</v>
      </c>
      <c r="R6" s="9" t="str">
        <f t="shared" si="0"/>
        <v>Current</v>
      </c>
      <c r="S6" s="9" t="str">
        <f t="shared" si="0"/>
        <v>Current</v>
      </c>
      <c r="T6" s="9" t="str">
        <f t="shared" si="0"/>
        <v>Current</v>
      </c>
      <c r="U6" s="7" t="str">
        <f t="shared" si="0"/>
        <v>Current</v>
      </c>
      <c r="AA6" s="8" t="str">
        <f t="shared" si="3"/>
        <v>Current</v>
      </c>
      <c r="AB6" s="7" t="str">
        <f t="shared" si="3"/>
        <v>Current</v>
      </c>
    </row>
    <row r="7" spans="7:28" outlineLevel="1" x14ac:dyDescent="0.45">
      <c r="G7" s="6" t="s">
        <v>7</v>
      </c>
      <c r="H7" s="7" t="s">
        <v>8</v>
      </c>
      <c r="M7" s="8" t="str">
        <f t="shared" si="2"/>
        <v>RP</v>
      </c>
      <c r="N7" s="9" t="str">
        <f t="shared" si="0"/>
        <v>RP</v>
      </c>
      <c r="O7" s="9"/>
      <c r="P7" s="9"/>
      <c r="Q7" s="9" t="str">
        <f t="shared" si="0"/>
        <v>RP</v>
      </c>
      <c r="R7" s="9" t="str">
        <f t="shared" si="0"/>
        <v>RP</v>
      </c>
      <c r="S7" s="9" t="str">
        <f t="shared" si="0"/>
        <v>RP</v>
      </c>
      <c r="T7" s="9" t="str">
        <f t="shared" si="0"/>
        <v>RP</v>
      </c>
      <c r="U7" s="7" t="str">
        <f t="shared" si="0"/>
        <v>RP</v>
      </c>
      <c r="AA7" s="8" t="str">
        <f t="shared" si="3"/>
        <v>RP</v>
      </c>
      <c r="AB7" s="7" t="str">
        <f t="shared" si="3"/>
        <v>RP</v>
      </c>
    </row>
    <row r="8" spans="7:28" outlineLevel="1" x14ac:dyDescent="0.45">
      <c r="G8" s="6" t="s">
        <v>9</v>
      </c>
      <c r="H8" s="7" t="s">
        <v>10</v>
      </c>
      <c r="M8" s="8" t="str">
        <f t="shared" si="2"/>
        <v>L3M</v>
      </c>
      <c r="N8" s="9" t="str">
        <f t="shared" si="0"/>
        <v>L3M</v>
      </c>
      <c r="O8" s="9"/>
      <c r="P8" s="9"/>
      <c r="Q8" s="9" t="str">
        <f t="shared" si="0"/>
        <v>L3M</v>
      </c>
      <c r="R8" s="9" t="str">
        <f t="shared" si="0"/>
        <v>L3M</v>
      </c>
      <c r="S8" s="9" t="str">
        <f t="shared" si="0"/>
        <v>L3M</v>
      </c>
      <c r="T8" s="9" t="str">
        <f t="shared" si="0"/>
        <v>L3M</v>
      </c>
      <c r="U8" s="7" t="str">
        <f t="shared" si="0"/>
        <v>L3M</v>
      </c>
      <c r="AA8" s="8" t="str">
        <f t="shared" si="3"/>
        <v>L3M</v>
      </c>
      <c r="AB8" s="7" t="str">
        <f t="shared" si="3"/>
        <v>L3M</v>
      </c>
    </row>
    <row r="9" spans="7:28" outlineLevel="1" x14ac:dyDescent="0.45">
      <c r="G9" s="6" t="s">
        <v>11</v>
      </c>
      <c r="H9" s="7" t="s">
        <v>12</v>
      </c>
      <c r="M9" s="8" t="str">
        <f t="shared" si="2"/>
        <v>CYTD</v>
      </c>
      <c r="N9" s="9" t="str">
        <f t="shared" si="0"/>
        <v>CYTD</v>
      </c>
      <c r="O9" s="9"/>
      <c r="P9" s="9"/>
      <c r="Q9" s="9" t="str">
        <f t="shared" si="0"/>
        <v>CYTD</v>
      </c>
      <c r="R9" s="9" t="str">
        <f t="shared" si="0"/>
        <v>CYTD</v>
      </c>
      <c r="S9" s="9" t="str">
        <f t="shared" si="0"/>
        <v>CYTD</v>
      </c>
      <c r="T9" s="9" t="str">
        <f t="shared" si="0"/>
        <v>CYTD</v>
      </c>
      <c r="U9" s="7" t="str">
        <f t="shared" si="0"/>
        <v>CYTD</v>
      </c>
      <c r="AA9" s="8" t="str">
        <f t="shared" si="3"/>
        <v>CYTD</v>
      </c>
      <c r="AB9" s="7" t="str">
        <f t="shared" si="3"/>
        <v>CYTD</v>
      </c>
    </row>
    <row r="10" spans="7:28" outlineLevel="1" x14ac:dyDescent="0.45">
      <c r="G10" s="6" t="s">
        <v>13</v>
      </c>
      <c r="H10" s="7" t="s">
        <v>14</v>
      </c>
      <c r="M10" s="8" t="str">
        <f t="shared" si="2"/>
        <v>Actual</v>
      </c>
      <c r="N10" s="9" t="str">
        <f t="shared" si="0"/>
        <v>Actual</v>
      </c>
      <c r="O10" s="9"/>
      <c r="P10" s="9"/>
      <c r="Q10" s="9" t="str">
        <f t="shared" si="0"/>
        <v>Actual</v>
      </c>
      <c r="R10" s="9" t="str">
        <f t="shared" si="0"/>
        <v>Actual</v>
      </c>
      <c r="S10" s="9" t="str">
        <f t="shared" si="0"/>
        <v>Actual</v>
      </c>
      <c r="T10" s="9" t="str">
        <f t="shared" si="0"/>
        <v>Actual</v>
      </c>
      <c r="U10" s="7" t="str">
        <f t="shared" si="0"/>
        <v>Actual</v>
      </c>
      <c r="AA10" s="8" t="str">
        <f t="shared" si="3"/>
        <v>Actual</v>
      </c>
      <c r="AB10" s="7" t="str">
        <f t="shared" si="3"/>
        <v>Actual</v>
      </c>
    </row>
    <row r="11" spans="7:28" outlineLevel="1" x14ac:dyDescent="0.45">
      <c r="G11" s="6" t="s">
        <v>15</v>
      </c>
      <c r="H11" s="7" t="s">
        <v>16</v>
      </c>
      <c r="M11" s="8" t="str">
        <f t="shared" si="2"/>
        <v>RC</v>
      </c>
      <c r="N11" s="9" t="str">
        <f t="shared" si="0"/>
        <v>RC</v>
      </c>
      <c r="O11" s="9"/>
      <c r="P11" s="9"/>
      <c r="Q11" s="9" t="str">
        <f t="shared" si="0"/>
        <v>RC</v>
      </c>
      <c r="R11" s="9" t="str">
        <f t="shared" si="0"/>
        <v>RC</v>
      </c>
      <c r="S11" s="9" t="str">
        <f t="shared" si="0"/>
        <v>RC</v>
      </c>
      <c r="T11" s="9" t="str">
        <f t="shared" si="0"/>
        <v>RC</v>
      </c>
      <c r="U11" s="7" t="str">
        <f t="shared" si="0"/>
        <v>RC</v>
      </c>
      <c r="AA11" s="8" t="str">
        <f t="shared" si="3"/>
        <v>RC</v>
      </c>
      <c r="AB11" s="7" t="str">
        <f t="shared" si="3"/>
        <v>RC</v>
      </c>
    </row>
    <row r="12" spans="7:28" outlineLevel="1" x14ac:dyDescent="0.45">
      <c r="G12" s="6" t="s">
        <v>17</v>
      </c>
      <c r="H12" s="7" t="s">
        <v>18</v>
      </c>
      <c r="M12" s="8" t="str">
        <f t="shared" si="2"/>
        <v>Not Scaled</v>
      </c>
      <c r="N12" s="9" t="str">
        <f t="shared" si="0"/>
        <v>Not Scaled</v>
      </c>
      <c r="O12" s="9"/>
      <c r="P12" s="9"/>
      <c r="Q12" s="9" t="str">
        <f t="shared" si="0"/>
        <v>Not Scaled</v>
      </c>
      <c r="R12" s="9" t="str">
        <f t="shared" si="0"/>
        <v>Not Scaled</v>
      </c>
      <c r="S12" s="9" t="str">
        <f t="shared" si="0"/>
        <v>Not Scaled</v>
      </c>
      <c r="T12" s="9" t="str">
        <f t="shared" si="0"/>
        <v>Not Scaled</v>
      </c>
      <c r="U12" s="7" t="str">
        <f t="shared" si="0"/>
        <v>Not Scaled</v>
      </c>
      <c r="AA12" s="8" t="str">
        <f t="shared" si="3"/>
        <v>Not Scaled</v>
      </c>
      <c r="AB12" s="7" t="str">
        <f t="shared" si="3"/>
        <v>Not Scaled</v>
      </c>
    </row>
    <row r="13" spans="7:28" outlineLevel="1" x14ac:dyDescent="0.45">
      <c r="G13" s="6" t="s">
        <v>19</v>
      </c>
      <c r="H13" s="7" t="s">
        <v>20</v>
      </c>
      <c r="M13" s="8" t="str">
        <f t="shared" si="2"/>
        <v>Millions</v>
      </c>
      <c r="N13" s="9" t="str">
        <f t="shared" si="0"/>
        <v>Millions</v>
      </c>
      <c r="O13" s="9"/>
      <c r="P13" s="9"/>
      <c r="Q13" s="9" t="str">
        <f t="shared" si="0"/>
        <v>Millions</v>
      </c>
      <c r="R13" s="9" t="str">
        <f t="shared" si="0"/>
        <v>Millions</v>
      </c>
      <c r="S13" s="9" t="str">
        <f t="shared" si="0"/>
        <v>Millions</v>
      </c>
      <c r="T13" s="9" t="str">
        <f t="shared" si="0"/>
        <v>Millions</v>
      </c>
      <c r="U13" s="7" t="str">
        <f t="shared" si="0"/>
        <v>Millions</v>
      </c>
      <c r="AA13" s="8" t="str">
        <f t="shared" si="3"/>
        <v>Millions</v>
      </c>
      <c r="AB13" s="7" t="str">
        <f t="shared" si="3"/>
        <v>Millions</v>
      </c>
    </row>
    <row r="14" spans="7:28" ht="17" outlineLevel="1" thickBot="1" x14ac:dyDescent="0.5">
      <c r="G14" s="13" t="s">
        <v>21</v>
      </c>
      <c r="H14" s="14" t="s">
        <v>22</v>
      </c>
      <c r="M14" s="15" t="str">
        <f t="shared" si="2"/>
        <v>Spot</v>
      </c>
      <c r="N14" s="16" t="str">
        <f t="shared" si="0"/>
        <v>Spot</v>
      </c>
      <c r="O14" s="16"/>
      <c r="P14" s="16"/>
      <c r="Q14" s="16" t="str">
        <f t="shared" si="0"/>
        <v>Spot</v>
      </c>
      <c r="R14" s="16" t="str">
        <f t="shared" si="0"/>
        <v>Spot</v>
      </c>
      <c r="S14" s="16" t="str">
        <f t="shared" si="0"/>
        <v>Spot</v>
      </c>
      <c r="T14" s="16" t="str">
        <f t="shared" si="0"/>
        <v>Spot</v>
      </c>
      <c r="U14" s="14" t="str">
        <f t="shared" si="0"/>
        <v>Spot</v>
      </c>
      <c r="AA14" s="15" t="str">
        <f t="shared" si="3"/>
        <v>Spot</v>
      </c>
      <c r="AB14" s="14" t="str">
        <f t="shared" si="3"/>
        <v>Spot</v>
      </c>
    </row>
    <row r="15" spans="7:28" outlineLevel="1" x14ac:dyDescent="0.45"/>
    <row r="18" spans="3:22" ht="18.5" x14ac:dyDescent="0.5">
      <c r="G18" s="17" t="s">
        <v>23</v>
      </c>
    </row>
    <row r="19" spans="3:22" x14ac:dyDescent="0.45">
      <c r="C19" s="18" t="s">
        <v>184</v>
      </c>
      <c r="D19" s="18" t="s">
        <v>185</v>
      </c>
      <c r="K19" s="19"/>
      <c r="L19" s="19"/>
      <c r="M19" s="20" t="s">
        <v>24</v>
      </c>
      <c r="N19" s="20"/>
      <c r="O19" s="19"/>
      <c r="P19" s="19"/>
      <c r="Q19" s="21"/>
      <c r="R19" s="21"/>
      <c r="S19" s="22" t="s">
        <v>25</v>
      </c>
      <c r="T19" s="22"/>
      <c r="U19" s="23">
        <v>45930</v>
      </c>
      <c r="V19" s="21"/>
    </row>
    <row r="20" spans="3:22" x14ac:dyDescent="0.45">
      <c r="K20" s="24"/>
      <c r="L20" s="24"/>
      <c r="M20" s="20"/>
      <c r="N20" s="20"/>
      <c r="O20" s="24"/>
      <c r="P20" s="24"/>
      <c r="Q20" s="25"/>
      <c r="R20" s="25"/>
      <c r="S20" s="22"/>
      <c r="T20" s="22"/>
      <c r="U20" s="23"/>
      <c r="V20" s="25"/>
    </row>
    <row r="21" spans="3:22" x14ac:dyDescent="0.45">
      <c r="C21" s="26" t="s">
        <v>26</v>
      </c>
      <c r="D21" s="26" t="s">
        <v>27</v>
      </c>
      <c r="E21" s="27">
        <f t="shared" ref="E21:E34" si="4">IFERROR(EOMONTH(E22,-3),"")</f>
        <v>44561</v>
      </c>
      <c r="K21" s="28"/>
      <c r="L21" s="28"/>
      <c r="M21" s="29" t="e" vm="1">
        <f>IFERROR(_xlfn.XLOOKUP($M$2,$B$73:$B$187,$A$73:$A$187),"")</f>
        <v>#VALUE!</v>
      </c>
      <c r="N21" s="29"/>
      <c r="O21" s="28"/>
      <c r="P21" s="28"/>
      <c r="Q21" s="30"/>
      <c r="R21" s="31"/>
      <c r="S21" s="32"/>
      <c r="T21" s="32"/>
      <c r="U21" s="33"/>
      <c r="V21" s="31"/>
    </row>
    <row r="22" spans="3:22" x14ac:dyDescent="0.45">
      <c r="C22" s="26" t="s">
        <v>24</v>
      </c>
      <c r="D22" s="26" t="s">
        <v>28</v>
      </c>
      <c r="E22" s="27">
        <f t="shared" si="4"/>
        <v>44651</v>
      </c>
      <c r="K22" s="28"/>
      <c r="L22" s="28"/>
      <c r="M22" s="29"/>
      <c r="N22" s="29"/>
      <c r="O22" s="28"/>
      <c r="P22" s="28"/>
      <c r="Q22" s="34" t="s">
        <v>29</v>
      </c>
      <c r="R22" s="31"/>
      <c r="S22" s="32"/>
      <c r="T22" s="32"/>
      <c r="U22" s="33"/>
      <c r="V22" s="31"/>
    </row>
    <row r="23" spans="3:22" x14ac:dyDescent="0.45">
      <c r="C23" s="26" t="s">
        <v>30</v>
      </c>
      <c r="D23" s="26" t="s">
        <v>25</v>
      </c>
      <c r="E23" s="27">
        <f t="shared" si="4"/>
        <v>44742</v>
      </c>
      <c r="G23" s="35" t="s">
        <v>31</v>
      </c>
      <c r="K23" s="28"/>
      <c r="L23" s="28"/>
      <c r="M23" s="29"/>
      <c r="N23" s="29"/>
      <c r="O23" s="30"/>
      <c r="P23" s="30"/>
      <c r="Q23" s="36" t="str">
        <f>SUBSTITUTE("Guidoio is the first online platform that helps you get your car license, removing the complexity and bureaucratic hassles, making the process cheaper than a traditional driving school and much easier than the do-it-yourself private driver.","No Data Available","")</f>
        <v>Guidoio is the first online platform that helps you get your car license, removing the complexity and bureaucratic hassles, making the process cheaper than a traditional driving school and much easier than the do-it-yourself private driver.</v>
      </c>
      <c r="R23" s="36"/>
      <c r="S23" s="36"/>
      <c r="T23" s="36"/>
      <c r="U23" s="36"/>
      <c r="V23" s="31"/>
    </row>
    <row r="24" spans="3:22" x14ac:dyDescent="0.45">
      <c r="C24" s="26" t="s">
        <v>32</v>
      </c>
      <c r="D24" s="26" t="s">
        <v>33</v>
      </c>
      <c r="E24" s="27">
        <f t="shared" si="4"/>
        <v>44834</v>
      </c>
      <c r="K24" s="28"/>
      <c r="L24" s="28"/>
      <c r="M24" s="29"/>
      <c r="N24" s="29"/>
      <c r="O24" s="37"/>
      <c r="P24" s="37"/>
      <c r="Q24" s="36"/>
      <c r="R24" s="36"/>
      <c r="S24" s="36"/>
      <c r="T24" s="36"/>
      <c r="U24" s="36"/>
      <c r="V24" s="31"/>
    </row>
    <row r="25" spans="3:22" x14ac:dyDescent="0.45">
      <c r="C25" s="26" t="s">
        <v>34</v>
      </c>
      <c r="D25" s="26" t="s">
        <v>35</v>
      </c>
      <c r="E25" s="27">
        <f t="shared" si="4"/>
        <v>44926</v>
      </c>
      <c r="K25" s="28"/>
      <c r="L25" s="28"/>
      <c r="M25" s="29"/>
      <c r="N25" s="29"/>
      <c r="O25" s="37"/>
      <c r="P25" s="37"/>
      <c r="Q25" s="36"/>
      <c r="R25" s="36"/>
      <c r="S25" s="36"/>
      <c r="T25" s="36"/>
      <c r="U25" s="36"/>
      <c r="V25" s="31"/>
    </row>
    <row r="26" spans="3:22" x14ac:dyDescent="0.45">
      <c r="C26" s="26" t="s">
        <v>36</v>
      </c>
      <c r="D26" s="26" t="s">
        <v>37</v>
      </c>
      <c r="E26" s="27">
        <f t="shared" si="4"/>
        <v>45016</v>
      </c>
      <c r="K26" s="28"/>
      <c r="L26" s="28"/>
      <c r="M26" s="29"/>
      <c r="N26" s="29"/>
      <c r="O26" s="37"/>
      <c r="P26" s="37"/>
      <c r="Q26" s="36"/>
      <c r="R26" s="36"/>
      <c r="S26" s="36"/>
      <c r="T26" s="36"/>
      <c r="U26" s="36"/>
      <c r="V26" s="31"/>
    </row>
    <row r="27" spans="3:22" x14ac:dyDescent="0.45">
      <c r="C27" s="26" t="s">
        <v>38</v>
      </c>
      <c r="D27" s="26" t="s">
        <v>39</v>
      </c>
      <c r="E27" s="27">
        <f t="shared" si="4"/>
        <v>45107</v>
      </c>
      <c r="K27" s="28"/>
      <c r="L27" s="28"/>
      <c r="M27" s="29"/>
      <c r="N27" s="29"/>
      <c r="O27" s="37"/>
      <c r="P27" s="37"/>
      <c r="Q27" s="36"/>
      <c r="R27" s="36"/>
      <c r="S27" s="36"/>
      <c r="T27" s="36"/>
      <c r="U27" s="36"/>
      <c r="V27" s="31"/>
    </row>
    <row r="28" spans="3:22" x14ac:dyDescent="0.45">
      <c r="C28" s="26" t="s">
        <v>40</v>
      </c>
      <c r="D28" s="26" t="s">
        <v>41</v>
      </c>
      <c r="E28" s="27">
        <f t="shared" si="4"/>
        <v>45199</v>
      </c>
      <c r="K28" s="28"/>
      <c r="L28" s="28"/>
      <c r="M28" s="38"/>
      <c r="N28" s="28"/>
      <c r="O28" s="28"/>
      <c r="P28" s="28"/>
      <c r="Q28" s="36"/>
      <c r="R28" s="36"/>
      <c r="S28" s="36"/>
      <c r="T28" s="36"/>
      <c r="U28" s="36"/>
      <c r="V28" s="31"/>
    </row>
    <row r="29" spans="3:22" x14ac:dyDescent="0.45">
      <c r="C29" s="26" t="s">
        <v>42</v>
      </c>
      <c r="D29" s="26" t="s">
        <v>43</v>
      </c>
      <c r="E29" s="27">
        <f t="shared" si="4"/>
        <v>45291</v>
      </c>
      <c r="G29" s="35" t="s">
        <v>44</v>
      </c>
      <c r="K29" s="28"/>
      <c r="L29" s="28"/>
      <c r="M29" s="34" t="s">
        <v>45</v>
      </c>
      <c r="N29" s="39"/>
      <c r="O29" s="39"/>
      <c r="P29" s="39"/>
      <c r="Q29" s="39"/>
      <c r="R29" s="31"/>
      <c r="S29" s="32"/>
      <c r="T29" s="32"/>
      <c r="U29" s="33"/>
      <c r="V29" s="31"/>
    </row>
    <row r="30" spans="3:22" x14ac:dyDescent="0.45">
      <c r="C30" s="26" t="s">
        <v>46</v>
      </c>
      <c r="D30" s="26"/>
      <c r="E30" s="27">
        <f t="shared" si="4"/>
        <v>45382</v>
      </c>
      <c r="K30" s="28"/>
      <c r="L30" s="28"/>
      <c r="M30" s="36" t="str">
        <f>SUBSTITUTE("// Please update //","No Data Available","")</f>
        <v>// Please update //</v>
      </c>
      <c r="N30" s="36"/>
      <c r="O30" s="36"/>
      <c r="P30" s="36"/>
      <c r="Q30" s="36"/>
      <c r="R30" s="36"/>
      <c r="S30" s="36"/>
      <c r="T30" s="36"/>
      <c r="U30" s="36"/>
      <c r="V30" s="31"/>
    </row>
    <row r="31" spans="3:22" x14ac:dyDescent="0.45">
      <c r="C31" s="26" t="s">
        <v>47</v>
      </c>
      <c r="D31" s="26"/>
      <c r="E31" s="27">
        <f t="shared" si="4"/>
        <v>45473</v>
      </c>
      <c r="K31" s="28"/>
      <c r="L31" s="28"/>
      <c r="M31" s="36"/>
      <c r="N31" s="36"/>
      <c r="O31" s="36"/>
      <c r="P31" s="36"/>
      <c r="Q31" s="36"/>
      <c r="R31" s="36"/>
      <c r="S31" s="36"/>
      <c r="T31" s="36"/>
      <c r="U31" s="36"/>
      <c r="V31" s="31"/>
    </row>
    <row r="32" spans="3:22" x14ac:dyDescent="0.45">
      <c r="C32" s="26" t="s">
        <v>48</v>
      </c>
      <c r="D32" s="26"/>
      <c r="E32" s="27">
        <f t="shared" si="4"/>
        <v>45565</v>
      </c>
      <c r="K32" s="28"/>
      <c r="L32" s="28"/>
      <c r="M32" s="36"/>
      <c r="N32" s="36"/>
      <c r="O32" s="36"/>
      <c r="P32" s="36"/>
      <c r="Q32" s="36"/>
      <c r="R32" s="36"/>
      <c r="S32" s="36"/>
      <c r="T32" s="36"/>
      <c r="U32" s="36"/>
      <c r="V32" s="31"/>
    </row>
    <row r="33" spans="3:37" ht="17" thickBot="1" x14ac:dyDescent="0.5">
      <c r="C33" s="26" t="s">
        <v>49</v>
      </c>
      <c r="D33" s="26"/>
      <c r="E33" s="27">
        <f t="shared" si="4"/>
        <v>45657</v>
      </c>
      <c r="K33" s="28"/>
      <c r="L33" s="28"/>
      <c r="M33" s="36"/>
      <c r="N33" s="36"/>
      <c r="O33" s="36"/>
      <c r="P33" s="36"/>
      <c r="Q33" s="36"/>
      <c r="R33" s="36"/>
      <c r="S33" s="36"/>
      <c r="T33" s="36"/>
      <c r="U33" s="36"/>
      <c r="V33" s="31"/>
    </row>
    <row r="34" spans="3:37" x14ac:dyDescent="0.45">
      <c r="C34" s="26" t="s">
        <v>50</v>
      </c>
      <c r="D34" s="26"/>
      <c r="E34" s="27">
        <f t="shared" si="4"/>
        <v>45747</v>
      </c>
      <c r="K34" s="28"/>
      <c r="L34" s="28"/>
      <c r="M34" s="36"/>
      <c r="N34" s="36"/>
      <c r="O34" s="36"/>
      <c r="P34" s="36"/>
      <c r="Q34" s="36"/>
      <c r="R34" s="36"/>
      <c r="S34" s="36"/>
      <c r="T34" s="36"/>
      <c r="U34" s="36"/>
      <c r="V34" s="31"/>
      <c r="AH34" s="40" t="s">
        <v>182</v>
      </c>
      <c r="AI34" s="41"/>
      <c r="AJ34" s="41"/>
      <c r="AK34" s="42"/>
    </row>
    <row r="35" spans="3:37" x14ac:dyDescent="0.45">
      <c r="C35" s="26"/>
      <c r="D35" s="26"/>
      <c r="E35" s="27">
        <f>IFERROR(EOMONTH(E36,-3),"")</f>
        <v>45838</v>
      </c>
      <c r="K35" s="28"/>
      <c r="L35" s="28"/>
      <c r="M35" s="36"/>
      <c r="N35" s="36"/>
      <c r="O35" s="36"/>
      <c r="P35" s="36"/>
      <c r="Q35" s="36"/>
      <c r="R35" s="36"/>
      <c r="S35" s="36"/>
      <c r="T35" s="36"/>
      <c r="U35" s="36"/>
      <c r="V35" s="31"/>
      <c r="AH35" s="43"/>
      <c r="AI35" s="44"/>
      <c r="AJ35" s="44"/>
      <c r="AK35" s="45"/>
    </row>
    <row r="36" spans="3:37" ht="17" thickBot="1" x14ac:dyDescent="0.5">
      <c r="C36" s="26"/>
      <c r="D36" s="26"/>
      <c r="E36" s="27">
        <f>IFERROR(45930,"")</f>
        <v>45930</v>
      </c>
      <c r="K36" s="30"/>
      <c r="L36" s="30"/>
      <c r="M36" s="46" t="s">
        <v>51</v>
      </c>
      <c r="N36" s="30"/>
      <c r="O36" s="30"/>
      <c r="P36" s="30"/>
      <c r="Q36" s="30"/>
      <c r="R36" s="30"/>
      <c r="S36" s="30"/>
      <c r="T36" s="30"/>
      <c r="U36" s="30"/>
      <c r="V36" s="30"/>
      <c r="AH36" s="131" t="s">
        <v>52</v>
      </c>
      <c r="AI36" s="44" t="s">
        <v>53</v>
      </c>
      <c r="AJ36" s="44" t="s">
        <v>29</v>
      </c>
      <c r="AK36" s="45" t="s">
        <v>54</v>
      </c>
    </row>
    <row r="37" spans="3:37" ht="25.5" thickBot="1" x14ac:dyDescent="0.5">
      <c r="C37" s="26"/>
      <c r="D37" s="26"/>
      <c r="E37" s="27">
        <f>EOMONTH(E36,3)</f>
        <v>46022</v>
      </c>
      <c r="G37" s="48" t="s">
        <v>55</v>
      </c>
      <c r="K37" s="30"/>
      <c r="L37" s="49"/>
      <c r="M37" s="50" t="s">
        <v>56</v>
      </c>
      <c r="N37" s="51" t="str">
        <f>SUBSTITUTE("https://guidoio.com","No Data Available","")</f>
        <v>https://guidoio.com</v>
      </c>
      <c r="O37" s="52"/>
      <c r="P37" s="30"/>
      <c r="Q37" s="53" t="s">
        <v>57</v>
      </c>
      <c r="R37" s="54">
        <f>IF(R$4="","",R$4)</f>
        <v>45291</v>
      </c>
      <c r="S37" s="55">
        <f>IF(S$4="","",S$4)</f>
        <v>45657</v>
      </c>
      <c r="T37" s="54">
        <f>IF(T$4="","",T$4)</f>
        <v>45565</v>
      </c>
      <c r="U37" s="55">
        <f>IF(U$4="","",U$4)</f>
        <v>45930</v>
      </c>
      <c r="V37" s="30"/>
      <c r="AH37" s="131">
        <v>45860</v>
      </c>
      <c r="AI37" s="44">
        <v>1298182</v>
      </c>
      <c r="AJ37" s="44" t="s">
        <v>58</v>
      </c>
      <c r="AK37" s="45">
        <v>4028</v>
      </c>
    </row>
    <row r="38" spans="3:37" ht="17" thickTop="1" x14ac:dyDescent="0.45">
      <c r="C38" s="26"/>
      <c r="D38" s="26"/>
      <c r="E38" s="27">
        <f>EOMONTH(E37,3)</f>
        <v>46112</v>
      </c>
      <c r="G38" s="48" t="s">
        <v>59</v>
      </c>
      <c r="H38" s="48" t="s">
        <v>60</v>
      </c>
      <c r="K38" s="30"/>
      <c r="L38" s="56"/>
      <c r="M38" s="57" t="s">
        <v>61</v>
      </c>
      <c r="N38" s="58" t="str">
        <f>SUBSTITUTE("Italy","No Data Available","")</f>
        <v>Italy</v>
      </c>
      <c r="O38" s="59"/>
      <c r="P38" s="30"/>
      <c r="Q38" s="60" t="s">
        <v>60</v>
      </c>
      <c r="R38" s="61" t="str">
        <f>IFERROR("No Data Available"/1,"")</f>
        <v/>
      </c>
      <c r="S38" s="61">
        <f>IFERROR(200741/1,"")</f>
        <v>200741</v>
      </c>
      <c r="T38" s="62">
        <f>IFERROR(202843/1,"")</f>
        <v>202843</v>
      </c>
      <c r="U38" s="61" t="str">
        <f>IFERROR("No Data Available"/1,"")</f>
        <v/>
      </c>
      <c r="V38" s="30"/>
      <c r="AH38" s="131">
        <v>45803</v>
      </c>
      <c r="AI38" s="44">
        <v>548182</v>
      </c>
      <c r="AJ38" s="44" t="s">
        <v>62</v>
      </c>
      <c r="AK38" s="45">
        <v>3409</v>
      </c>
    </row>
    <row r="39" spans="3:37" x14ac:dyDescent="0.45">
      <c r="C39" s="26"/>
      <c r="D39" s="26"/>
      <c r="E39" s="27"/>
      <c r="G39" s="48" t="s">
        <v>63</v>
      </c>
      <c r="H39" s="48" t="s">
        <v>64</v>
      </c>
      <c r="K39" s="30"/>
      <c r="L39" s="56"/>
      <c r="M39" s="63" t="s">
        <v>65</v>
      </c>
      <c r="N39" s="64" t="str" cm="1">
        <f t="array" ref="N39">IFERROR(INDEX($R$48:$R$55,MATCH(TRUE,$R$48:$R$55&lt;&gt;"",0)),"n.a.")</f>
        <v>Pre-Seed</v>
      </c>
      <c r="O39" s="65"/>
      <c r="P39" s="39"/>
      <c r="Q39" s="66" t="s">
        <v>66</v>
      </c>
      <c r="R39" s="67">
        <f>IFERROR(6250/1,"")</f>
        <v>6250</v>
      </c>
      <c r="S39" s="68">
        <f>IFERROR(197000/1,"")</f>
        <v>197000</v>
      </c>
      <c r="T39" s="67">
        <f>IFERROR(144057/1,"")</f>
        <v>144057</v>
      </c>
      <c r="U39" s="68" t="str">
        <f>IFERROR("No Data Available"/1,"")</f>
        <v/>
      </c>
      <c r="V39" s="69"/>
      <c r="AH39" s="131">
        <v>45657</v>
      </c>
      <c r="AI39" s="44">
        <v>200000</v>
      </c>
      <c r="AJ39" s="44" t="s">
        <v>67</v>
      </c>
      <c r="AK39" s="45">
        <v>2106</v>
      </c>
    </row>
    <row r="40" spans="3:37" x14ac:dyDescent="0.45">
      <c r="C40" s="26"/>
      <c r="D40" s="26"/>
      <c r="E40" s="27"/>
      <c r="H40" s="48" t="s">
        <v>68</v>
      </c>
      <c r="K40" s="30"/>
      <c r="L40" s="56"/>
      <c r="M40" s="63"/>
      <c r="N40" s="64"/>
      <c r="O40" s="65"/>
      <c r="P40" s="39"/>
      <c r="Q40" s="60" t="s">
        <v>69</v>
      </c>
      <c r="R40" s="62">
        <f>IFERROR(0/1,"")</f>
        <v>0</v>
      </c>
      <c r="S40" s="61">
        <f>IFERROR(-400874/1,"")</f>
        <v>-400874</v>
      </c>
      <c r="T40" s="62">
        <f>IFERROR(0/1,"")</f>
        <v>0</v>
      </c>
      <c r="U40" s="61" t="str">
        <f>IFERROR("No Data Available"/1,"")</f>
        <v/>
      </c>
      <c r="V40" s="30"/>
      <c r="AH40" s="47"/>
      <c r="AI40" s="44"/>
      <c r="AJ40" s="44"/>
      <c r="AK40" s="45"/>
    </row>
    <row r="41" spans="3:37" ht="15" customHeight="1" x14ac:dyDescent="0.45">
      <c r="C41" s="26"/>
      <c r="D41" s="26"/>
      <c r="E41" s="27"/>
      <c r="G41" s="48" t="s">
        <v>70</v>
      </c>
      <c r="H41" s="48" t="s">
        <v>71</v>
      </c>
      <c r="K41" s="30"/>
      <c r="L41" s="56"/>
      <c r="M41" s="63" t="s">
        <v>72</v>
      </c>
      <c r="N41" s="64" t="str">
        <f>SUBSTITUTE("Lead","No Data Available","")</f>
        <v>Lead</v>
      </c>
      <c r="O41" s="65"/>
      <c r="P41" s="39"/>
      <c r="Q41" s="66" t="s">
        <v>73</v>
      </c>
      <c r="R41" s="67">
        <f>-IFERROR(0/1,"")</f>
        <v>0</v>
      </c>
      <c r="S41" s="68">
        <f>-IFERROR(0/1,"")</f>
        <v>0</v>
      </c>
      <c r="T41" s="67">
        <f>-IFERROR(0/1,"")</f>
        <v>0</v>
      </c>
      <c r="U41" s="68" t="e">
        <f>-IFERROR("No Data Available"/1,"")</f>
        <v>#VALUE!</v>
      </c>
      <c r="V41" s="30"/>
      <c r="AH41" s="43"/>
      <c r="AI41" s="44"/>
      <c r="AJ41" s="44"/>
      <c r="AK41" s="45"/>
    </row>
    <row r="42" spans="3:37" x14ac:dyDescent="0.45">
      <c r="C42" s="26"/>
      <c r="D42" s="26"/>
      <c r="E42" s="27"/>
      <c r="H42" s="48" t="s">
        <v>74</v>
      </c>
      <c r="K42" s="30"/>
      <c r="L42" s="56"/>
      <c r="M42" s="63"/>
      <c r="N42" s="64"/>
      <c r="O42" s="65"/>
      <c r="P42" s="39"/>
      <c r="Q42" s="60" t="s">
        <v>75</v>
      </c>
      <c r="R42" s="62">
        <f>IFERROR(375000/1,"")</f>
        <v>375000</v>
      </c>
      <c r="S42" s="61">
        <f>IFERROR(165000/1,"")</f>
        <v>165000</v>
      </c>
      <c r="T42" s="62">
        <f>IFERROR(280000/1,"")</f>
        <v>280000</v>
      </c>
      <c r="U42" s="61" t="str">
        <f>IFERROR("No Data Available"/1,"")</f>
        <v/>
      </c>
      <c r="V42" s="30"/>
      <c r="AH42" s="43"/>
      <c r="AI42" s="44"/>
      <c r="AJ42" s="44"/>
      <c r="AK42" s="45"/>
    </row>
    <row r="43" spans="3:37" x14ac:dyDescent="0.45">
      <c r="C43" s="26"/>
      <c r="D43" s="26"/>
      <c r="E43" s="26"/>
      <c r="H43" s="48" t="s">
        <v>76</v>
      </c>
      <c r="K43" s="30"/>
      <c r="L43" s="56"/>
      <c r="M43" s="30"/>
      <c r="N43" s="30"/>
      <c r="O43" s="65"/>
      <c r="P43" s="39"/>
      <c r="Q43" s="70" t="s">
        <v>77</v>
      </c>
      <c r="R43" s="71" t="s">
        <v>99</v>
      </c>
      <c r="S43" s="72">
        <v>6</v>
      </c>
      <c r="T43" s="71">
        <v>9</v>
      </c>
      <c r="U43" s="72" t="s">
        <v>99</v>
      </c>
      <c r="V43" s="30"/>
      <c r="AH43" s="43"/>
      <c r="AI43" s="44"/>
      <c r="AJ43" s="44"/>
      <c r="AK43" s="45"/>
    </row>
    <row r="44" spans="3:37" x14ac:dyDescent="0.45">
      <c r="C44" s="26"/>
      <c r="D44" s="26"/>
      <c r="E44" s="26"/>
      <c r="G44" s="35" t="s">
        <v>78</v>
      </c>
      <c r="K44" s="30"/>
      <c r="L44" s="56"/>
      <c r="M44" s="57" t="s">
        <v>79</v>
      </c>
      <c r="N44" s="73">
        <f>IFERROR(1298182/1,"")</f>
        <v>1298182</v>
      </c>
      <c r="O44" s="65"/>
      <c r="P44" s="39"/>
      <c r="Q44" s="30"/>
      <c r="R44" s="30"/>
      <c r="S44" s="30"/>
      <c r="T44" s="30"/>
      <c r="U44" s="30"/>
      <c r="V44" s="30"/>
      <c r="AH44" s="43"/>
      <c r="AI44" s="44"/>
      <c r="AJ44" s="44"/>
      <c r="AK44" s="45"/>
    </row>
    <row r="45" spans="3:37" ht="17" thickBot="1" x14ac:dyDescent="0.5">
      <c r="C45" s="26"/>
      <c r="D45" s="26"/>
      <c r="E45" s="26"/>
      <c r="G45" s="74" t="s">
        <v>80</v>
      </c>
      <c r="K45" s="30"/>
      <c r="L45" s="56"/>
      <c r="M45" s="57" t="s">
        <v>81</v>
      </c>
      <c r="N45" s="73">
        <f>IFERROR(1344008.16/1,"")</f>
        <v>1344008.16</v>
      </c>
      <c r="O45" s="65"/>
      <c r="P45" s="39"/>
      <c r="Q45" s="30"/>
      <c r="R45" s="30"/>
      <c r="S45" s="30"/>
      <c r="T45" s="30"/>
      <c r="U45" s="30"/>
      <c r="V45" s="30"/>
      <c r="AC45" s="18" t="s">
        <v>183</v>
      </c>
      <c r="AH45" s="75"/>
      <c r="AI45" s="76"/>
      <c r="AJ45" s="76"/>
      <c r="AK45" s="77"/>
    </row>
    <row r="46" spans="3:37" ht="17" thickBot="1" x14ac:dyDescent="0.5">
      <c r="C46" s="26"/>
      <c r="D46" s="26"/>
      <c r="E46" s="26"/>
      <c r="G46" s="35"/>
      <c r="K46" s="30"/>
      <c r="L46" s="56"/>
      <c r="M46" s="57" t="s">
        <v>82</v>
      </c>
      <c r="N46" s="78">
        <f>N45/N44</f>
        <v>1.0353002583613082</v>
      </c>
      <c r="O46" s="65"/>
      <c r="P46" s="39"/>
      <c r="Q46" s="30"/>
      <c r="R46" s="67"/>
      <c r="S46" s="68"/>
      <c r="T46" s="67"/>
      <c r="U46" s="68"/>
      <c r="V46" s="30"/>
    </row>
    <row r="47" spans="3:37" ht="25.5" thickBot="1" x14ac:dyDescent="0.5">
      <c r="C47" s="26"/>
      <c r="D47" s="26"/>
      <c r="E47" s="26"/>
      <c r="G47" s="74" t="s">
        <v>83</v>
      </c>
      <c r="K47" s="30"/>
      <c r="L47" s="56"/>
      <c r="M47" s="79" t="s">
        <v>84</v>
      </c>
      <c r="N47" s="73">
        <f>IFERROR(1298182/1,"n.a.")</f>
        <v>1298182</v>
      </c>
      <c r="O47" s="65"/>
      <c r="P47" s="39"/>
      <c r="Q47" s="80" t="s">
        <v>85</v>
      </c>
      <c r="R47" s="81" t="s">
        <v>86</v>
      </c>
      <c r="S47" s="81" t="s">
        <v>87</v>
      </c>
      <c r="T47" s="81" t="s">
        <v>88</v>
      </c>
      <c r="U47" s="81" t="s">
        <v>89</v>
      </c>
      <c r="V47" s="30"/>
      <c r="AC47" s="129" t="s">
        <v>52</v>
      </c>
      <c r="AD47" s="82" t="s">
        <v>53</v>
      </c>
      <c r="AE47" s="82" t="s">
        <v>90</v>
      </c>
      <c r="AF47" s="82" t="s">
        <v>91</v>
      </c>
      <c r="AG47" s="83" t="s">
        <v>92</v>
      </c>
    </row>
    <row r="48" spans="3:37" ht="17" thickTop="1" x14ac:dyDescent="0.45">
      <c r="C48" s="26"/>
      <c r="D48" s="26"/>
      <c r="E48" s="26"/>
      <c r="K48" s="30"/>
      <c r="L48" s="56"/>
      <c r="M48" s="79"/>
      <c r="N48" s="84"/>
      <c r="O48" s="65"/>
      <c r="P48" s="39"/>
      <c r="Q48" s="85">
        <f>IF($AC48="","",$AC48)</f>
        <v>45579</v>
      </c>
      <c r="R48" s="85" t="str">
        <f>IF($AE48="","",$AE48)</f>
        <v>Pre-Seed</v>
      </c>
      <c r="S48" s="67">
        <f>IF($AD48="","",$AD48)</f>
        <v>200000</v>
      </c>
      <c r="T48" s="86" t="str">
        <f>IF($AF48="","",$AF48)</f>
        <v/>
      </c>
      <c r="U48" s="86">
        <f>IF($AG48="","",$AG48)</f>
        <v>650000</v>
      </c>
      <c r="V48" s="30"/>
      <c r="AC48" s="130">
        <v>45579</v>
      </c>
      <c r="AD48" s="87">
        <v>200000</v>
      </c>
      <c r="AE48" s="87" t="s">
        <v>93</v>
      </c>
      <c r="AF48" s="88"/>
      <c r="AG48" s="89">
        <v>650000</v>
      </c>
    </row>
    <row r="49" spans="3:33" x14ac:dyDescent="0.45">
      <c r="C49" s="26"/>
      <c r="D49" s="26"/>
      <c r="E49" s="26"/>
      <c r="K49" s="30"/>
      <c r="L49" s="56"/>
      <c r="M49" s="90"/>
      <c r="N49" s="84"/>
      <c r="O49" s="65"/>
      <c r="P49" s="39"/>
      <c r="Q49" s="85">
        <f t="shared" ref="Q49:Q55" si="5">IF($AC49="","",$AC49)</f>
        <v>45803</v>
      </c>
      <c r="R49" s="85" t="str">
        <f t="shared" ref="R49:R55" si="6">IF($AE49="","",$AE49)</f>
        <v>Secondary</v>
      </c>
      <c r="S49" s="67">
        <f t="shared" ref="S49:S55" si="7">IF($AD49="","",$AD49)</f>
        <v>78182</v>
      </c>
      <c r="T49" s="86" t="str">
        <f t="shared" ref="T49:T55" si="8">IF($AF49="","",$AF49)</f>
        <v/>
      </c>
      <c r="U49" s="86">
        <f t="shared" ref="U49:U55" si="9">IF($AG49="","",$AG49)</f>
        <v>215000</v>
      </c>
      <c r="V49" s="30"/>
      <c r="AC49" s="130">
        <v>45803</v>
      </c>
      <c r="AD49" s="87">
        <v>78182</v>
      </c>
      <c r="AE49" s="87" t="s">
        <v>94</v>
      </c>
      <c r="AF49" s="88"/>
      <c r="AG49" s="89">
        <v>215000</v>
      </c>
    </row>
    <row r="50" spans="3:33" x14ac:dyDescent="0.45">
      <c r="C50" s="26"/>
      <c r="D50" s="26"/>
      <c r="E50" s="26"/>
      <c r="K50" s="30"/>
      <c r="L50" s="56"/>
      <c r="M50" s="57" t="s">
        <v>95</v>
      </c>
      <c r="N50" s="39"/>
      <c r="O50" s="65"/>
      <c r="P50" s="39"/>
      <c r="Q50" s="85">
        <f t="shared" si="5"/>
        <v>45803</v>
      </c>
      <c r="R50" s="85" t="str">
        <f t="shared" si="6"/>
        <v>Pre-Seed</v>
      </c>
      <c r="S50" s="67">
        <f t="shared" si="7"/>
        <v>270000</v>
      </c>
      <c r="T50" s="86" t="str">
        <f t="shared" si="8"/>
        <v/>
      </c>
      <c r="U50" s="86">
        <f t="shared" si="9"/>
        <v>550000</v>
      </c>
      <c r="V50" s="91"/>
      <c r="AC50" s="130">
        <v>45803</v>
      </c>
      <c r="AD50" s="87">
        <v>270000</v>
      </c>
      <c r="AE50" s="87" t="s">
        <v>93</v>
      </c>
      <c r="AF50" s="88"/>
      <c r="AG50" s="89">
        <v>550000</v>
      </c>
    </row>
    <row r="51" spans="3:33" x14ac:dyDescent="0.45">
      <c r="C51" s="26"/>
      <c r="D51" s="26"/>
      <c r="E51" s="26"/>
      <c r="K51" s="30"/>
      <c r="L51" s="56"/>
      <c r="M51" s="36" t="str">
        <f>IF($AJ$37="","",$AJ$37)</f>
        <v>At cost: BoI rules // Last round is a Series A round with a €8M pre-money valuation and a total financing round of €3.65M.</v>
      </c>
      <c r="N51" s="36"/>
      <c r="O51" s="65"/>
      <c r="P51" s="39"/>
      <c r="Q51" s="85">
        <f t="shared" si="5"/>
        <v>45860</v>
      </c>
      <c r="R51" s="85" t="str">
        <f t="shared" si="6"/>
        <v>Series A</v>
      </c>
      <c r="S51" s="67">
        <f t="shared" si="7"/>
        <v>750000</v>
      </c>
      <c r="T51" s="86">
        <f t="shared" si="8"/>
        <v>8000000</v>
      </c>
      <c r="U51" s="86">
        <f t="shared" si="9"/>
        <v>3650000</v>
      </c>
      <c r="V51" s="30"/>
      <c r="AC51" s="130">
        <v>45860</v>
      </c>
      <c r="AD51" s="87">
        <v>750000</v>
      </c>
      <c r="AE51" s="87" t="s">
        <v>96</v>
      </c>
      <c r="AF51" s="88">
        <v>8000000</v>
      </c>
      <c r="AG51" s="89">
        <v>3650000</v>
      </c>
    </row>
    <row r="52" spans="3:33" x14ac:dyDescent="0.45">
      <c r="C52" s="26"/>
      <c r="D52" s="26"/>
      <c r="E52" s="26"/>
      <c r="K52" s="30"/>
      <c r="L52" s="56"/>
      <c r="M52" s="36"/>
      <c r="N52" s="36"/>
      <c r="O52" s="65"/>
      <c r="P52" s="92"/>
      <c r="Q52" s="30" t="str">
        <f t="shared" si="5"/>
        <v/>
      </c>
      <c r="R52" s="30" t="str">
        <f t="shared" si="6"/>
        <v/>
      </c>
      <c r="S52" s="30" t="str">
        <f t="shared" si="7"/>
        <v/>
      </c>
      <c r="T52" s="30" t="str">
        <f t="shared" si="8"/>
        <v/>
      </c>
      <c r="U52" s="30" t="str">
        <f t="shared" si="9"/>
        <v/>
      </c>
      <c r="V52" s="30"/>
      <c r="AC52" s="93"/>
      <c r="AD52" s="87"/>
      <c r="AE52" s="87"/>
      <c r="AF52" s="87"/>
      <c r="AG52" s="94"/>
    </row>
    <row r="53" spans="3:33" x14ac:dyDescent="0.45">
      <c r="C53" s="26"/>
      <c r="D53" s="26"/>
      <c r="E53" s="26"/>
      <c r="K53" s="30"/>
      <c r="L53" s="56"/>
      <c r="M53" s="36"/>
      <c r="N53" s="36"/>
      <c r="O53" s="65"/>
      <c r="P53" s="92"/>
      <c r="Q53" s="30" t="str">
        <f t="shared" si="5"/>
        <v/>
      </c>
      <c r="R53" s="30" t="str">
        <f t="shared" si="6"/>
        <v/>
      </c>
      <c r="S53" s="30" t="str">
        <f t="shared" si="7"/>
        <v/>
      </c>
      <c r="T53" s="30" t="str">
        <f t="shared" si="8"/>
        <v/>
      </c>
      <c r="U53" s="30" t="str">
        <f t="shared" si="9"/>
        <v/>
      </c>
      <c r="V53" s="30"/>
      <c r="AC53" s="93"/>
      <c r="AD53" s="87"/>
      <c r="AE53" s="87"/>
      <c r="AF53" s="87"/>
      <c r="AG53" s="94"/>
    </row>
    <row r="54" spans="3:33" x14ac:dyDescent="0.45">
      <c r="C54" s="26"/>
      <c r="D54" s="26"/>
      <c r="E54" s="26"/>
      <c r="K54" s="30"/>
      <c r="L54" s="56"/>
      <c r="M54" s="36"/>
      <c r="N54" s="36"/>
      <c r="O54" s="65"/>
      <c r="P54" s="92"/>
      <c r="Q54" s="30" t="str">
        <f t="shared" si="5"/>
        <v/>
      </c>
      <c r="R54" s="30" t="str">
        <f t="shared" si="6"/>
        <v/>
      </c>
      <c r="S54" s="30" t="str">
        <f t="shared" si="7"/>
        <v/>
      </c>
      <c r="T54" s="30" t="str">
        <f t="shared" si="8"/>
        <v/>
      </c>
      <c r="U54" s="30" t="str">
        <f t="shared" si="9"/>
        <v/>
      </c>
      <c r="V54" s="30"/>
      <c r="AC54" s="93"/>
      <c r="AD54" s="87"/>
      <c r="AE54" s="87"/>
      <c r="AF54" s="87"/>
      <c r="AG54" s="94"/>
    </row>
    <row r="55" spans="3:33" ht="17" thickBot="1" x14ac:dyDescent="0.5">
      <c r="C55" s="26"/>
      <c r="D55" s="26"/>
      <c r="E55" s="26"/>
      <c r="K55" s="30"/>
      <c r="L55" s="56"/>
      <c r="M55" s="36"/>
      <c r="N55" s="36"/>
      <c r="O55" s="65"/>
      <c r="P55" s="92"/>
      <c r="Q55" s="30" t="str">
        <f t="shared" si="5"/>
        <v/>
      </c>
      <c r="R55" s="30" t="str">
        <f t="shared" si="6"/>
        <v/>
      </c>
      <c r="S55" s="30" t="str">
        <f t="shared" si="7"/>
        <v/>
      </c>
      <c r="T55" s="30" t="str">
        <f t="shared" si="8"/>
        <v/>
      </c>
      <c r="U55" s="30" t="str">
        <f t="shared" si="9"/>
        <v/>
      </c>
      <c r="V55" s="30"/>
      <c r="AC55" s="95"/>
      <c r="AD55" s="96"/>
      <c r="AE55" s="96"/>
      <c r="AF55" s="96"/>
      <c r="AG55" s="97"/>
    </row>
    <row r="56" spans="3:33" x14ac:dyDescent="0.45">
      <c r="K56" s="30"/>
      <c r="L56" s="56"/>
      <c r="M56" s="30"/>
      <c r="N56" s="30"/>
      <c r="O56" s="65"/>
      <c r="P56" s="92"/>
      <c r="Q56" s="30"/>
      <c r="R56" s="30"/>
      <c r="S56" s="30"/>
      <c r="T56" s="30"/>
      <c r="U56" s="30"/>
      <c r="V56" s="30"/>
    </row>
    <row r="57" spans="3:33" ht="17" customHeight="1" thickBot="1" x14ac:dyDescent="0.5">
      <c r="H57" s="98" t="s">
        <v>97</v>
      </c>
      <c r="K57" s="30"/>
      <c r="L57" s="56"/>
      <c r="M57" s="57" t="s">
        <v>98</v>
      </c>
      <c r="N57" s="99" t="str">
        <f>SUBSTITUTE("Lorenzo Mannari - Co-founder"&amp;CHAR(10)&amp;"Franz Ludwig Uhl - Co-founder","No Data Available","")</f>
        <v>Lorenzo Mannari - Co-founder
Franz Ludwig Uhl - Co-founder</v>
      </c>
      <c r="O57" s="100"/>
      <c r="P57" s="101" t="s">
        <v>99</v>
      </c>
      <c r="Q57" s="102" t="s">
        <v>100</v>
      </c>
      <c r="R57" s="103"/>
      <c r="S57" s="103" t="s">
        <v>101</v>
      </c>
      <c r="T57" s="103"/>
      <c r="U57" s="103"/>
      <c r="V57" s="30"/>
    </row>
    <row r="58" spans="3:33" ht="25" customHeight="1" x14ac:dyDescent="0.45">
      <c r="G58" s="35" t="s">
        <v>98</v>
      </c>
      <c r="H58" s="104" t="str" cm="1">
        <f t="array" ref="H58:I64">IFERROR(_xlfn._xlws.SORT(_xlfn._xlws.FILTER($AA$58:$AB$67,$AB$58:$AB$67&lt;&gt;""), 2,-1),"")</f>
        <v>Founders and Management</v>
      </c>
      <c r="I58" s="105">
        <v>0.4269</v>
      </c>
      <c r="J58" s="108"/>
      <c r="K58" s="30"/>
      <c r="L58" s="56"/>
      <c r="M58" s="57"/>
      <c r="N58" s="99"/>
      <c r="O58" s="65"/>
      <c r="P58" s="92"/>
      <c r="Q58" s="109" t="str">
        <f t="shared" ref="Q58:Q67" si="10">IF($H58="","",$H58)</f>
        <v>Founders and Management</v>
      </c>
      <c r="R58" s="110"/>
      <c r="S58" s="111">
        <f t="shared" ref="S58:S67" si="11">IF($I58="","",$I58)</f>
        <v>0.4269</v>
      </c>
      <c r="T58" s="111"/>
      <c r="U58" s="111"/>
      <c r="V58" s="30"/>
      <c r="X58" s="35" t="s">
        <v>102</v>
      </c>
      <c r="Y58" s="35" t="s">
        <v>103</v>
      </c>
      <c r="Z58" s="112" t="s">
        <v>104</v>
      </c>
      <c r="AA58" s="112" t="str">
        <f>SUBSTITUTE("Founders and Management","No Data Available","")</f>
        <v>Founders and Management</v>
      </c>
      <c r="AB58" s="113">
        <f>IF($AA58="","",IFERROR(0.4269/1,""))</f>
        <v>0.4269</v>
      </c>
    </row>
    <row r="59" spans="3:33" ht="15.5" customHeight="1" x14ac:dyDescent="0.45">
      <c r="H59" s="106" t="str">
        <v>ESOP</v>
      </c>
      <c r="I59" s="107">
        <v>0.15640000000000001</v>
      </c>
      <c r="J59" s="108"/>
      <c r="K59" s="30"/>
      <c r="L59" s="56"/>
      <c r="M59" s="30"/>
      <c r="N59" s="99"/>
      <c r="O59" s="65"/>
      <c r="P59" s="92"/>
      <c r="Q59" s="109" t="str">
        <f t="shared" si="10"/>
        <v>ESOP</v>
      </c>
      <c r="R59" s="110"/>
      <c r="S59" s="111">
        <f t="shared" si="11"/>
        <v>0.15640000000000001</v>
      </c>
      <c r="T59" s="111"/>
      <c r="U59" s="111"/>
      <c r="V59" s="30"/>
      <c r="X59" s="35" t="s">
        <v>105</v>
      </c>
      <c r="Y59" s="35" t="s">
        <v>103</v>
      </c>
      <c r="Z59" s="112" t="s">
        <v>104</v>
      </c>
      <c r="AA59" s="112" t="str">
        <f>SUBSTITUTE("360 DIGITALY","No Data Available","")</f>
        <v>360 DIGITALY</v>
      </c>
      <c r="AB59" s="113">
        <f>IF($AA59="","",IFERROR(0.1376/1,""))</f>
        <v>0.1376</v>
      </c>
    </row>
    <row r="60" spans="3:33" x14ac:dyDescent="0.45">
      <c r="H60" s="106" t="str">
        <v>360 DIGITALY</v>
      </c>
      <c r="I60" s="107">
        <v>0.1376</v>
      </c>
      <c r="J60" s="108"/>
      <c r="K60" s="30"/>
      <c r="L60" s="56"/>
      <c r="M60" s="57"/>
      <c r="N60" s="114"/>
      <c r="O60" s="65"/>
      <c r="P60" s="92"/>
      <c r="Q60" s="109" t="str">
        <f t="shared" si="10"/>
        <v>360 DIGITALY</v>
      </c>
      <c r="R60" s="110"/>
      <c r="S60" s="111">
        <f t="shared" si="11"/>
        <v>0.1376</v>
      </c>
      <c r="T60" s="111"/>
      <c r="U60" s="111"/>
      <c r="V60" s="30"/>
      <c r="X60" s="35" t="s">
        <v>106</v>
      </c>
      <c r="Y60" s="35" t="s">
        <v>103</v>
      </c>
      <c r="Z60" s="112" t="s">
        <v>104</v>
      </c>
      <c r="AA60" s="112" t="str">
        <f>SUBSTITUTE("360 SICAF","No Data Available","")</f>
        <v>360 SICAF</v>
      </c>
      <c r="AB60" s="113">
        <f>IF($AA60="","",IFERROR(0.1376/1,""))</f>
        <v>0.1376</v>
      </c>
    </row>
    <row r="61" spans="3:33" x14ac:dyDescent="0.45">
      <c r="H61" s="106" t="str">
        <v>360 SICAF</v>
      </c>
      <c r="I61" s="107">
        <v>0.1376</v>
      </c>
      <c r="J61" s="108"/>
      <c r="K61" s="30"/>
      <c r="L61" s="56"/>
      <c r="M61" s="57"/>
      <c r="N61" s="114"/>
      <c r="O61" s="65"/>
      <c r="P61" s="92"/>
      <c r="Q61" s="109" t="str">
        <f t="shared" si="10"/>
        <v>360 SICAF</v>
      </c>
      <c r="R61" s="110"/>
      <c r="S61" s="111">
        <f t="shared" si="11"/>
        <v>0.1376</v>
      </c>
      <c r="T61" s="111"/>
      <c r="U61" s="111"/>
      <c r="V61" s="30"/>
      <c r="X61" s="35" t="s">
        <v>107</v>
      </c>
      <c r="Y61" s="35" t="s">
        <v>103</v>
      </c>
      <c r="Z61" s="112" t="s">
        <v>104</v>
      </c>
      <c r="AA61" s="112" t="str">
        <f>SUBSTITUTE("GE","No Data Available","")</f>
        <v>GE</v>
      </c>
      <c r="AB61" s="113">
        <f>IF($AA61="","",IFERROR(0.035/1,""))</f>
        <v>3.5000000000000003E-2</v>
      </c>
    </row>
    <row r="62" spans="3:33" x14ac:dyDescent="0.45">
      <c r="H62" s="106" t="str">
        <v>Other Investors</v>
      </c>
      <c r="I62" s="107">
        <v>9.0899999999999995E-2</v>
      </c>
      <c r="J62" s="108"/>
      <c r="K62" s="30"/>
      <c r="L62" s="56"/>
      <c r="M62" s="57" t="s">
        <v>108</v>
      </c>
      <c r="N62" s="115" t="str">
        <f>SUBSTITUTE("Lucrezia Lucotti","No Data Available","")</f>
        <v>Lucrezia Lucotti</v>
      </c>
      <c r="O62" s="65"/>
      <c r="P62" s="39"/>
      <c r="Q62" s="109" t="str">
        <f t="shared" si="10"/>
        <v>Other Investors</v>
      </c>
      <c r="R62" s="110"/>
      <c r="S62" s="111">
        <f t="shared" si="11"/>
        <v>9.0899999999999995E-2</v>
      </c>
      <c r="T62" s="111"/>
      <c r="U62" s="111"/>
      <c r="V62" s="30"/>
      <c r="X62" s="35" t="s">
        <v>109</v>
      </c>
      <c r="Y62" s="35" t="s">
        <v>103</v>
      </c>
      <c r="Z62" s="112" t="s">
        <v>104</v>
      </c>
      <c r="AA62" s="112" t="str">
        <f>SUBSTITUTE("Vesper","No Data Available","")</f>
        <v>Vesper</v>
      </c>
      <c r="AB62" s="113">
        <f>IF($AA62="","",IFERROR(0.0156/1,""))</f>
        <v>1.5599999999999999E-2</v>
      </c>
    </row>
    <row r="63" spans="3:33" x14ac:dyDescent="0.45">
      <c r="G63" s="35" t="s">
        <v>108</v>
      </c>
      <c r="H63" s="106" t="str">
        <v>GE</v>
      </c>
      <c r="I63" s="107">
        <v>3.5000000000000003E-2</v>
      </c>
      <c r="J63" s="108"/>
      <c r="K63" s="30"/>
      <c r="L63" s="56"/>
      <c r="M63" s="57" t="s">
        <v>110</v>
      </c>
      <c r="N63" s="115" t="str">
        <f>SUBSTITUTE("n.a.","No Data Available","")</f>
        <v>n.a.</v>
      </c>
      <c r="O63" s="65"/>
      <c r="P63" s="39"/>
      <c r="Q63" s="109" t="str">
        <f t="shared" si="10"/>
        <v>GE</v>
      </c>
      <c r="R63" s="110"/>
      <c r="S63" s="111">
        <f t="shared" si="11"/>
        <v>3.5000000000000003E-2</v>
      </c>
      <c r="T63" s="111"/>
      <c r="U63" s="111"/>
      <c r="V63" s="30"/>
      <c r="X63" s="35" t="s">
        <v>111</v>
      </c>
      <c r="Y63" s="35" t="s">
        <v>103</v>
      </c>
      <c r="Z63" s="112" t="s">
        <v>104</v>
      </c>
      <c r="AA63" s="112" t="str">
        <f>SUBSTITUTE("Other Investors","No Data Available","")</f>
        <v>Other Investors</v>
      </c>
      <c r="AB63" s="113">
        <f>IF($AA63="","",IFERROR(0.0909/1,""))</f>
        <v>9.0899999999999995E-2</v>
      </c>
    </row>
    <row r="64" spans="3:33" ht="13.5" customHeight="1" x14ac:dyDescent="0.45">
      <c r="G64" s="35" t="s">
        <v>110</v>
      </c>
      <c r="H64" s="106" t="str">
        <v>Vesper</v>
      </c>
      <c r="I64" s="107">
        <v>1.5599999999999999E-2</v>
      </c>
      <c r="J64" s="108"/>
      <c r="K64" s="30"/>
      <c r="L64" s="56"/>
      <c r="M64" s="57" t="s">
        <v>112</v>
      </c>
      <c r="N64" s="99" t="str">
        <f>SUBSTITUTE("Consumer Internet &amp; E-commerce","No Data Available","")</f>
        <v>Consumer Internet &amp; E-commerce</v>
      </c>
      <c r="O64" s="65"/>
      <c r="P64" s="39"/>
      <c r="Q64" s="109" t="str">
        <f t="shared" si="10"/>
        <v>Vesper</v>
      </c>
      <c r="R64" s="110"/>
      <c r="S64" s="111">
        <f t="shared" si="11"/>
        <v>1.5599999999999999E-2</v>
      </c>
      <c r="T64" s="111"/>
      <c r="U64" s="111"/>
      <c r="V64" s="30"/>
      <c r="X64" s="35" t="s">
        <v>113</v>
      </c>
      <c r="Y64" s="35" t="s">
        <v>103</v>
      </c>
      <c r="Z64" s="112" t="s">
        <v>104</v>
      </c>
      <c r="AA64" s="112" t="str">
        <f>SUBSTITUTE("ESOP","No Data Available","")</f>
        <v>ESOP</v>
      </c>
      <c r="AB64" s="113">
        <f>IF($AA64="","",IFERROR(0.1564/1,""))</f>
        <v>0.15640000000000001</v>
      </c>
    </row>
    <row r="65" spans="1:28" ht="16.5" customHeight="1" x14ac:dyDescent="0.45">
      <c r="G65" s="35" t="s">
        <v>114</v>
      </c>
      <c r="H65" s="106"/>
      <c r="I65" s="107"/>
      <c r="J65" s="108"/>
      <c r="K65" s="30"/>
      <c r="L65" s="56"/>
      <c r="N65" s="99"/>
      <c r="O65" s="65"/>
      <c r="P65" s="39"/>
      <c r="Q65" s="109" t="str">
        <f t="shared" si="10"/>
        <v/>
      </c>
      <c r="R65" s="110"/>
      <c r="S65" s="111" t="str">
        <f t="shared" si="11"/>
        <v/>
      </c>
      <c r="T65" s="111"/>
      <c r="U65" s="111"/>
      <c r="V65" s="30"/>
      <c r="X65" s="35" t="s">
        <v>115</v>
      </c>
      <c r="Y65" s="35" t="s">
        <v>103</v>
      </c>
      <c r="Z65" s="112" t="s">
        <v>104</v>
      </c>
      <c r="AA65" s="112" t="str">
        <f>SUBSTITUTE("No Data Available","No Data Available","")</f>
        <v/>
      </c>
      <c r="AB65" s="113" t="str">
        <f>IF($AA65="","",IFERROR("No Data Available"/1,""))</f>
        <v/>
      </c>
    </row>
    <row r="66" spans="1:28" x14ac:dyDescent="0.45">
      <c r="H66" s="106"/>
      <c r="I66" s="107"/>
      <c r="J66" s="108"/>
      <c r="K66" s="30"/>
      <c r="L66" s="56"/>
      <c r="M66" s="30"/>
      <c r="N66" s="114"/>
      <c r="O66" s="65"/>
      <c r="P66" s="39"/>
      <c r="Q66" s="109" t="str">
        <f t="shared" si="10"/>
        <v/>
      </c>
      <c r="R66" s="110"/>
      <c r="S66" s="111" t="str">
        <f t="shared" si="11"/>
        <v/>
      </c>
      <c r="T66" s="111"/>
      <c r="U66" s="111"/>
      <c r="V66" s="30"/>
      <c r="X66" s="35" t="s">
        <v>116</v>
      </c>
      <c r="Y66" s="35" t="s">
        <v>103</v>
      </c>
      <c r="Z66" s="112" t="s">
        <v>104</v>
      </c>
      <c r="AA66" s="112" t="str">
        <f>SUBSTITUTE("No Data Available","No Data Available","")</f>
        <v/>
      </c>
      <c r="AB66" s="113" t="str">
        <f>IF($AA66="","",IFERROR("No Data Available"/1,""))</f>
        <v/>
      </c>
    </row>
    <row r="67" spans="1:28" ht="17" thickBot="1" x14ac:dyDescent="0.5">
      <c r="H67" s="116"/>
      <c r="I67" s="117"/>
      <c r="J67" s="108"/>
      <c r="K67" s="30"/>
      <c r="L67" s="118"/>
      <c r="M67" s="119"/>
      <c r="N67" s="119"/>
      <c r="O67" s="120"/>
      <c r="P67" s="39"/>
      <c r="Q67" s="109" t="str">
        <f t="shared" si="10"/>
        <v/>
      </c>
      <c r="R67" s="110"/>
      <c r="S67" s="111" t="str">
        <f t="shared" si="11"/>
        <v/>
      </c>
      <c r="T67" s="111"/>
      <c r="U67" s="111"/>
      <c r="V67" s="30"/>
      <c r="X67" s="35" t="s">
        <v>117</v>
      </c>
      <c r="Y67" s="35" t="s">
        <v>103</v>
      </c>
      <c r="Z67" s="112" t="s">
        <v>104</v>
      </c>
      <c r="AA67" s="112" t="str">
        <f>SUBSTITUTE("No Data Available","No Data Available","")</f>
        <v/>
      </c>
      <c r="AB67" s="113" t="str">
        <f>IF($AA67="","",IFERROR("No Data Available"/1,""))</f>
        <v/>
      </c>
    </row>
    <row r="68" spans="1:28" ht="13.75" customHeight="1" thickBot="1" x14ac:dyDescent="0.5">
      <c r="K68" s="30"/>
      <c r="L68" s="121"/>
      <c r="M68" s="122"/>
      <c r="N68" s="123"/>
      <c r="O68" s="124"/>
      <c r="P68" s="39"/>
      <c r="Q68" s="109"/>
      <c r="R68" s="110"/>
      <c r="S68" s="110"/>
      <c r="T68" s="110"/>
      <c r="U68" s="110"/>
      <c r="V68" s="30"/>
    </row>
    <row r="71" spans="1:28" x14ac:dyDescent="0.45">
      <c r="A71" s="125" t="s">
        <v>118</v>
      </c>
      <c r="B71" s="125" t="s">
        <v>1</v>
      </c>
    </row>
    <row r="73" spans="1:28" ht="121.75" customHeight="1" x14ac:dyDescent="0.45">
      <c r="A73" s="126" t="e" vm="2">
        <v>#VALUE!</v>
      </c>
      <c r="B73" s="126" t="s">
        <v>119</v>
      </c>
    </row>
    <row r="74" spans="1:28" ht="121.75" customHeight="1" x14ac:dyDescent="0.45">
      <c r="A74" s="126" t="e" vm="3">
        <v>#VALUE!</v>
      </c>
      <c r="B74" s="126" t="s">
        <v>120</v>
      </c>
    </row>
    <row r="75" spans="1:28" ht="121.75" customHeight="1" x14ac:dyDescent="0.45">
      <c r="A75" s="126" t="e" vm="4">
        <v>#VALUE!</v>
      </c>
      <c r="B75" s="126" t="s">
        <v>121</v>
      </c>
    </row>
    <row r="76" spans="1:28" ht="121.75" customHeight="1" x14ac:dyDescent="0.45">
      <c r="A76" s="126" t="e" vm="5">
        <v>#VALUE!</v>
      </c>
      <c r="B76" s="126" t="s">
        <v>122</v>
      </c>
    </row>
    <row r="77" spans="1:28" ht="121.75" customHeight="1" x14ac:dyDescent="0.45">
      <c r="A77" s="126" t="e" vm="6">
        <v>#VALUE!</v>
      </c>
      <c r="B77" s="126" t="s">
        <v>123</v>
      </c>
    </row>
    <row r="78" spans="1:28" ht="121.75" customHeight="1" x14ac:dyDescent="0.45">
      <c r="A78" s="126" t="e" vm="7">
        <v>#VALUE!</v>
      </c>
      <c r="B78" s="126" t="s">
        <v>124</v>
      </c>
    </row>
    <row r="79" spans="1:28" ht="121.75" customHeight="1" x14ac:dyDescent="0.45">
      <c r="A79" s="126" t="e" vm="8">
        <v>#VALUE!</v>
      </c>
      <c r="B79" s="126" t="s">
        <v>125</v>
      </c>
    </row>
    <row r="80" spans="1:28" ht="121.75" customHeight="1" x14ac:dyDescent="0.45">
      <c r="A80" s="126" t="e" vm="9">
        <v>#VALUE!</v>
      </c>
      <c r="B80" s="126" t="s">
        <v>126</v>
      </c>
    </row>
    <row r="81" spans="1:2" ht="121.75" customHeight="1" x14ac:dyDescent="0.45">
      <c r="A81" s="126" t="e" vm="10">
        <v>#VALUE!</v>
      </c>
      <c r="B81" s="126" t="s">
        <v>127</v>
      </c>
    </row>
    <row r="82" spans="1:2" ht="121.75" customHeight="1" x14ac:dyDescent="0.45">
      <c r="A82" s="126" t="e" vm="11">
        <v>#VALUE!</v>
      </c>
      <c r="B82" s="126" t="s">
        <v>128</v>
      </c>
    </row>
    <row r="83" spans="1:2" ht="121.75" customHeight="1" x14ac:dyDescent="0.45">
      <c r="A83" s="126" t="e" vm="12">
        <v>#VALUE!</v>
      </c>
      <c r="B83" s="126" t="s">
        <v>129</v>
      </c>
    </row>
    <row r="84" spans="1:2" ht="121.75" customHeight="1" x14ac:dyDescent="0.45">
      <c r="A84" s="126" t="e" vm="13">
        <v>#VALUE!</v>
      </c>
      <c r="B84" s="126" t="s">
        <v>130</v>
      </c>
    </row>
    <row r="85" spans="1:2" ht="121.75" customHeight="1" x14ac:dyDescent="0.45">
      <c r="A85" s="126" t="e" vm="14">
        <v>#VALUE!</v>
      </c>
      <c r="B85" s="126" t="s">
        <v>131</v>
      </c>
    </row>
    <row r="86" spans="1:2" ht="121.75" customHeight="1" x14ac:dyDescent="0.45">
      <c r="A86" s="126" t="e" vm="15">
        <v>#VALUE!</v>
      </c>
      <c r="B86" s="126" t="s">
        <v>132</v>
      </c>
    </row>
    <row r="87" spans="1:2" ht="121.75" customHeight="1" x14ac:dyDescent="0.45">
      <c r="A87" s="126" t="e" vm="16">
        <v>#VALUE!</v>
      </c>
      <c r="B87" s="126" t="s">
        <v>133</v>
      </c>
    </row>
    <row r="88" spans="1:2" ht="121.75" customHeight="1" x14ac:dyDescent="0.45">
      <c r="A88" s="126" t="e" vm="17">
        <v>#VALUE!</v>
      </c>
      <c r="B88" s="126" t="s">
        <v>134</v>
      </c>
    </row>
    <row r="89" spans="1:2" ht="121.75" customHeight="1" x14ac:dyDescent="0.45">
      <c r="A89" s="126" t="e" vm="18">
        <v>#VALUE!</v>
      </c>
      <c r="B89" s="126" t="s">
        <v>135</v>
      </c>
    </row>
    <row r="90" spans="1:2" ht="121.75" customHeight="1" x14ac:dyDescent="0.45">
      <c r="A90" s="126" t="e" vm="19">
        <v>#VALUE!</v>
      </c>
      <c r="B90" s="126" t="s">
        <v>136</v>
      </c>
    </row>
    <row r="91" spans="1:2" ht="121.75" customHeight="1" x14ac:dyDescent="0.45">
      <c r="A91" s="126" t="e" vm="20">
        <v>#VALUE!</v>
      </c>
      <c r="B91" s="126" t="s">
        <v>137</v>
      </c>
    </row>
    <row r="92" spans="1:2" ht="121.75" customHeight="1" x14ac:dyDescent="0.45">
      <c r="A92" s="126" t="e" vm="21">
        <v>#VALUE!</v>
      </c>
      <c r="B92" s="126" t="s">
        <v>138</v>
      </c>
    </row>
    <row r="93" spans="1:2" ht="121.75" customHeight="1" x14ac:dyDescent="0.45">
      <c r="A93" s="126" t="e" vm="22">
        <v>#VALUE!</v>
      </c>
      <c r="B93" s="126" t="s">
        <v>139</v>
      </c>
    </row>
    <row r="94" spans="1:2" ht="121.75" customHeight="1" x14ac:dyDescent="0.45">
      <c r="A94" s="126" t="e" vm="23">
        <v>#VALUE!</v>
      </c>
      <c r="B94" s="126" t="s">
        <v>140</v>
      </c>
    </row>
    <row r="95" spans="1:2" ht="121.75" customHeight="1" x14ac:dyDescent="0.45">
      <c r="A95" s="126" t="e" vm="24">
        <v>#VALUE!</v>
      </c>
      <c r="B95" s="126" t="s">
        <v>141</v>
      </c>
    </row>
    <row r="96" spans="1:2" ht="121.75" customHeight="1" x14ac:dyDescent="0.45">
      <c r="A96" s="126" t="e" vm="25">
        <v>#VALUE!</v>
      </c>
      <c r="B96" s="126" t="s">
        <v>142</v>
      </c>
    </row>
    <row r="97" spans="1:2" ht="121.75" customHeight="1" x14ac:dyDescent="0.45">
      <c r="A97" s="126" t="e" vm="26">
        <v>#VALUE!</v>
      </c>
      <c r="B97" s="126" t="s">
        <v>143</v>
      </c>
    </row>
    <row r="98" spans="1:2" ht="121.75" customHeight="1" x14ac:dyDescent="0.45">
      <c r="A98" s="126" t="e" vm="27">
        <v>#VALUE!</v>
      </c>
      <c r="B98" s="126" t="s">
        <v>144</v>
      </c>
    </row>
    <row r="99" spans="1:2" ht="121.75" customHeight="1" x14ac:dyDescent="0.45">
      <c r="A99" s="126" t="e" vm="28">
        <v>#VALUE!</v>
      </c>
      <c r="B99" s="126" t="s">
        <v>145</v>
      </c>
    </row>
    <row r="100" spans="1:2" ht="121.75" customHeight="1" x14ac:dyDescent="0.45">
      <c r="A100" s="126" t="e" vm="29">
        <v>#VALUE!</v>
      </c>
      <c r="B100" s="126" t="s">
        <v>25</v>
      </c>
    </row>
    <row r="101" spans="1:2" ht="121.75" customHeight="1" x14ac:dyDescent="0.45">
      <c r="A101" s="126" t="e" vm="30">
        <v>#VALUE!</v>
      </c>
      <c r="B101" s="126" t="s">
        <v>146</v>
      </c>
    </row>
    <row r="102" spans="1:2" ht="121.75" customHeight="1" x14ac:dyDescent="0.45">
      <c r="A102" s="126" t="e" vm="31">
        <v>#VALUE!</v>
      </c>
      <c r="B102" s="126" t="s">
        <v>147</v>
      </c>
    </row>
    <row r="103" spans="1:2" ht="121.75" customHeight="1" x14ac:dyDescent="0.45">
      <c r="A103" s="126" t="e" vm="32">
        <v>#VALUE!</v>
      </c>
      <c r="B103" s="126" t="s">
        <v>148</v>
      </c>
    </row>
    <row r="104" spans="1:2" ht="121.75" customHeight="1" x14ac:dyDescent="0.45">
      <c r="A104" s="126" t="e" vm="33">
        <v>#VALUE!</v>
      </c>
      <c r="B104" s="126" t="s">
        <v>149</v>
      </c>
    </row>
    <row r="105" spans="1:2" ht="121.75" customHeight="1" x14ac:dyDescent="0.45">
      <c r="A105" s="126" t="e" vm="34">
        <v>#VALUE!</v>
      </c>
      <c r="B105" s="126" t="s">
        <v>150</v>
      </c>
    </row>
    <row r="106" spans="1:2" ht="121.75" customHeight="1" x14ac:dyDescent="0.45">
      <c r="A106" s="126" t="e" vm="35">
        <v>#VALUE!</v>
      </c>
      <c r="B106" s="126" t="s">
        <v>151</v>
      </c>
    </row>
    <row r="107" spans="1:2" ht="121.75" customHeight="1" x14ac:dyDescent="0.45">
      <c r="A107" s="126" t="e" vm="36">
        <v>#VALUE!</v>
      </c>
      <c r="B107" s="126" t="s">
        <v>152</v>
      </c>
    </row>
    <row r="108" spans="1:2" ht="121.75" customHeight="1" x14ac:dyDescent="0.45">
      <c r="A108" s="126" t="e" vm="37">
        <v>#VALUE!</v>
      </c>
      <c r="B108" s="126" t="s">
        <v>153</v>
      </c>
    </row>
    <row r="109" spans="1:2" ht="121.75" customHeight="1" x14ac:dyDescent="0.45">
      <c r="A109" s="126" t="e" vm="38">
        <v>#VALUE!</v>
      </c>
      <c r="B109" s="126" t="s">
        <v>33</v>
      </c>
    </row>
    <row r="110" spans="1:2" ht="121.75" customHeight="1" x14ac:dyDescent="0.45">
      <c r="A110" s="126" t="e" vm="39">
        <v>#VALUE!</v>
      </c>
      <c r="B110" s="126" t="s">
        <v>154</v>
      </c>
    </row>
    <row r="111" spans="1:2" ht="121.75" customHeight="1" x14ac:dyDescent="0.45">
      <c r="A111" s="126" t="e" vm="40">
        <v>#VALUE!</v>
      </c>
      <c r="B111" s="126" t="s">
        <v>155</v>
      </c>
    </row>
    <row r="112" spans="1:2" ht="121.75" customHeight="1" x14ac:dyDescent="0.45">
      <c r="A112" s="126" t="e" vm="41">
        <v>#VALUE!</v>
      </c>
      <c r="B112" s="126" t="s">
        <v>156</v>
      </c>
    </row>
    <row r="113" spans="1:2" ht="121.75" customHeight="1" x14ac:dyDescent="0.45">
      <c r="A113" s="126" t="e" vm="42">
        <v>#VALUE!</v>
      </c>
      <c r="B113" s="126" t="s">
        <v>157</v>
      </c>
    </row>
    <row r="114" spans="1:2" ht="121.75" customHeight="1" x14ac:dyDescent="0.45">
      <c r="A114" s="126" t="e" vm="43">
        <v>#VALUE!</v>
      </c>
      <c r="B114" s="126" t="s">
        <v>158</v>
      </c>
    </row>
    <row r="115" spans="1:2" ht="121.75" customHeight="1" x14ac:dyDescent="0.45">
      <c r="A115" s="126" t="e" vm="44">
        <v>#VALUE!</v>
      </c>
      <c r="B115" s="126" t="s">
        <v>35</v>
      </c>
    </row>
    <row r="116" spans="1:2" ht="121.75" customHeight="1" x14ac:dyDescent="0.45">
      <c r="A116" s="126" t="e" vm="45">
        <v>#VALUE!</v>
      </c>
      <c r="B116" s="126" t="s">
        <v>159</v>
      </c>
    </row>
    <row r="117" spans="1:2" ht="121.75" customHeight="1" x14ac:dyDescent="0.45">
      <c r="A117" s="126" t="e" vm="46">
        <v>#VALUE!</v>
      </c>
      <c r="B117" s="126" t="s">
        <v>160</v>
      </c>
    </row>
    <row r="118" spans="1:2" ht="121.75" customHeight="1" x14ac:dyDescent="0.45">
      <c r="A118" s="126" t="e" vm="47">
        <v>#VALUE!</v>
      </c>
      <c r="B118" s="126" t="s">
        <v>161</v>
      </c>
    </row>
    <row r="119" spans="1:2" ht="121.75" customHeight="1" x14ac:dyDescent="0.45">
      <c r="A119" s="126" t="e" vm="48">
        <v>#VALUE!</v>
      </c>
      <c r="B119" s="126" t="s">
        <v>162</v>
      </c>
    </row>
    <row r="120" spans="1:2" ht="121.75" customHeight="1" x14ac:dyDescent="0.45">
      <c r="A120" s="126" t="e" vm="49">
        <v>#VALUE!</v>
      </c>
      <c r="B120" s="126" t="s">
        <v>163</v>
      </c>
    </row>
    <row r="121" spans="1:2" ht="121.75" customHeight="1" x14ac:dyDescent="0.45">
      <c r="A121" s="126" t="e" vm="50">
        <v>#VALUE!</v>
      </c>
      <c r="B121" s="126" t="s">
        <v>164</v>
      </c>
    </row>
    <row r="122" spans="1:2" ht="121.75" customHeight="1" x14ac:dyDescent="0.45">
      <c r="A122" s="126" t="e" vm="51">
        <v>#VALUE!</v>
      </c>
      <c r="B122" s="126" t="s">
        <v>165</v>
      </c>
    </row>
    <row r="123" spans="1:2" ht="121.75" customHeight="1" x14ac:dyDescent="0.45">
      <c r="A123" s="126" t="e" vm="52">
        <v>#VALUE!</v>
      </c>
      <c r="B123" s="126" t="s">
        <v>166</v>
      </c>
    </row>
    <row r="124" spans="1:2" ht="121.75" customHeight="1" x14ac:dyDescent="0.45">
      <c r="A124" s="126" t="e" vm="53">
        <v>#VALUE!</v>
      </c>
      <c r="B124" s="126" t="s">
        <v>167</v>
      </c>
    </row>
    <row r="125" spans="1:2" ht="121.75" customHeight="1" x14ac:dyDescent="0.45">
      <c r="A125" s="126" t="e" vm="54">
        <v>#VALUE!</v>
      </c>
      <c r="B125" s="126" t="s">
        <v>168</v>
      </c>
    </row>
    <row r="126" spans="1:2" ht="121.75" customHeight="1" x14ac:dyDescent="0.45">
      <c r="A126" s="126" t="e" vm="55">
        <v>#VALUE!</v>
      </c>
      <c r="B126" s="126" t="s">
        <v>169</v>
      </c>
    </row>
    <row r="127" spans="1:2" ht="121.75" customHeight="1" x14ac:dyDescent="0.45">
      <c r="A127" s="126" t="e" vm="56">
        <v>#VALUE!</v>
      </c>
      <c r="B127" s="126" t="s">
        <v>170</v>
      </c>
    </row>
    <row r="128" spans="1:2" ht="121.75" customHeight="1" x14ac:dyDescent="0.45">
      <c r="A128" s="126" t="e" vm="57">
        <v>#VALUE!</v>
      </c>
      <c r="B128" s="126" t="s">
        <v>171</v>
      </c>
    </row>
    <row r="129" spans="1:2" ht="121.75" customHeight="1" x14ac:dyDescent="0.45">
      <c r="A129" s="126" t="e" vm="58">
        <v>#VALUE!</v>
      </c>
      <c r="B129" s="126" t="s">
        <v>172</v>
      </c>
    </row>
    <row r="130" spans="1:2" ht="121.75" customHeight="1" x14ac:dyDescent="0.45">
      <c r="A130" s="126" t="e" vm="59">
        <v>#VALUE!</v>
      </c>
      <c r="B130" s="126" t="s">
        <v>173</v>
      </c>
    </row>
    <row r="131" spans="1:2" ht="121.75" customHeight="1" x14ac:dyDescent="0.45">
      <c r="A131" s="126" t="e" vm="60">
        <v>#VALUE!</v>
      </c>
      <c r="B131" s="126" t="s">
        <v>174</v>
      </c>
    </row>
    <row r="132" spans="1:2" ht="121.75" customHeight="1" x14ac:dyDescent="0.45">
      <c r="A132" s="126" t="e" vm="61">
        <v>#VALUE!</v>
      </c>
      <c r="B132" s="126" t="s">
        <v>41</v>
      </c>
    </row>
    <row r="133" spans="1:2" ht="121.75" customHeight="1" x14ac:dyDescent="0.45">
      <c r="A133" s="126" t="e" vm="62">
        <v>#VALUE!</v>
      </c>
      <c r="B133" s="126" t="s">
        <v>175</v>
      </c>
    </row>
    <row r="134" spans="1:2" ht="121.75" customHeight="1" x14ac:dyDescent="0.45">
      <c r="A134" s="126" t="e" vm="63">
        <v>#VALUE!</v>
      </c>
      <c r="B134" s="126" t="s">
        <v>176</v>
      </c>
    </row>
    <row r="135" spans="1:2" ht="121.75" customHeight="1" x14ac:dyDescent="0.45">
      <c r="A135" s="126" t="e" vm="64">
        <v>#VALUE!</v>
      </c>
      <c r="B135" s="126" t="s">
        <v>177</v>
      </c>
    </row>
    <row r="136" spans="1:2" ht="121.75" customHeight="1" x14ac:dyDescent="0.45">
      <c r="A136" s="126" t="e" vm="65">
        <v>#VALUE!</v>
      </c>
      <c r="B136" s="126" t="s">
        <v>178</v>
      </c>
    </row>
    <row r="137" spans="1:2" ht="121.75" customHeight="1" x14ac:dyDescent="0.45">
      <c r="A137" s="126" t="e" vm="66">
        <v>#VALUE!</v>
      </c>
      <c r="B137" s="126" t="s">
        <v>179</v>
      </c>
    </row>
    <row r="138" spans="1:2" ht="121.75" customHeight="1" x14ac:dyDescent="0.45">
      <c r="A138" s="126" t="e" vm="67">
        <v>#VALUE!</v>
      </c>
      <c r="B138" s="126" t="s">
        <v>43</v>
      </c>
    </row>
    <row r="139" spans="1:2" ht="121.75" customHeight="1" x14ac:dyDescent="0.45">
      <c r="A139" s="127" t="e" vm="68">
        <v>#VALUE!</v>
      </c>
      <c r="B139" s="126" t="s">
        <v>37</v>
      </c>
    </row>
    <row r="140" spans="1:2" ht="121.75" customHeight="1" x14ac:dyDescent="0.45">
      <c r="A140"/>
      <c r="B140" s="126" t="s">
        <v>39</v>
      </c>
    </row>
    <row r="141" spans="1:2" ht="121.75" customHeight="1" x14ac:dyDescent="0.45">
      <c r="A141" s="128"/>
      <c r="B141" s="128"/>
    </row>
    <row r="142" spans="1:2" ht="121.75" customHeight="1" x14ac:dyDescent="0.45">
      <c r="A142" s="128"/>
      <c r="B142" s="128"/>
    </row>
    <row r="143" spans="1:2" ht="121.75" customHeight="1" x14ac:dyDescent="0.45">
      <c r="A143" s="128"/>
      <c r="B143" s="128"/>
    </row>
    <row r="144" spans="1:2" ht="121.75" customHeight="1" x14ac:dyDescent="0.45">
      <c r="A144" s="128"/>
      <c r="B144" s="128"/>
    </row>
    <row r="145" spans="1:2" ht="121.75" customHeight="1" x14ac:dyDescent="0.45">
      <c r="A145" s="128"/>
      <c r="B145" s="128"/>
    </row>
    <row r="146" spans="1:2" ht="121.75" customHeight="1" x14ac:dyDescent="0.45">
      <c r="A146" s="128"/>
      <c r="B146" s="128"/>
    </row>
    <row r="147" spans="1:2" ht="121.75" customHeight="1" x14ac:dyDescent="0.45">
      <c r="A147" s="128"/>
      <c r="B147" s="128"/>
    </row>
    <row r="148" spans="1:2" ht="121.75" customHeight="1" x14ac:dyDescent="0.45">
      <c r="A148" s="128"/>
      <c r="B148" s="128"/>
    </row>
    <row r="149" spans="1:2" ht="121.75" customHeight="1" x14ac:dyDescent="0.45">
      <c r="A149" s="128"/>
      <c r="B149" s="128"/>
    </row>
    <row r="150" spans="1:2" ht="121.75" customHeight="1" x14ac:dyDescent="0.45">
      <c r="A150" s="128"/>
      <c r="B150" s="128"/>
    </row>
    <row r="151" spans="1:2" ht="121.75" customHeight="1" x14ac:dyDescent="0.45">
      <c r="A151" s="128"/>
      <c r="B151" s="128"/>
    </row>
    <row r="152" spans="1:2" ht="121.75" customHeight="1" x14ac:dyDescent="0.45">
      <c r="A152" s="128"/>
      <c r="B152" s="128"/>
    </row>
    <row r="153" spans="1:2" ht="121.75" customHeight="1" x14ac:dyDescent="0.45">
      <c r="A153" s="128"/>
      <c r="B153" s="128"/>
    </row>
    <row r="154" spans="1:2" ht="121.75" customHeight="1" x14ac:dyDescent="0.45">
      <c r="A154" s="128"/>
      <c r="B154" s="128"/>
    </row>
    <row r="155" spans="1:2" ht="121.75" customHeight="1" x14ac:dyDescent="0.45">
      <c r="A155" s="128"/>
      <c r="B155" s="128"/>
    </row>
    <row r="156" spans="1:2" ht="121.75" customHeight="1" x14ac:dyDescent="0.45">
      <c r="A156" s="128"/>
      <c r="B156" s="128"/>
    </row>
    <row r="157" spans="1:2" ht="121.75" customHeight="1" x14ac:dyDescent="0.45">
      <c r="A157" s="128"/>
      <c r="B157" s="128"/>
    </row>
    <row r="158" spans="1:2" ht="121.75" customHeight="1" x14ac:dyDescent="0.45">
      <c r="A158" s="128"/>
      <c r="B158" s="128"/>
    </row>
    <row r="159" spans="1:2" ht="121.75" customHeight="1" x14ac:dyDescent="0.45">
      <c r="A159" s="128"/>
      <c r="B159" s="128"/>
    </row>
    <row r="160" spans="1:2" ht="121.75" customHeight="1" x14ac:dyDescent="0.45">
      <c r="A160" s="128"/>
      <c r="B160" s="128"/>
    </row>
    <row r="161" spans="1:2" ht="121.75" customHeight="1" x14ac:dyDescent="0.45">
      <c r="A161" s="128"/>
      <c r="B161" s="128"/>
    </row>
    <row r="162" spans="1:2" ht="121.75" customHeight="1" x14ac:dyDescent="0.45">
      <c r="A162" s="128"/>
      <c r="B162" s="128"/>
    </row>
    <row r="163" spans="1:2" ht="121.75" customHeight="1" x14ac:dyDescent="0.45">
      <c r="A163" s="128"/>
      <c r="B163" s="128"/>
    </row>
    <row r="164" spans="1:2" ht="121.75" customHeight="1" x14ac:dyDescent="0.45">
      <c r="A164" s="128"/>
      <c r="B164" s="128"/>
    </row>
    <row r="165" spans="1:2" ht="121.75" customHeight="1" x14ac:dyDescent="0.45">
      <c r="A165" s="128"/>
      <c r="B165" s="128"/>
    </row>
    <row r="166" spans="1:2" ht="121.75" customHeight="1" x14ac:dyDescent="0.45">
      <c r="A166" s="128"/>
      <c r="B166" s="128"/>
    </row>
    <row r="167" spans="1:2" ht="121.75" customHeight="1" x14ac:dyDescent="0.45">
      <c r="A167" s="128"/>
      <c r="B167" s="128"/>
    </row>
    <row r="168" spans="1:2" ht="121.75" customHeight="1" x14ac:dyDescent="0.45">
      <c r="A168" s="128"/>
      <c r="B168" s="128"/>
    </row>
    <row r="169" spans="1:2" ht="121.75" customHeight="1" x14ac:dyDescent="0.45">
      <c r="A169" s="128"/>
      <c r="B169" s="128"/>
    </row>
    <row r="170" spans="1:2" ht="121.75" customHeight="1" x14ac:dyDescent="0.45">
      <c r="A170" s="128"/>
      <c r="B170" s="128"/>
    </row>
    <row r="171" spans="1:2" ht="121.75" customHeight="1" x14ac:dyDescent="0.45">
      <c r="A171" s="128"/>
      <c r="B171" s="128"/>
    </row>
    <row r="172" spans="1:2" ht="121.75" customHeight="1" x14ac:dyDescent="0.45">
      <c r="A172" s="128"/>
      <c r="B172" s="128"/>
    </row>
    <row r="173" spans="1:2" ht="121.75" customHeight="1" x14ac:dyDescent="0.45">
      <c r="A173" s="128"/>
      <c r="B173" s="128"/>
    </row>
    <row r="174" spans="1:2" ht="121.75" customHeight="1" x14ac:dyDescent="0.45">
      <c r="A174" s="128"/>
      <c r="B174" s="128"/>
    </row>
    <row r="175" spans="1:2" ht="121.75" customHeight="1" x14ac:dyDescent="0.45">
      <c r="A175" s="128"/>
      <c r="B175" s="128"/>
    </row>
    <row r="176" spans="1:2" ht="121.75" customHeight="1" x14ac:dyDescent="0.45">
      <c r="A176" s="128"/>
      <c r="B176" s="128"/>
    </row>
    <row r="177" spans="1:2" ht="121.75" customHeight="1" x14ac:dyDescent="0.45">
      <c r="A177" s="128"/>
      <c r="B177" s="128"/>
    </row>
    <row r="178" spans="1:2" ht="121.75" customHeight="1" x14ac:dyDescent="0.45">
      <c r="A178" s="128"/>
      <c r="B178" s="128"/>
    </row>
    <row r="179" spans="1:2" ht="121.75" customHeight="1" x14ac:dyDescent="0.45">
      <c r="A179" s="128"/>
      <c r="B179" s="128"/>
    </row>
    <row r="180" spans="1:2" ht="121.75" customHeight="1" x14ac:dyDescent="0.45">
      <c r="A180" s="128"/>
      <c r="B180" s="128"/>
    </row>
    <row r="181" spans="1:2" ht="121.75" customHeight="1" x14ac:dyDescent="0.45">
      <c r="A181" s="128"/>
      <c r="B181" s="128"/>
    </row>
    <row r="182" spans="1:2" ht="121.75" customHeight="1" x14ac:dyDescent="0.45">
      <c r="A182" s="128"/>
      <c r="B182" s="128"/>
    </row>
    <row r="183" spans="1:2" ht="121.75" customHeight="1" x14ac:dyDescent="0.45">
      <c r="A183" s="128"/>
      <c r="B183" s="128"/>
    </row>
    <row r="184" spans="1:2" ht="121.75" customHeight="1" x14ac:dyDescent="0.45">
      <c r="A184" s="128"/>
      <c r="B184" s="128"/>
    </row>
    <row r="185" spans="1:2" ht="121.75" customHeight="1" x14ac:dyDescent="0.45">
      <c r="A185" s="128"/>
      <c r="B185" s="128"/>
    </row>
    <row r="186" spans="1:2" ht="121.75" customHeight="1" x14ac:dyDescent="0.45">
      <c r="A186" s="128"/>
      <c r="B186" s="128"/>
    </row>
    <row r="187" spans="1:2" ht="121.75" customHeight="1" x14ac:dyDescent="0.45">
      <c r="A187" s="128"/>
      <c r="B187" s="128"/>
    </row>
  </sheetData>
  <mergeCells count="38">
    <mergeCell ref="Q66:R66"/>
    <mergeCell ref="S66:U66"/>
    <mergeCell ref="Q67:R67"/>
    <mergeCell ref="S67:U67"/>
    <mergeCell ref="Q68:R68"/>
    <mergeCell ref="S68:U68"/>
    <mergeCell ref="Q63:R63"/>
    <mergeCell ref="S63:U63"/>
    <mergeCell ref="N64:N65"/>
    <mergeCell ref="Q64:R64"/>
    <mergeCell ref="S64:U64"/>
    <mergeCell ref="Q65:R65"/>
    <mergeCell ref="S65:U65"/>
    <mergeCell ref="Q60:R60"/>
    <mergeCell ref="S60:U60"/>
    <mergeCell ref="Q61:R61"/>
    <mergeCell ref="S61:U61"/>
    <mergeCell ref="Q62:R62"/>
    <mergeCell ref="S62:U62"/>
    <mergeCell ref="N57:N59"/>
    <mergeCell ref="Q57:R57"/>
    <mergeCell ref="S57:U57"/>
    <mergeCell ref="Q58:R58"/>
    <mergeCell ref="S58:U58"/>
    <mergeCell ref="Q59:R59"/>
    <mergeCell ref="S59:U59"/>
    <mergeCell ref="M39:M40"/>
    <mergeCell ref="N39:N40"/>
    <mergeCell ref="M41:M42"/>
    <mergeCell ref="N41:N42"/>
    <mergeCell ref="M47:M48"/>
    <mergeCell ref="M51:N55"/>
    <mergeCell ref="M19:N20"/>
    <mergeCell ref="S19:T20"/>
    <mergeCell ref="U19:U20"/>
    <mergeCell ref="M21:N27"/>
    <mergeCell ref="Q23:U28"/>
    <mergeCell ref="M30:U35"/>
  </mergeCells>
  <dataValidations count="3">
    <dataValidation type="list" allowBlank="1" showInputMessage="1" showErrorMessage="1" sqref="U19:U20" xr:uid="{9822C148-65BC-4B94-AB0F-2FA544A6F534}">
      <formula1>OFFSET($E$21,0,0,COUNTA($E:$E))</formula1>
    </dataValidation>
    <dataValidation type="list" allowBlank="1" showInputMessage="1" showErrorMessage="1" sqref="M19:N20" xr:uid="{88CF8EC6-DD29-40CB-81D6-10E7C42773CC}">
      <formula1>OFFSET($C$21,0,0,COUNTA($C:$C)-1)</formula1>
    </dataValidation>
    <dataValidation type="list" allowBlank="1" showInputMessage="1" showErrorMessage="1" sqref="S19:T20" xr:uid="{C32C8BF2-1F98-4E08-BF63-54910F6FD58D}">
      <formula1>OFFSET($D$21,0,0,COUNTA($D:$D)-1)</formula1>
    </dataValidation>
  </dataValidations>
  <pageMargins left="0" right="0" top="0" bottom="1" header="0.8" footer="0.8"/>
  <pageSetup scale="7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6EBC-A2A5-43EC-889F-8BA2F89F2D92}">
  <sheetPr>
    <pageSetUpPr fitToPage="1"/>
  </sheetPr>
  <dimension ref="A1:AK187"/>
  <sheetViews>
    <sheetView showGridLines="0" view="pageBreakPreview" topLeftCell="H15" zoomScale="95" zoomScaleNormal="100" zoomScaleSheetLayoutView="115" workbookViewId="0">
      <selection activeCell="Q45" sqref="Q45"/>
    </sheetView>
  </sheetViews>
  <sheetFormatPr defaultColWidth="8.90625" defaultRowHeight="16.5" outlineLevelRow="1" outlineLevelCol="1" x14ac:dyDescent="0.45"/>
  <cols>
    <col min="1" max="2" width="34" style="3" customWidth="1" outlineLevel="1"/>
    <col min="3" max="4" width="30.1796875" style="3" customWidth="1" outlineLevel="1"/>
    <col min="5" max="5" width="11.6328125" style="3" customWidth="1" outlineLevel="1"/>
    <col min="6" max="6" width="8.90625" style="3" customWidth="1" outlineLevel="1"/>
    <col min="7" max="7" width="26.1796875" style="3" customWidth="1" outlineLevel="1"/>
    <col min="8" max="8" width="28.1796875" style="3" customWidth="1" outlineLevel="1"/>
    <col min="9" max="9" width="19" style="3" customWidth="1" outlineLevel="1"/>
    <col min="10" max="10" width="3" style="3" customWidth="1"/>
    <col min="11" max="11" width="2.36328125" style="3" customWidth="1"/>
    <col min="12" max="12" width="2.54296875" style="3" customWidth="1"/>
    <col min="13" max="13" width="17.54296875" style="3" customWidth="1"/>
    <col min="14" max="14" width="18.08984375" style="3" customWidth="1"/>
    <col min="15" max="16" width="1.6328125" style="3" customWidth="1"/>
    <col min="17" max="17" width="16.6328125" style="3" customWidth="1"/>
    <col min="18" max="18" width="13.6328125" style="3" customWidth="1"/>
    <col min="19" max="20" width="15.81640625" style="3" customWidth="1"/>
    <col min="21" max="21" width="13.6328125" style="3" customWidth="1"/>
    <col min="22" max="22" width="2.36328125" style="3" customWidth="1"/>
    <col min="23" max="23" width="3.36328125" style="3" customWidth="1"/>
    <col min="24" max="24" width="8.36328125" style="3" customWidth="1" outlineLevel="1"/>
    <col min="25" max="26" width="17.1796875" style="3" customWidth="1" outlineLevel="1"/>
    <col min="27" max="28" width="17.36328125" style="3" customWidth="1" outlineLevel="1"/>
    <col min="29" max="33" width="23.6328125" style="3" customWidth="1" outlineLevel="1"/>
    <col min="34" max="37" width="24.90625" style="3" customWidth="1" outlineLevel="1"/>
    <col min="38" max="39" width="24.90625" style="3" customWidth="1"/>
    <col min="40" max="16384" width="8.90625" style="3"/>
  </cols>
  <sheetData>
    <row r="1" spans="7:28" outlineLevel="1" x14ac:dyDescent="0.45">
      <c r="G1" s="1" t="s">
        <v>0</v>
      </c>
      <c r="H1" s="2" t="str">
        <f>IF($M$19="","",$M$19)</f>
        <v>360 DIGITALY</v>
      </c>
      <c r="M1" s="4" t="str">
        <f>IF($H1="","",$H1)</f>
        <v>360 DIGITALY</v>
      </c>
      <c r="N1" s="5" t="str">
        <f t="shared" ref="N1:U14" si="0">IF($H1="","",$H1)</f>
        <v>360 DIGITALY</v>
      </c>
      <c r="O1" s="5"/>
      <c r="P1" s="5"/>
      <c r="Q1" s="5" t="str">
        <f t="shared" si="0"/>
        <v>360 DIGITALY</v>
      </c>
      <c r="R1" s="5" t="str">
        <f t="shared" si="0"/>
        <v>360 DIGITALY</v>
      </c>
      <c r="S1" s="5" t="str">
        <f t="shared" si="0"/>
        <v>360 DIGITALY</v>
      </c>
      <c r="T1" s="5" t="str">
        <f t="shared" si="0"/>
        <v>360 DIGITALY</v>
      </c>
      <c r="U1" s="2" t="str">
        <f t="shared" si="0"/>
        <v>360 DIGITALY</v>
      </c>
      <c r="AA1" s="4" t="str">
        <f t="shared" ref="AA1:AB3" si="1">IF($H1="","",$H1)</f>
        <v>360 DIGITALY</v>
      </c>
      <c r="AB1" s="2" t="str">
        <f t="shared" si="1"/>
        <v>360 DIGITALY</v>
      </c>
    </row>
    <row r="2" spans="7:28" outlineLevel="1" x14ac:dyDescent="0.45">
      <c r="G2" s="6" t="s">
        <v>1</v>
      </c>
      <c r="H2" s="7" t="str">
        <f>IF($S$19="","",$S$19)</f>
        <v>JAMPY</v>
      </c>
      <c r="M2" s="8" t="str">
        <f t="shared" ref="M2:M14" si="2">IF($H2="","",$H2)</f>
        <v>JAMPY</v>
      </c>
      <c r="N2" s="9" t="str">
        <f t="shared" si="0"/>
        <v>JAMPY</v>
      </c>
      <c r="O2" s="9"/>
      <c r="P2" s="9"/>
      <c r="Q2" s="9" t="str">
        <f t="shared" si="0"/>
        <v>JAMPY</v>
      </c>
      <c r="R2" s="9" t="str">
        <f t="shared" si="0"/>
        <v>JAMPY</v>
      </c>
      <c r="S2" s="9" t="str">
        <f t="shared" si="0"/>
        <v>JAMPY</v>
      </c>
      <c r="T2" s="9" t="str">
        <f t="shared" si="0"/>
        <v>JAMPY</v>
      </c>
      <c r="U2" s="7" t="str">
        <f t="shared" si="0"/>
        <v>JAMPY</v>
      </c>
      <c r="AA2" s="8" t="str">
        <f t="shared" si="1"/>
        <v>JAMPY</v>
      </c>
      <c r="AB2" s="7" t="str">
        <f t="shared" si="1"/>
        <v>JAMPY</v>
      </c>
    </row>
    <row r="3" spans="7:28" outlineLevel="1" x14ac:dyDescent="0.45">
      <c r="G3" s="6" t="s">
        <v>2</v>
      </c>
      <c r="H3" s="10">
        <f>IF($U$19="","",$U$19)</f>
        <v>45930</v>
      </c>
      <c r="M3" s="11">
        <f t="shared" si="2"/>
        <v>45930</v>
      </c>
      <c r="N3" s="12">
        <f t="shared" si="0"/>
        <v>45930</v>
      </c>
      <c r="O3" s="12"/>
      <c r="P3" s="12"/>
      <c r="Q3" s="12">
        <f t="shared" si="0"/>
        <v>45930</v>
      </c>
      <c r="R3" s="12">
        <f t="shared" si="0"/>
        <v>45930</v>
      </c>
      <c r="S3" s="12">
        <f t="shared" si="0"/>
        <v>45930</v>
      </c>
      <c r="T3" s="12">
        <f t="shared" si="0"/>
        <v>45930</v>
      </c>
      <c r="U3" s="10">
        <f t="shared" si="0"/>
        <v>45930</v>
      </c>
      <c r="AA3" s="11">
        <f t="shared" si="1"/>
        <v>45930</v>
      </c>
      <c r="AB3" s="10">
        <f t="shared" si="1"/>
        <v>45930</v>
      </c>
    </row>
    <row r="4" spans="7:28" outlineLevel="1" x14ac:dyDescent="0.45">
      <c r="G4" s="6" t="s">
        <v>3</v>
      </c>
      <c r="H4" s="7" t="s">
        <v>4</v>
      </c>
      <c r="M4" s="8" t="str">
        <f t="shared" si="2"/>
        <v>Current</v>
      </c>
      <c r="N4" s="9" t="str">
        <f t="shared" si="0"/>
        <v>Current</v>
      </c>
      <c r="O4" s="9"/>
      <c r="P4" s="9"/>
      <c r="Q4" s="9" t="str">
        <f t="shared" si="0"/>
        <v>Current</v>
      </c>
      <c r="R4" s="10">
        <f>IFERROR(EOMONTH(S4,-12),"")</f>
        <v>45291</v>
      </c>
      <c r="S4" s="10">
        <f>IFERROR(45657/1,"")</f>
        <v>45657</v>
      </c>
      <c r="T4" s="10">
        <f>IFERROR(EOMONTH(U4,-12),"")</f>
        <v>45565</v>
      </c>
      <c r="U4" s="10">
        <f>$U$3</f>
        <v>45930</v>
      </c>
      <c r="AA4" s="11">
        <f>$U$3</f>
        <v>45930</v>
      </c>
      <c r="AB4" s="10">
        <f>$U$3</f>
        <v>45930</v>
      </c>
    </row>
    <row r="5" spans="7:28" outlineLevel="1" x14ac:dyDescent="0.45">
      <c r="G5" s="6" t="s">
        <v>5</v>
      </c>
      <c r="H5" s="10">
        <f>H$3</f>
        <v>45930</v>
      </c>
      <c r="M5" s="11">
        <f t="shared" si="2"/>
        <v>45930</v>
      </c>
      <c r="N5" s="12">
        <f t="shared" si="0"/>
        <v>45930</v>
      </c>
      <c r="O5" s="12"/>
      <c r="P5" s="12"/>
      <c r="Q5" s="12">
        <f t="shared" si="0"/>
        <v>45930</v>
      </c>
      <c r="R5" s="12">
        <f t="shared" si="0"/>
        <v>45930</v>
      </c>
      <c r="S5" s="12">
        <f t="shared" si="0"/>
        <v>45930</v>
      </c>
      <c r="T5" s="12">
        <f t="shared" si="0"/>
        <v>45930</v>
      </c>
      <c r="U5" s="10">
        <f t="shared" si="0"/>
        <v>45930</v>
      </c>
      <c r="AA5" s="11">
        <f t="shared" ref="AA5:AB14" si="3">IF($H5="","",$H5)</f>
        <v>45930</v>
      </c>
      <c r="AB5" s="10">
        <f t="shared" si="3"/>
        <v>45930</v>
      </c>
    </row>
    <row r="6" spans="7:28" outlineLevel="1" x14ac:dyDescent="0.45">
      <c r="G6" s="6" t="s">
        <v>6</v>
      </c>
      <c r="H6" s="7" t="s">
        <v>4</v>
      </c>
      <c r="M6" s="8" t="str">
        <f t="shared" si="2"/>
        <v>Current</v>
      </c>
      <c r="N6" s="9" t="str">
        <f t="shared" si="0"/>
        <v>Current</v>
      </c>
      <c r="O6" s="9"/>
      <c r="P6" s="9"/>
      <c r="Q6" s="9" t="str">
        <f t="shared" si="0"/>
        <v>Current</v>
      </c>
      <c r="R6" s="9" t="str">
        <f t="shared" si="0"/>
        <v>Current</v>
      </c>
      <c r="S6" s="9" t="str">
        <f t="shared" si="0"/>
        <v>Current</v>
      </c>
      <c r="T6" s="9" t="str">
        <f t="shared" si="0"/>
        <v>Current</v>
      </c>
      <c r="U6" s="7" t="str">
        <f t="shared" si="0"/>
        <v>Current</v>
      </c>
      <c r="AA6" s="8" t="str">
        <f t="shared" si="3"/>
        <v>Current</v>
      </c>
      <c r="AB6" s="7" t="str">
        <f t="shared" si="3"/>
        <v>Current</v>
      </c>
    </row>
    <row r="7" spans="7:28" outlineLevel="1" x14ac:dyDescent="0.45">
      <c r="G7" s="6" t="s">
        <v>7</v>
      </c>
      <c r="H7" s="7" t="s">
        <v>8</v>
      </c>
      <c r="M7" s="8" t="str">
        <f t="shared" si="2"/>
        <v>RP</v>
      </c>
      <c r="N7" s="9" t="str">
        <f t="shared" si="0"/>
        <v>RP</v>
      </c>
      <c r="O7" s="9"/>
      <c r="P7" s="9"/>
      <c r="Q7" s="9" t="str">
        <f t="shared" si="0"/>
        <v>RP</v>
      </c>
      <c r="R7" s="9" t="str">
        <f t="shared" si="0"/>
        <v>RP</v>
      </c>
      <c r="S7" s="9" t="str">
        <f t="shared" si="0"/>
        <v>RP</v>
      </c>
      <c r="T7" s="9" t="str">
        <f t="shared" si="0"/>
        <v>RP</v>
      </c>
      <c r="U7" s="7" t="str">
        <f t="shared" si="0"/>
        <v>RP</v>
      </c>
      <c r="AA7" s="8" t="str">
        <f t="shared" si="3"/>
        <v>RP</v>
      </c>
      <c r="AB7" s="7" t="str">
        <f t="shared" si="3"/>
        <v>RP</v>
      </c>
    </row>
    <row r="8" spans="7:28" outlineLevel="1" x14ac:dyDescent="0.45">
      <c r="G8" s="6" t="s">
        <v>9</v>
      </c>
      <c r="H8" s="7" t="s">
        <v>10</v>
      </c>
      <c r="M8" s="8" t="str">
        <f t="shared" si="2"/>
        <v>L3M</v>
      </c>
      <c r="N8" s="9" t="str">
        <f t="shared" si="0"/>
        <v>L3M</v>
      </c>
      <c r="O8" s="9"/>
      <c r="P8" s="9"/>
      <c r="Q8" s="9" t="str">
        <f t="shared" si="0"/>
        <v>L3M</v>
      </c>
      <c r="R8" s="9" t="str">
        <f t="shared" si="0"/>
        <v>L3M</v>
      </c>
      <c r="S8" s="9" t="str">
        <f t="shared" si="0"/>
        <v>L3M</v>
      </c>
      <c r="T8" s="9" t="str">
        <f t="shared" si="0"/>
        <v>L3M</v>
      </c>
      <c r="U8" s="7" t="str">
        <f t="shared" si="0"/>
        <v>L3M</v>
      </c>
      <c r="AA8" s="8" t="str">
        <f t="shared" si="3"/>
        <v>L3M</v>
      </c>
      <c r="AB8" s="7" t="str">
        <f t="shared" si="3"/>
        <v>L3M</v>
      </c>
    </row>
    <row r="9" spans="7:28" outlineLevel="1" x14ac:dyDescent="0.45">
      <c r="G9" s="6" t="s">
        <v>11</v>
      </c>
      <c r="H9" s="7" t="s">
        <v>12</v>
      </c>
      <c r="M9" s="8" t="str">
        <f t="shared" si="2"/>
        <v>CYTD</v>
      </c>
      <c r="N9" s="9" t="str">
        <f t="shared" si="0"/>
        <v>CYTD</v>
      </c>
      <c r="O9" s="9"/>
      <c r="P9" s="9"/>
      <c r="Q9" s="9" t="str">
        <f t="shared" si="0"/>
        <v>CYTD</v>
      </c>
      <c r="R9" s="9" t="str">
        <f t="shared" si="0"/>
        <v>CYTD</v>
      </c>
      <c r="S9" s="9" t="str">
        <f t="shared" si="0"/>
        <v>CYTD</v>
      </c>
      <c r="T9" s="9" t="str">
        <f t="shared" si="0"/>
        <v>CYTD</v>
      </c>
      <c r="U9" s="7" t="str">
        <f t="shared" si="0"/>
        <v>CYTD</v>
      </c>
      <c r="AA9" s="8" t="str">
        <f t="shared" si="3"/>
        <v>CYTD</v>
      </c>
      <c r="AB9" s="7" t="str">
        <f t="shared" si="3"/>
        <v>CYTD</v>
      </c>
    </row>
    <row r="10" spans="7:28" outlineLevel="1" x14ac:dyDescent="0.45">
      <c r="G10" s="6" t="s">
        <v>13</v>
      </c>
      <c r="H10" s="7" t="s">
        <v>14</v>
      </c>
      <c r="M10" s="8" t="str">
        <f t="shared" si="2"/>
        <v>Actual</v>
      </c>
      <c r="N10" s="9" t="str">
        <f t="shared" si="0"/>
        <v>Actual</v>
      </c>
      <c r="O10" s="9"/>
      <c r="P10" s="9"/>
      <c r="Q10" s="9" t="str">
        <f t="shared" si="0"/>
        <v>Actual</v>
      </c>
      <c r="R10" s="9" t="str">
        <f t="shared" si="0"/>
        <v>Actual</v>
      </c>
      <c r="S10" s="9" t="str">
        <f t="shared" si="0"/>
        <v>Actual</v>
      </c>
      <c r="T10" s="9" t="str">
        <f t="shared" si="0"/>
        <v>Actual</v>
      </c>
      <c r="U10" s="7" t="str">
        <f t="shared" si="0"/>
        <v>Actual</v>
      </c>
      <c r="AA10" s="8" t="str">
        <f t="shared" si="3"/>
        <v>Actual</v>
      </c>
      <c r="AB10" s="7" t="str">
        <f t="shared" si="3"/>
        <v>Actual</v>
      </c>
    </row>
    <row r="11" spans="7:28" outlineLevel="1" x14ac:dyDescent="0.45">
      <c r="G11" s="6" t="s">
        <v>15</v>
      </c>
      <c r="H11" s="7" t="s">
        <v>16</v>
      </c>
      <c r="M11" s="8" t="str">
        <f t="shared" si="2"/>
        <v>RC</v>
      </c>
      <c r="N11" s="9" t="str">
        <f t="shared" si="0"/>
        <v>RC</v>
      </c>
      <c r="O11" s="9"/>
      <c r="P11" s="9"/>
      <c r="Q11" s="9" t="str">
        <f t="shared" si="0"/>
        <v>RC</v>
      </c>
      <c r="R11" s="9" t="str">
        <f t="shared" si="0"/>
        <v>RC</v>
      </c>
      <c r="S11" s="9" t="str">
        <f t="shared" si="0"/>
        <v>RC</v>
      </c>
      <c r="T11" s="9" t="str">
        <f t="shared" si="0"/>
        <v>RC</v>
      </c>
      <c r="U11" s="7" t="str">
        <f t="shared" si="0"/>
        <v>RC</v>
      </c>
      <c r="AA11" s="8" t="str">
        <f t="shared" si="3"/>
        <v>RC</v>
      </c>
      <c r="AB11" s="7" t="str">
        <f t="shared" si="3"/>
        <v>RC</v>
      </c>
    </row>
    <row r="12" spans="7:28" outlineLevel="1" x14ac:dyDescent="0.45">
      <c r="G12" s="6" t="s">
        <v>17</v>
      </c>
      <c r="H12" s="7" t="s">
        <v>18</v>
      </c>
      <c r="M12" s="8" t="str">
        <f t="shared" si="2"/>
        <v>Not Scaled</v>
      </c>
      <c r="N12" s="9" t="str">
        <f t="shared" si="0"/>
        <v>Not Scaled</v>
      </c>
      <c r="O12" s="9"/>
      <c r="P12" s="9"/>
      <c r="Q12" s="9" t="str">
        <f t="shared" si="0"/>
        <v>Not Scaled</v>
      </c>
      <c r="R12" s="9" t="str">
        <f t="shared" si="0"/>
        <v>Not Scaled</v>
      </c>
      <c r="S12" s="9" t="str">
        <f t="shared" si="0"/>
        <v>Not Scaled</v>
      </c>
      <c r="T12" s="9" t="str">
        <f t="shared" si="0"/>
        <v>Not Scaled</v>
      </c>
      <c r="U12" s="7" t="str">
        <f t="shared" si="0"/>
        <v>Not Scaled</v>
      </c>
      <c r="AA12" s="8" t="str">
        <f t="shared" si="3"/>
        <v>Not Scaled</v>
      </c>
      <c r="AB12" s="7" t="str">
        <f t="shared" si="3"/>
        <v>Not Scaled</v>
      </c>
    </row>
    <row r="13" spans="7:28" outlineLevel="1" x14ac:dyDescent="0.45">
      <c r="G13" s="6" t="s">
        <v>19</v>
      </c>
      <c r="H13" s="7" t="s">
        <v>20</v>
      </c>
      <c r="M13" s="8" t="str">
        <f t="shared" si="2"/>
        <v>Millions</v>
      </c>
      <c r="N13" s="9" t="str">
        <f t="shared" si="0"/>
        <v>Millions</v>
      </c>
      <c r="O13" s="9"/>
      <c r="P13" s="9"/>
      <c r="Q13" s="9" t="str">
        <f t="shared" si="0"/>
        <v>Millions</v>
      </c>
      <c r="R13" s="9" t="str">
        <f t="shared" si="0"/>
        <v>Millions</v>
      </c>
      <c r="S13" s="9" t="str">
        <f t="shared" si="0"/>
        <v>Millions</v>
      </c>
      <c r="T13" s="9" t="str">
        <f t="shared" si="0"/>
        <v>Millions</v>
      </c>
      <c r="U13" s="7" t="str">
        <f t="shared" si="0"/>
        <v>Millions</v>
      </c>
      <c r="AA13" s="8" t="str">
        <f t="shared" si="3"/>
        <v>Millions</v>
      </c>
      <c r="AB13" s="7" t="str">
        <f t="shared" si="3"/>
        <v>Millions</v>
      </c>
    </row>
    <row r="14" spans="7:28" ht="17" outlineLevel="1" thickBot="1" x14ac:dyDescent="0.5">
      <c r="G14" s="13" t="s">
        <v>21</v>
      </c>
      <c r="H14" s="14" t="s">
        <v>22</v>
      </c>
      <c r="M14" s="15" t="str">
        <f t="shared" si="2"/>
        <v>Spot</v>
      </c>
      <c r="N14" s="16" t="str">
        <f t="shared" si="0"/>
        <v>Spot</v>
      </c>
      <c r="O14" s="16"/>
      <c r="P14" s="16"/>
      <c r="Q14" s="16" t="str">
        <f t="shared" si="0"/>
        <v>Spot</v>
      </c>
      <c r="R14" s="16" t="str">
        <f t="shared" si="0"/>
        <v>Spot</v>
      </c>
      <c r="S14" s="16" t="str">
        <f t="shared" si="0"/>
        <v>Spot</v>
      </c>
      <c r="T14" s="16" t="str">
        <f t="shared" si="0"/>
        <v>Spot</v>
      </c>
      <c r="U14" s="14" t="str">
        <f t="shared" si="0"/>
        <v>Spot</v>
      </c>
      <c r="AA14" s="15" t="str">
        <f t="shared" si="3"/>
        <v>Spot</v>
      </c>
      <c r="AB14" s="14" t="str">
        <f t="shared" si="3"/>
        <v>Spot</v>
      </c>
    </row>
    <row r="15" spans="7:28" outlineLevel="1" x14ac:dyDescent="0.45"/>
    <row r="18" spans="3:22" ht="18.5" x14ac:dyDescent="0.5">
      <c r="G18" s="17" t="s">
        <v>23</v>
      </c>
    </row>
    <row r="19" spans="3:22" x14ac:dyDescent="0.45">
      <c r="C19" s="18" t="s">
        <v>184</v>
      </c>
      <c r="D19" s="18" t="s">
        <v>185</v>
      </c>
      <c r="K19" s="19"/>
      <c r="L19" s="19"/>
      <c r="M19" s="20" t="s">
        <v>24</v>
      </c>
      <c r="N19" s="20"/>
      <c r="O19" s="19"/>
      <c r="P19" s="19"/>
      <c r="Q19" s="21"/>
      <c r="R19" s="21"/>
      <c r="S19" s="22" t="s">
        <v>33</v>
      </c>
      <c r="T19" s="22"/>
      <c r="U19" s="23">
        <v>45930</v>
      </c>
      <c r="V19" s="21"/>
    </row>
    <row r="20" spans="3:22" x14ac:dyDescent="0.45">
      <c r="K20" s="24"/>
      <c r="L20" s="24"/>
      <c r="M20" s="20"/>
      <c r="N20" s="20"/>
      <c r="O20" s="24"/>
      <c r="P20" s="24"/>
      <c r="Q20" s="25"/>
      <c r="R20" s="25"/>
      <c r="S20" s="22"/>
      <c r="T20" s="22"/>
      <c r="U20" s="23"/>
      <c r="V20" s="25"/>
    </row>
    <row r="21" spans="3:22" x14ac:dyDescent="0.45">
      <c r="C21" s="26" t="s">
        <v>26</v>
      </c>
      <c r="D21" s="26" t="s">
        <v>27</v>
      </c>
      <c r="E21" s="27">
        <f t="shared" ref="E21:E34" si="4">IFERROR(EOMONTH(E22,-3),"")</f>
        <v>44561</v>
      </c>
      <c r="K21" s="28"/>
      <c r="L21" s="28"/>
      <c r="M21" s="29" t="e" vm="69">
        <f>IFERROR(_xlfn.XLOOKUP($M$2,$B$73:$B$187,$A$73:$A$187),"")</f>
        <v>#VALUE!</v>
      </c>
      <c r="N21" s="29"/>
      <c r="O21" s="28"/>
      <c r="P21" s="28"/>
      <c r="Q21" s="30"/>
      <c r="R21" s="31"/>
      <c r="S21" s="32"/>
      <c r="T21" s="32"/>
      <c r="U21" s="33"/>
      <c r="V21" s="31"/>
    </row>
    <row r="22" spans="3:22" x14ac:dyDescent="0.45">
      <c r="C22" s="26" t="s">
        <v>24</v>
      </c>
      <c r="D22" s="26" t="s">
        <v>28</v>
      </c>
      <c r="E22" s="27">
        <f t="shared" si="4"/>
        <v>44651</v>
      </c>
      <c r="K22" s="28"/>
      <c r="L22" s="28"/>
      <c r="M22" s="29"/>
      <c r="N22" s="29"/>
      <c r="O22" s="28"/>
      <c r="P22" s="28"/>
      <c r="Q22" s="34" t="s">
        <v>29</v>
      </c>
      <c r="R22" s="31"/>
      <c r="S22" s="32"/>
      <c r="T22" s="32"/>
      <c r="U22" s="33"/>
      <c r="V22" s="31"/>
    </row>
    <row r="23" spans="3:22" x14ac:dyDescent="0.45">
      <c r="C23" s="26" t="s">
        <v>30</v>
      </c>
      <c r="D23" s="26" t="s">
        <v>25</v>
      </c>
      <c r="E23" s="27">
        <f t="shared" si="4"/>
        <v>44742</v>
      </c>
      <c r="G23" s="35" t="s">
        <v>31</v>
      </c>
      <c r="K23" s="28"/>
      <c r="L23" s="28"/>
      <c r="M23" s="29"/>
      <c r="N23" s="29"/>
      <c r="O23" s="30"/>
      <c r="P23" s="30"/>
      <c r="Q23" s="36" t="str">
        <f>SUBSTITUTE("Jampy has developed a line of plant-based, plastic-free dog care products with the goal of becoming the destination for modern dog wellness in an industry that has never seen innovation on this product range.","No Data Available","")</f>
        <v>Jampy has developed a line of plant-based, plastic-free dog care products with the goal of becoming the destination for modern dog wellness in an industry that has never seen innovation on this product range.</v>
      </c>
      <c r="R23" s="36"/>
      <c r="S23" s="36"/>
      <c r="T23" s="36"/>
      <c r="U23" s="36"/>
      <c r="V23" s="31"/>
    </row>
    <row r="24" spans="3:22" x14ac:dyDescent="0.45">
      <c r="C24" s="26" t="s">
        <v>32</v>
      </c>
      <c r="D24" s="26" t="s">
        <v>33</v>
      </c>
      <c r="E24" s="27">
        <f t="shared" si="4"/>
        <v>44834</v>
      </c>
      <c r="K24" s="28"/>
      <c r="L24" s="28"/>
      <c r="M24" s="29"/>
      <c r="N24" s="29"/>
      <c r="O24" s="37"/>
      <c r="P24" s="37"/>
      <c r="Q24" s="36"/>
      <c r="R24" s="36"/>
      <c r="S24" s="36"/>
      <c r="T24" s="36"/>
      <c r="U24" s="36"/>
      <c r="V24" s="31"/>
    </row>
    <row r="25" spans="3:22" x14ac:dyDescent="0.45">
      <c r="C25" s="26" t="s">
        <v>34</v>
      </c>
      <c r="D25" s="26" t="s">
        <v>35</v>
      </c>
      <c r="E25" s="27">
        <f t="shared" si="4"/>
        <v>44926</v>
      </c>
      <c r="K25" s="28"/>
      <c r="L25" s="28"/>
      <c r="M25" s="29"/>
      <c r="N25" s="29"/>
      <c r="O25" s="37"/>
      <c r="P25" s="37"/>
      <c r="Q25" s="36"/>
      <c r="R25" s="36"/>
      <c r="S25" s="36"/>
      <c r="T25" s="36"/>
      <c r="U25" s="36"/>
      <c r="V25" s="31"/>
    </row>
    <row r="26" spans="3:22" x14ac:dyDescent="0.45">
      <c r="C26" s="26" t="s">
        <v>36</v>
      </c>
      <c r="D26" s="26" t="s">
        <v>37</v>
      </c>
      <c r="E26" s="27">
        <f t="shared" si="4"/>
        <v>45016</v>
      </c>
      <c r="K26" s="28"/>
      <c r="L26" s="28"/>
      <c r="M26" s="29"/>
      <c r="N26" s="29"/>
      <c r="O26" s="37"/>
      <c r="P26" s="37"/>
      <c r="Q26" s="36"/>
      <c r="R26" s="36"/>
      <c r="S26" s="36"/>
      <c r="T26" s="36"/>
      <c r="U26" s="36"/>
      <c r="V26" s="31"/>
    </row>
    <row r="27" spans="3:22" x14ac:dyDescent="0.45">
      <c r="C27" s="26" t="s">
        <v>38</v>
      </c>
      <c r="D27" s="26" t="s">
        <v>39</v>
      </c>
      <c r="E27" s="27">
        <f t="shared" si="4"/>
        <v>45107</v>
      </c>
      <c r="K27" s="28"/>
      <c r="L27" s="28"/>
      <c r="M27" s="29"/>
      <c r="N27" s="29"/>
      <c r="O27" s="37"/>
      <c r="P27" s="37"/>
      <c r="Q27" s="36"/>
      <c r="R27" s="36"/>
      <c r="S27" s="36"/>
      <c r="T27" s="36"/>
      <c r="U27" s="36"/>
      <c r="V27" s="31"/>
    </row>
    <row r="28" spans="3:22" x14ac:dyDescent="0.45">
      <c r="C28" s="26" t="s">
        <v>40</v>
      </c>
      <c r="D28" s="26" t="s">
        <v>41</v>
      </c>
      <c r="E28" s="27">
        <f t="shared" si="4"/>
        <v>45199</v>
      </c>
      <c r="K28" s="28"/>
      <c r="L28" s="28"/>
      <c r="M28" s="38"/>
      <c r="N28" s="28"/>
      <c r="O28" s="28"/>
      <c r="P28" s="28"/>
      <c r="Q28" s="36"/>
      <c r="R28" s="36"/>
      <c r="S28" s="36"/>
      <c r="T28" s="36"/>
      <c r="U28" s="36"/>
      <c r="V28" s="31"/>
    </row>
    <row r="29" spans="3:22" x14ac:dyDescent="0.45">
      <c r="C29" s="26" t="s">
        <v>42</v>
      </c>
      <c r="D29" s="26" t="s">
        <v>43</v>
      </c>
      <c r="E29" s="27">
        <f t="shared" si="4"/>
        <v>45291</v>
      </c>
      <c r="G29" s="35" t="s">
        <v>44</v>
      </c>
      <c r="K29" s="28"/>
      <c r="L29" s="28"/>
      <c r="M29" s="34" t="s">
        <v>45</v>
      </c>
      <c r="N29" s="39"/>
      <c r="O29" s="39"/>
      <c r="P29" s="39"/>
      <c r="Q29" s="39"/>
      <c r="R29" s="31"/>
      <c r="S29" s="32"/>
      <c r="T29" s="32"/>
      <c r="U29" s="33"/>
      <c r="V29" s="31"/>
    </row>
    <row r="30" spans="3:22" x14ac:dyDescent="0.45">
      <c r="C30" s="26" t="s">
        <v>46</v>
      </c>
      <c r="D30" s="26"/>
      <c r="E30" s="27">
        <f t="shared" si="4"/>
        <v>45382</v>
      </c>
      <c r="K30" s="28"/>
      <c r="L30" s="28"/>
      <c r="M30" s="36" t="str">
        <f>SUBSTITUTE("// Please update //","No Data Available","")</f>
        <v>// Please update //</v>
      </c>
      <c r="N30" s="36"/>
      <c r="O30" s="36"/>
      <c r="P30" s="36"/>
      <c r="Q30" s="36"/>
      <c r="R30" s="36"/>
      <c r="S30" s="36"/>
      <c r="T30" s="36"/>
      <c r="U30" s="36"/>
      <c r="V30" s="31"/>
    </row>
    <row r="31" spans="3:22" x14ac:dyDescent="0.45">
      <c r="C31" s="26" t="s">
        <v>47</v>
      </c>
      <c r="D31" s="26"/>
      <c r="E31" s="27">
        <f t="shared" si="4"/>
        <v>45473</v>
      </c>
      <c r="K31" s="28"/>
      <c r="L31" s="28"/>
      <c r="M31" s="36"/>
      <c r="N31" s="36"/>
      <c r="O31" s="36"/>
      <c r="P31" s="36"/>
      <c r="Q31" s="36"/>
      <c r="R31" s="36"/>
      <c r="S31" s="36"/>
      <c r="T31" s="36"/>
      <c r="U31" s="36"/>
      <c r="V31" s="31"/>
    </row>
    <row r="32" spans="3:22" x14ac:dyDescent="0.45">
      <c r="C32" s="26" t="s">
        <v>48</v>
      </c>
      <c r="D32" s="26"/>
      <c r="E32" s="27">
        <f t="shared" si="4"/>
        <v>45565</v>
      </c>
      <c r="K32" s="28"/>
      <c r="L32" s="28"/>
      <c r="M32" s="36"/>
      <c r="N32" s="36"/>
      <c r="O32" s="36"/>
      <c r="P32" s="36"/>
      <c r="Q32" s="36"/>
      <c r="R32" s="36"/>
      <c r="S32" s="36"/>
      <c r="T32" s="36"/>
      <c r="U32" s="36"/>
      <c r="V32" s="31"/>
    </row>
    <row r="33" spans="3:37" ht="17" thickBot="1" x14ac:dyDescent="0.5">
      <c r="C33" s="26" t="s">
        <v>49</v>
      </c>
      <c r="D33" s="26"/>
      <c r="E33" s="27">
        <f t="shared" si="4"/>
        <v>45657</v>
      </c>
      <c r="K33" s="28"/>
      <c r="L33" s="28"/>
      <c r="M33" s="36"/>
      <c r="N33" s="36"/>
      <c r="O33" s="36"/>
      <c r="P33" s="36"/>
      <c r="Q33" s="36"/>
      <c r="R33" s="36"/>
      <c r="S33" s="36"/>
      <c r="T33" s="36"/>
      <c r="U33" s="36"/>
      <c r="V33" s="31"/>
    </row>
    <row r="34" spans="3:37" x14ac:dyDescent="0.45">
      <c r="C34" s="26" t="s">
        <v>50</v>
      </c>
      <c r="D34" s="26"/>
      <c r="E34" s="27">
        <f t="shared" si="4"/>
        <v>45747</v>
      </c>
      <c r="K34" s="28"/>
      <c r="L34" s="28"/>
      <c r="M34" s="36"/>
      <c r="N34" s="36"/>
      <c r="O34" s="36"/>
      <c r="P34" s="36"/>
      <c r="Q34" s="36"/>
      <c r="R34" s="36"/>
      <c r="S34" s="36"/>
      <c r="T34" s="36"/>
      <c r="U34" s="36"/>
      <c r="V34" s="31"/>
      <c r="AH34" s="40" t="s">
        <v>180</v>
      </c>
      <c r="AI34" s="41"/>
      <c r="AJ34" s="41"/>
      <c r="AK34" s="42"/>
    </row>
    <row r="35" spans="3:37" x14ac:dyDescent="0.45">
      <c r="C35" s="26"/>
      <c r="D35" s="26"/>
      <c r="E35" s="27">
        <f>IFERROR(EOMONTH(E36,-3),"")</f>
        <v>45838</v>
      </c>
      <c r="K35" s="28"/>
      <c r="L35" s="28"/>
      <c r="M35" s="36"/>
      <c r="N35" s="36"/>
      <c r="O35" s="36"/>
      <c r="P35" s="36"/>
      <c r="Q35" s="36"/>
      <c r="R35" s="36"/>
      <c r="S35" s="36"/>
      <c r="T35" s="36"/>
      <c r="U35" s="36"/>
      <c r="V35" s="31"/>
      <c r="AH35" s="43"/>
      <c r="AI35" s="44"/>
      <c r="AJ35" s="44"/>
      <c r="AK35" s="45"/>
    </row>
    <row r="36" spans="3:37" ht="17" thickBot="1" x14ac:dyDescent="0.5">
      <c r="C36" s="26"/>
      <c r="D36" s="26"/>
      <c r="E36" s="27">
        <f>IFERROR(45930,"")</f>
        <v>45930</v>
      </c>
      <c r="K36" s="30"/>
      <c r="L36" s="30"/>
      <c r="M36" s="46" t="s">
        <v>51</v>
      </c>
      <c r="N36" s="30"/>
      <c r="O36" s="30"/>
      <c r="P36" s="30"/>
      <c r="Q36" s="30"/>
      <c r="R36" s="30"/>
      <c r="S36" s="30"/>
      <c r="T36" s="30"/>
      <c r="U36" s="30"/>
      <c r="V36" s="30"/>
      <c r="AH36" s="131" t="s">
        <v>52</v>
      </c>
      <c r="AI36" s="44" t="s">
        <v>53</v>
      </c>
      <c r="AJ36" s="44" t="s">
        <v>29</v>
      </c>
      <c r="AK36" s="45" t="s">
        <v>54</v>
      </c>
    </row>
    <row r="37" spans="3:37" ht="25.5" thickBot="1" x14ac:dyDescent="0.5">
      <c r="C37" s="26"/>
      <c r="D37" s="26"/>
      <c r="E37" s="27">
        <f>EOMONTH(E36,3)</f>
        <v>46022</v>
      </c>
      <c r="G37" s="48" t="s">
        <v>55</v>
      </c>
      <c r="K37" s="30"/>
      <c r="L37" s="49"/>
      <c r="M37" s="50" t="s">
        <v>56</v>
      </c>
      <c r="N37" s="51" t="str">
        <f>SUBSTITUTE("https://getjampy.com/it-fr","No Data Available","")</f>
        <v>https://getjampy.com/it-fr</v>
      </c>
      <c r="O37" s="52"/>
      <c r="P37" s="30"/>
      <c r="Q37" s="53" t="s">
        <v>57</v>
      </c>
      <c r="R37" s="54">
        <f>IF(R$4="","",R$4)</f>
        <v>45291</v>
      </c>
      <c r="S37" s="55">
        <f>IF(S$4="","",S$4)</f>
        <v>45657</v>
      </c>
      <c r="T37" s="54">
        <f>IF(T$4="","",T$4)</f>
        <v>45565</v>
      </c>
      <c r="U37" s="55">
        <f>IF(U$4="","",U$4)</f>
        <v>45930</v>
      </c>
      <c r="V37" s="30"/>
      <c r="AH37" s="131">
        <v>45657</v>
      </c>
      <c r="AI37" s="44">
        <v>350000</v>
      </c>
      <c r="AJ37" s="44" t="s">
        <v>67</v>
      </c>
      <c r="AK37" s="45">
        <v>2107</v>
      </c>
    </row>
    <row r="38" spans="3:37" ht="17" thickTop="1" x14ac:dyDescent="0.45">
      <c r="C38" s="26"/>
      <c r="D38" s="26"/>
      <c r="E38" s="27">
        <f>EOMONTH(E37,3)</f>
        <v>46112</v>
      </c>
      <c r="G38" s="48" t="s">
        <v>59</v>
      </c>
      <c r="H38" s="48" t="s">
        <v>60</v>
      </c>
      <c r="K38" s="30"/>
      <c r="L38" s="56"/>
      <c r="M38" s="57" t="s">
        <v>61</v>
      </c>
      <c r="N38" s="58" t="str">
        <f>SUBSTITUTE("Italy","No Data Available","")</f>
        <v>Italy</v>
      </c>
      <c r="O38" s="59"/>
      <c r="P38" s="30"/>
      <c r="Q38" s="60" t="s">
        <v>60</v>
      </c>
      <c r="R38" s="61" t="str">
        <f>IFERROR("No Data Available"/1,"")</f>
        <v/>
      </c>
      <c r="S38" s="61">
        <f>IFERROR(32002/1,"")</f>
        <v>32002</v>
      </c>
      <c r="T38" s="62">
        <f>IFERROR(22950/1,"")</f>
        <v>22950</v>
      </c>
      <c r="U38" s="61">
        <f>IFERROR(43489/1,"")</f>
        <v>43489</v>
      </c>
      <c r="V38" s="30"/>
      <c r="AH38" s="43"/>
      <c r="AI38" s="44"/>
      <c r="AJ38" s="44"/>
      <c r="AK38" s="45"/>
    </row>
    <row r="39" spans="3:37" x14ac:dyDescent="0.45">
      <c r="C39" s="26"/>
      <c r="D39" s="26"/>
      <c r="E39" s="27"/>
      <c r="G39" s="48" t="s">
        <v>63</v>
      </c>
      <c r="H39" s="48" t="s">
        <v>64</v>
      </c>
      <c r="K39" s="30"/>
      <c r="L39" s="56"/>
      <c r="M39" s="63" t="s">
        <v>65</v>
      </c>
      <c r="N39" s="64" t="str" cm="1">
        <f t="array" ref="N39">IFERROR(INDEX($R$48:$R$55,MATCH(TRUE,$R$48:$R$55&lt;&gt;"",0)),"n.a.")</f>
        <v>Pre-Seed</v>
      </c>
      <c r="O39" s="65"/>
      <c r="P39" s="39"/>
      <c r="Q39" s="66" t="s">
        <v>66</v>
      </c>
      <c r="R39" s="67">
        <f>IFERROR(55000/1,"")</f>
        <v>55000</v>
      </c>
      <c r="S39" s="68">
        <f>IFERROR(200000/1,"")</f>
        <v>200000</v>
      </c>
      <c r="T39" s="67">
        <f>IFERROR(132000/1,"")</f>
        <v>132000</v>
      </c>
      <c r="U39" s="68">
        <f>IFERROR(197130/1,"")</f>
        <v>197130</v>
      </c>
      <c r="V39" s="69"/>
      <c r="AH39" s="43"/>
      <c r="AI39" s="44"/>
      <c r="AJ39" s="44"/>
      <c r="AK39" s="45"/>
    </row>
    <row r="40" spans="3:37" x14ac:dyDescent="0.45">
      <c r="C40" s="26"/>
      <c r="D40" s="26"/>
      <c r="E40" s="27"/>
      <c r="H40" s="48" t="s">
        <v>68</v>
      </c>
      <c r="K40" s="30"/>
      <c r="L40" s="56"/>
      <c r="M40" s="63"/>
      <c r="N40" s="64"/>
      <c r="O40" s="65"/>
      <c r="P40" s="39"/>
      <c r="Q40" s="60" t="s">
        <v>69</v>
      </c>
      <c r="R40" s="62">
        <f>IFERROR(0/1,"")</f>
        <v>0</v>
      </c>
      <c r="S40" s="61">
        <f>IFERROR(-270000/1,"")</f>
        <v>-270000</v>
      </c>
      <c r="T40" s="62">
        <f>IFERROR(0/1,"")</f>
        <v>0</v>
      </c>
      <c r="U40" s="61">
        <f>IFERROR(-214473/1,"")</f>
        <v>-214473</v>
      </c>
      <c r="V40" s="30"/>
      <c r="AH40" s="47"/>
      <c r="AI40" s="44"/>
      <c r="AJ40" s="44"/>
      <c r="AK40" s="45"/>
    </row>
    <row r="41" spans="3:37" ht="15" customHeight="1" x14ac:dyDescent="0.45">
      <c r="C41" s="26"/>
      <c r="D41" s="26"/>
      <c r="E41" s="27"/>
      <c r="G41" s="48" t="s">
        <v>70</v>
      </c>
      <c r="H41" s="48" t="s">
        <v>71</v>
      </c>
      <c r="K41" s="30"/>
      <c r="L41" s="56"/>
      <c r="M41" s="63" t="s">
        <v>72</v>
      </c>
      <c r="N41" s="64" t="str">
        <f>SUBSTITUTE("Lead","No Data Available","")</f>
        <v>Lead</v>
      </c>
      <c r="O41" s="65"/>
      <c r="P41" s="39"/>
      <c r="Q41" s="66" t="s">
        <v>73</v>
      </c>
      <c r="R41" s="67">
        <f>-IFERROR(0/1,"")</f>
        <v>0</v>
      </c>
      <c r="S41" s="68">
        <f>-IFERROR(0/1,"")</f>
        <v>0</v>
      </c>
      <c r="T41" s="67">
        <f>-IFERROR(0/1,"")</f>
        <v>0</v>
      </c>
      <c r="U41" s="68">
        <f>-IFERROR(0/1,"")</f>
        <v>0</v>
      </c>
      <c r="V41" s="30"/>
      <c r="AH41" s="43"/>
      <c r="AI41" s="44"/>
      <c r="AJ41" s="44"/>
      <c r="AK41" s="45"/>
    </row>
    <row r="42" spans="3:37" x14ac:dyDescent="0.45">
      <c r="C42" s="26"/>
      <c r="D42" s="26"/>
      <c r="E42" s="27"/>
      <c r="H42" s="48" t="s">
        <v>74</v>
      </c>
      <c r="K42" s="30"/>
      <c r="L42" s="56"/>
      <c r="M42" s="63"/>
      <c r="N42" s="64"/>
      <c r="O42" s="65"/>
      <c r="P42" s="39"/>
      <c r="Q42" s="60" t="s">
        <v>75</v>
      </c>
      <c r="R42" s="62">
        <f>IFERROR(343056/1,"")</f>
        <v>343056</v>
      </c>
      <c r="S42" s="61">
        <f>IFERROR(396000/1,"")</f>
        <v>396000</v>
      </c>
      <c r="T42" s="62">
        <f>IFERROR(480000/1,"")</f>
        <v>480000</v>
      </c>
      <c r="U42" s="61">
        <f>IFERROR(174690/1,"")</f>
        <v>174690</v>
      </c>
      <c r="V42" s="30"/>
      <c r="AH42" s="43"/>
      <c r="AI42" s="44"/>
      <c r="AJ42" s="44"/>
      <c r="AK42" s="45"/>
    </row>
    <row r="43" spans="3:37" x14ac:dyDescent="0.45">
      <c r="C43" s="26"/>
      <c r="D43" s="26"/>
      <c r="E43" s="26"/>
      <c r="H43" s="48" t="s">
        <v>76</v>
      </c>
      <c r="K43" s="30"/>
      <c r="L43" s="56"/>
      <c r="M43" s="30"/>
      <c r="N43" s="30"/>
      <c r="O43" s="65"/>
      <c r="P43" s="39"/>
      <c r="Q43" s="70" t="s">
        <v>77</v>
      </c>
      <c r="R43" s="71">
        <v>3</v>
      </c>
      <c r="S43" s="72">
        <v>4</v>
      </c>
      <c r="T43" s="71">
        <v>4</v>
      </c>
      <c r="U43" s="72">
        <v>2</v>
      </c>
      <c r="V43" s="30"/>
      <c r="AH43" s="43"/>
      <c r="AI43" s="44"/>
      <c r="AJ43" s="44"/>
      <c r="AK43" s="45"/>
    </row>
    <row r="44" spans="3:37" x14ac:dyDescent="0.45">
      <c r="C44" s="26"/>
      <c r="D44" s="26"/>
      <c r="E44" s="26"/>
      <c r="G44" s="35" t="s">
        <v>78</v>
      </c>
      <c r="K44" s="30"/>
      <c r="L44" s="56"/>
      <c r="M44" s="57" t="s">
        <v>79</v>
      </c>
      <c r="N44" s="73">
        <f>IFERROR(350000/1,"")</f>
        <v>350000</v>
      </c>
      <c r="O44" s="65"/>
      <c r="P44" s="39"/>
      <c r="Q44" s="30"/>
      <c r="R44" s="30"/>
      <c r="S44" s="30"/>
      <c r="T44" s="30"/>
      <c r="U44" s="30"/>
      <c r="V44" s="30"/>
      <c r="AH44" s="43"/>
      <c r="AI44" s="44"/>
      <c r="AJ44" s="44"/>
      <c r="AK44" s="45"/>
    </row>
    <row r="45" spans="3:37" ht="17" thickBot="1" x14ac:dyDescent="0.5">
      <c r="C45" s="26"/>
      <c r="D45" s="26"/>
      <c r="E45" s="26"/>
      <c r="G45" s="74" t="s">
        <v>80</v>
      </c>
      <c r="K45" s="30"/>
      <c r="L45" s="56"/>
      <c r="M45" s="57" t="s">
        <v>81</v>
      </c>
      <c r="N45" s="73">
        <f>IFERROR(350000/1,"")</f>
        <v>350000</v>
      </c>
      <c r="O45" s="65"/>
      <c r="P45" s="39"/>
      <c r="Q45" s="30"/>
      <c r="R45" s="30"/>
      <c r="S45" s="30"/>
      <c r="T45" s="30"/>
      <c r="U45" s="30"/>
      <c r="V45" s="30"/>
      <c r="AC45" s="18" t="s">
        <v>181</v>
      </c>
      <c r="AH45" s="75"/>
      <c r="AI45" s="76"/>
      <c r="AJ45" s="76"/>
      <c r="AK45" s="77"/>
    </row>
    <row r="46" spans="3:37" ht="17" thickBot="1" x14ac:dyDescent="0.5">
      <c r="C46" s="26"/>
      <c r="D46" s="26"/>
      <c r="E46" s="26"/>
      <c r="G46" s="35"/>
      <c r="K46" s="30"/>
      <c r="L46" s="56"/>
      <c r="M46" s="57" t="s">
        <v>82</v>
      </c>
      <c r="N46" s="78">
        <f>N45/N44</f>
        <v>1</v>
      </c>
      <c r="O46" s="65"/>
      <c r="P46" s="39"/>
      <c r="Q46" s="30"/>
      <c r="R46" s="67"/>
      <c r="S46" s="68"/>
      <c r="T46" s="67"/>
      <c r="U46" s="68"/>
      <c r="V46" s="30"/>
    </row>
    <row r="47" spans="3:37" ht="25.5" thickBot="1" x14ac:dyDescent="0.5">
      <c r="C47" s="26"/>
      <c r="D47" s="26"/>
      <c r="E47" s="26"/>
      <c r="G47" s="74" t="s">
        <v>83</v>
      </c>
      <c r="K47" s="30"/>
      <c r="L47" s="56"/>
      <c r="M47" s="79" t="s">
        <v>84</v>
      </c>
      <c r="N47" s="73">
        <f>IFERROR(350000/1,"n.a.")</f>
        <v>350000</v>
      </c>
      <c r="O47" s="65"/>
      <c r="P47" s="39"/>
      <c r="Q47" s="80" t="s">
        <v>85</v>
      </c>
      <c r="R47" s="81" t="s">
        <v>86</v>
      </c>
      <c r="S47" s="81" t="s">
        <v>87</v>
      </c>
      <c r="T47" s="81" t="s">
        <v>88</v>
      </c>
      <c r="U47" s="81" t="s">
        <v>89</v>
      </c>
      <c r="V47" s="30"/>
      <c r="AC47" s="129" t="s">
        <v>52</v>
      </c>
      <c r="AD47" s="82" t="s">
        <v>53</v>
      </c>
      <c r="AE47" s="82" t="s">
        <v>90</v>
      </c>
      <c r="AF47" s="82" t="s">
        <v>91</v>
      </c>
      <c r="AG47" s="83" t="s">
        <v>92</v>
      </c>
    </row>
    <row r="48" spans="3:37" ht="17" thickTop="1" x14ac:dyDescent="0.45">
      <c r="C48" s="26"/>
      <c r="D48" s="26"/>
      <c r="E48" s="26"/>
      <c r="K48" s="30"/>
      <c r="L48" s="56"/>
      <c r="M48" s="79"/>
      <c r="N48" s="84"/>
      <c r="O48" s="65"/>
      <c r="P48" s="39"/>
      <c r="Q48" s="85">
        <f>IF($AC48="","",$AC48)</f>
        <v>45580</v>
      </c>
      <c r="R48" s="85" t="str">
        <f>IF($AE48="","",$AE48)</f>
        <v>Pre-Seed</v>
      </c>
      <c r="S48" s="67">
        <f>IF($AD48="","",$AD48)</f>
        <v>350000</v>
      </c>
      <c r="T48" s="86" t="str">
        <f>IF($AF48="","",$AF48)</f>
        <v/>
      </c>
      <c r="U48" s="86">
        <f>IF($AG48="","",$AG48)</f>
        <v>700000</v>
      </c>
      <c r="V48" s="30"/>
      <c r="AC48" s="130">
        <v>45580</v>
      </c>
      <c r="AD48" s="87">
        <v>350000</v>
      </c>
      <c r="AE48" s="87" t="s">
        <v>93</v>
      </c>
      <c r="AF48" s="88"/>
      <c r="AG48" s="89">
        <v>700000</v>
      </c>
    </row>
    <row r="49" spans="3:33" x14ac:dyDescent="0.45">
      <c r="C49" s="26"/>
      <c r="D49" s="26"/>
      <c r="E49" s="26"/>
      <c r="K49" s="30"/>
      <c r="L49" s="56"/>
      <c r="M49" s="90"/>
      <c r="N49" s="84"/>
      <c r="O49" s="65"/>
      <c r="P49" s="39"/>
      <c r="Q49" s="85" t="str">
        <f t="shared" ref="Q49:Q55" si="5">IF($AC49="","",$AC49)</f>
        <v/>
      </c>
      <c r="R49" s="85" t="str">
        <f t="shared" ref="R49:R55" si="6">IF($AE49="","",$AE49)</f>
        <v/>
      </c>
      <c r="S49" s="67" t="str">
        <f t="shared" ref="S49:S55" si="7">IF($AD49="","",$AD49)</f>
        <v/>
      </c>
      <c r="T49" s="86" t="str">
        <f t="shared" ref="T49:T55" si="8">IF($AF49="","",$AF49)</f>
        <v/>
      </c>
      <c r="U49" s="86" t="str">
        <f t="shared" ref="U49:U55" si="9">IF($AG49="","",$AG49)</f>
        <v/>
      </c>
      <c r="V49" s="30"/>
      <c r="AC49" s="93"/>
      <c r="AD49" s="87"/>
      <c r="AE49" s="87"/>
      <c r="AF49" s="88"/>
      <c r="AG49" s="89"/>
    </row>
    <row r="50" spans="3:33" x14ac:dyDescent="0.45">
      <c r="C50" s="26"/>
      <c r="D50" s="26"/>
      <c r="E50" s="26"/>
      <c r="K50" s="30"/>
      <c r="L50" s="56"/>
      <c r="M50" s="57" t="s">
        <v>95</v>
      </c>
      <c r="N50" s="39"/>
      <c r="O50" s="65"/>
      <c r="P50" s="39"/>
      <c r="Q50" s="85" t="str">
        <f t="shared" si="5"/>
        <v/>
      </c>
      <c r="R50" s="85" t="str">
        <f t="shared" si="6"/>
        <v/>
      </c>
      <c r="S50" s="67" t="str">
        <f t="shared" si="7"/>
        <v/>
      </c>
      <c r="T50" s="86" t="str">
        <f t="shared" si="8"/>
        <v/>
      </c>
      <c r="U50" s="86" t="str">
        <f t="shared" si="9"/>
        <v/>
      </c>
      <c r="V50" s="91"/>
      <c r="AC50" s="93"/>
      <c r="AD50" s="87"/>
      <c r="AE50" s="87"/>
      <c r="AF50" s="88"/>
      <c r="AG50" s="89"/>
    </row>
    <row r="51" spans="3:33" x14ac:dyDescent="0.45">
      <c r="C51" s="26"/>
      <c r="D51" s="26"/>
      <c r="E51" s="26"/>
      <c r="K51" s="30"/>
      <c r="L51" s="56"/>
      <c r="M51" s="36" t="str">
        <f>IF($AJ$37="","",$AJ$37)</f>
        <v>At cost: Q4 2024 investment</v>
      </c>
      <c r="N51" s="36"/>
      <c r="O51" s="65"/>
      <c r="P51" s="39"/>
      <c r="Q51" s="30" t="str">
        <f t="shared" si="5"/>
        <v/>
      </c>
      <c r="R51" s="30" t="str">
        <f t="shared" si="6"/>
        <v/>
      </c>
      <c r="S51" s="30" t="str">
        <f t="shared" si="7"/>
        <v/>
      </c>
      <c r="T51" s="30" t="str">
        <f t="shared" si="8"/>
        <v/>
      </c>
      <c r="U51" s="30" t="str">
        <f t="shared" si="9"/>
        <v/>
      </c>
      <c r="V51" s="30"/>
      <c r="AC51" s="93"/>
      <c r="AD51" s="87"/>
      <c r="AE51" s="87"/>
      <c r="AF51" s="88"/>
      <c r="AG51" s="89"/>
    </row>
    <row r="52" spans="3:33" x14ac:dyDescent="0.45">
      <c r="C52" s="26"/>
      <c r="D52" s="26"/>
      <c r="E52" s="26"/>
      <c r="K52" s="30"/>
      <c r="L52" s="56"/>
      <c r="M52" s="36"/>
      <c r="N52" s="36"/>
      <c r="O52" s="65"/>
      <c r="P52" s="92"/>
      <c r="Q52" s="30" t="str">
        <f t="shared" si="5"/>
        <v/>
      </c>
      <c r="R52" s="30" t="str">
        <f t="shared" si="6"/>
        <v/>
      </c>
      <c r="S52" s="30" t="str">
        <f t="shared" si="7"/>
        <v/>
      </c>
      <c r="T52" s="30" t="str">
        <f t="shared" si="8"/>
        <v/>
      </c>
      <c r="U52" s="30" t="str">
        <f t="shared" si="9"/>
        <v/>
      </c>
      <c r="V52" s="30"/>
      <c r="AC52" s="93"/>
      <c r="AD52" s="87"/>
      <c r="AE52" s="87"/>
      <c r="AF52" s="87"/>
      <c r="AG52" s="94"/>
    </row>
    <row r="53" spans="3:33" x14ac:dyDescent="0.45">
      <c r="C53" s="26"/>
      <c r="D53" s="26"/>
      <c r="E53" s="26"/>
      <c r="K53" s="30"/>
      <c r="L53" s="56"/>
      <c r="M53" s="36"/>
      <c r="N53" s="36"/>
      <c r="O53" s="65"/>
      <c r="P53" s="92"/>
      <c r="Q53" s="30" t="str">
        <f t="shared" si="5"/>
        <v/>
      </c>
      <c r="R53" s="30" t="str">
        <f t="shared" si="6"/>
        <v/>
      </c>
      <c r="S53" s="30" t="str">
        <f t="shared" si="7"/>
        <v/>
      </c>
      <c r="T53" s="30" t="str">
        <f t="shared" si="8"/>
        <v/>
      </c>
      <c r="U53" s="30" t="str">
        <f t="shared" si="9"/>
        <v/>
      </c>
      <c r="V53" s="30"/>
      <c r="AC53" s="93"/>
      <c r="AD53" s="87"/>
      <c r="AE53" s="87"/>
      <c r="AF53" s="87"/>
      <c r="AG53" s="94"/>
    </row>
    <row r="54" spans="3:33" x14ac:dyDescent="0.45">
      <c r="C54" s="26"/>
      <c r="D54" s="26"/>
      <c r="E54" s="26"/>
      <c r="K54" s="30"/>
      <c r="L54" s="56"/>
      <c r="M54" s="36"/>
      <c r="N54" s="36"/>
      <c r="O54" s="65"/>
      <c r="P54" s="92"/>
      <c r="Q54" s="30" t="str">
        <f t="shared" si="5"/>
        <v/>
      </c>
      <c r="R54" s="30" t="str">
        <f t="shared" si="6"/>
        <v/>
      </c>
      <c r="S54" s="30" t="str">
        <f t="shared" si="7"/>
        <v/>
      </c>
      <c r="T54" s="30" t="str">
        <f t="shared" si="8"/>
        <v/>
      </c>
      <c r="U54" s="30" t="str">
        <f t="shared" si="9"/>
        <v/>
      </c>
      <c r="V54" s="30"/>
      <c r="AC54" s="93"/>
      <c r="AD54" s="87"/>
      <c r="AE54" s="87"/>
      <c r="AF54" s="87"/>
      <c r="AG54" s="94"/>
    </row>
    <row r="55" spans="3:33" ht="17" thickBot="1" x14ac:dyDescent="0.5">
      <c r="C55" s="26"/>
      <c r="D55" s="26"/>
      <c r="E55" s="26"/>
      <c r="K55" s="30"/>
      <c r="L55" s="56"/>
      <c r="M55" s="36"/>
      <c r="N55" s="36"/>
      <c r="O55" s="65"/>
      <c r="P55" s="92"/>
      <c r="Q55" s="30" t="str">
        <f t="shared" si="5"/>
        <v/>
      </c>
      <c r="R55" s="30" t="str">
        <f t="shared" si="6"/>
        <v/>
      </c>
      <c r="S55" s="30" t="str">
        <f t="shared" si="7"/>
        <v/>
      </c>
      <c r="T55" s="30" t="str">
        <f t="shared" si="8"/>
        <v/>
      </c>
      <c r="U55" s="30" t="str">
        <f t="shared" si="9"/>
        <v/>
      </c>
      <c r="V55" s="30"/>
      <c r="AC55" s="95"/>
      <c r="AD55" s="96"/>
      <c r="AE55" s="96"/>
      <c r="AF55" s="96"/>
      <c r="AG55" s="97"/>
    </row>
    <row r="56" spans="3:33" x14ac:dyDescent="0.45">
      <c r="K56" s="30"/>
      <c r="L56" s="56"/>
      <c r="M56" s="30"/>
      <c r="N56" s="30"/>
      <c r="O56" s="65"/>
      <c r="P56" s="92"/>
      <c r="Q56" s="30"/>
      <c r="R56" s="30"/>
      <c r="S56" s="30"/>
      <c r="T56" s="30"/>
      <c r="U56" s="30"/>
      <c r="V56" s="30"/>
    </row>
    <row r="57" spans="3:33" ht="17" customHeight="1" thickBot="1" x14ac:dyDescent="0.5">
      <c r="H57" s="98" t="s">
        <v>97</v>
      </c>
      <c r="K57" s="30"/>
      <c r="L57" s="56"/>
      <c r="M57" s="57" t="s">
        <v>98</v>
      </c>
      <c r="N57" s="99" t="str">
        <f>SUBSTITUTE("Rosa Scelsa - Co-founder"&amp;CHAR(10)&amp;"Federica Signoriello - Co-founder","No Data Available","")</f>
        <v>Rosa Scelsa - Co-founder
Federica Signoriello - Co-founder</v>
      </c>
      <c r="O57" s="100"/>
      <c r="P57" s="101" t="s">
        <v>99</v>
      </c>
      <c r="Q57" s="102" t="s">
        <v>100</v>
      </c>
      <c r="R57" s="103"/>
      <c r="S57" s="103" t="s">
        <v>101</v>
      </c>
      <c r="T57" s="103"/>
      <c r="U57" s="103"/>
      <c r="V57" s="30"/>
    </row>
    <row r="58" spans="3:33" ht="17.5" customHeight="1" x14ac:dyDescent="0.45">
      <c r="G58" s="35" t="s">
        <v>98</v>
      </c>
      <c r="H58" s="104" t="str" cm="1">
        <f t="array" ref="H58:I60">IFERROR(_xlfn._xlws.SORT(_xlfn._xlws.FILTER($AA$58:$AB$67,$AB$58:$AB$67&lt;&gt;""), 2,-1),"")</f>
        <v>Founders and Management</v>
      </c>
      <c r="I58" s="105">
        <v>1</v>
      </c>
      <c r="J58" s="108"/>
      <c r="K58" s="30"/>
      <c r="L58" s="56"/>
      <c r="M58" s="57"/>
      <c r="N58" s="99"/>
      <c r="O58" s="65"/>
      <c r="P58" s="92"/>
      <c r="Q58" s="109" t="str">
        <f t="shared" ref="Q58:Q67" si="10">IF($H58="","",$H58)</f>
        <v>Founders and Management</v>
      </c>
      <c r="R58" s="110"/>
      <c r="S58" s="111">
        <f t="shared" ref="S58:S67" si="11">IF($I58="","",$I58)</f>
        <v>1</v>
      </c>
      <c r="T58" s="111"/>
      <c r="U58" s="111"/>
      <c r="V58" s="30"/>
      <c r="X58" s="35" t="s">
        <v>102</v>
      </c>
      <c r="Y58" s="35" t="s">
        <v>103</v>
      </c>
      <c r="Z58" s="112" t="s">
        <v>104</v>
      </c>
      <c r="AA58" s="112" t="str">
        <f>SUBSTITUTE("Founders and Management","No Data Available","")</f>
        <v>Founders and Management</v>
      </c>
      <c r="AB58" s="113">
        <f>IF($AA58="","",IFERROR(1/1,""))</f>
        <v>1</v>
      </c>
    </row>
    <row r="59" spans="3:33" ht="17.5" customHeight="1" x14ac:dyDescent="0.45">
      <c r="H59" s="106" t="str">
        <v>360 DIGITALY</v>
      </c>
      <c r="I59" s="107">
        <v>0</v>
      </c>
      <c r="J59" s="108"/>
      <c r="K59" s="30"/>
      <c r="L59" s="56"/>
      <c r="M59" s="30"/>
      <c r="N59" s="99"/>
      <c r="O59" s="65"/>
      <c r="P59" s="92"/>
      <c r="Q59" s="109"/>
      <c r="R59" s="110"/>
      <c r="S59" s="111"/>
      <c r="T59" s="111"/>
      <c r="U59" s="111"/>
      <c r="V59" s="30"/>
      <c r="X59" s="35" t="s">
        <v>105</v>
      </c>
      <c r="Y59" s="35" t="s">
        <v>103</v>
      </c>
      <c r="Z59" s="112" t="s">
        <v>104</v>
      </c>
      <c r="AA59" s="112" t="str">
        <f>SUBSTITUTE("360 DIGITALY","No Data Available","")</f>
        <v>360 DIGITALY</v>
      </c>
      <c r="AB59" s="113">
        <f>IF($AA59="","",IFERROR(0/1,""))</f>
        <v>0</v>
      </c>
    </row>
    <row r="60" spans="3:33" x14ac:dyDescent="0.45">
      <c r="H60" s="106" t="str">
        <v>360 SICAF</v>
      </c>
      <c r="I60" s="107">
        <v>0</v>
      </c>
      <c r="J60" s="108"/>
      <c r="K60" s="30"/>
      <c r="L60" s="56"/>
      <c r="M60" s="57"/>
      <c r="N60" s="114"/>
      <c r="O60" s="65"/>
      <c r="P60" s="92"/>
      <c r="Q60" s="109"/>
      <c r="R60" s="110"/>
      <c r="S60" s="111"/>
      <c r="T60" s="111"/>
      <c r="U60" s="111"/>
      <c r="V60" s="30"/>
      <c r="X60" s="35" t="s">
        <v>106</v>
      </c>
      <c r="Y60" s="35" t="s">
        <v>103</v>
      </c>
      <c r="Z60" s="112" t="s">
        <v>104</v>
      </c>
      <c r="AA60" s="112" t="str">
        <f>SUBSTITUTE("360 SICAF","No Data Available","")</f>
        <v>360 SICAF</v>
      </c>
      <c r="AB60" s="113">
        <f>IF($AA60="","",IFERROR(0/1,""))</f>
        <v>0</v>
      </c>
    </row>
    <row r="61" spans="3:33" x14ac:dyDescent="0.45">
      <c r="H61" s="106"/>
      <c r="I61" s="107"/>
      <c r="J61" s="108"/>
      <c r="K61" s="30"/>
      <c r="L61" s="56"/>
      <c r="M61" s="57" t="s">
        <v>108</v>
      </c>
      <c r="N61" s="115" t="str">
        <f>SUBSTITUTE("n.a.","No Data Available","")</f>
        <v>n.a.</v>
      </c>
      <c r="O61" s="65"/>
      <c r="P61" s="92"/>
      <c r="Q61" s="109" t="str">
        <f t="shared" si="10"/>
        <v/>
      </c>
      <c r="R61" s="110"/>
      <c r="S61" s="111" t="str">
        <f t="shared" si="11"/>
        <v/>
      </c>
      <c r="T61" s="111"/>
      <c r="U61" s="111"/>
      <c r="V61" s="30"/>
      <c r="X61" s="35" t="s">
        <v>107</v>
      </c>
      <c r="Y61" s="35" t="s">
        <v>103</v>
      </c>
      <c r="Z61" s="112" t="s">
        <v>104</v>
      </c>
      <c r="AA61" s="112" t="str">
        <f>SUBSTITUTE("No Data Available","No Data Available","")</f>
        <v/>
      </c>
      <c r="AB61" s="113" t="str">
        <f>IF($AA61="","",IFERROR("No Data Available"/1,""))</f>
        <v/>
      </c>
    </row>
    <row r="62" spans="3:33" x14ac:dyDescent="0.45">
      <c r="H62" s="106"/>
      <c r="I62" s="107"/>
      <c r="J62" s="108"/>
      <c r="K62" s="30"/>
      <c r="L62" s="56"/>
      <c r="M62" s="57" t="s">
        <v>110</v>
      </c>
      <c r="N62" s="115" t="str">
        <f>SUBSTITUTE("n.a.","No Data Available","")</f>
        <v>n.a.</v>
      </c>
      <c r="O62" s="65"/>
      <c r="P62" s="39"/>
      <c r="Q62" s="109" t="str">
        <f t="shared" si="10"/>
        <v/>
      </c>
      <c r="R62" s="110"/>
      <c r="S62" s="111" t="str">
        <f t="shared" si="11"/>
        <v/>
      </c>
      <c r="T62" s="111"/>
      <c r="U62" s="111"/>
      <c r="V62" s="30"/>
      <c r="X62" s="35" t="s">
        <v>109</v>
      </c>
      <c r="Y62" s="35" t="s">
        <v>103</v>
      </c>
      <c r="Z62" s="112" t="s">
        <v>104</v>
      </c>
      <c r="AA62" s="112" t="str">
        <f>SUBSTITUTE("No Data Available","No Data Available","")</f>
        <v/>
      </c>
      <c r="AB62" s="113" t="str">
        <f>IF($AA62="","",IFERROR("No Data Available"/1,""))</f>
        <v/>
      </c>
    </row>
    <row r="63" spans="3:33" ht="14" customHeight="1" x14ac:dyDescent="0.45">
      <c r="G63" s="35" t="s">
        <v>108</v>
      </c>
      <c r="H63" s="106"/>
      <c r="I63" s="107"/>
      <c r="J63" s="108"/>
      <c r="K63" s="30"/>
      <c r="L63" s="56"/>
      <c r="M63" s="57" t="s">
        <v>112</v>
      </c>
      <c r="N63" s="99" t="str">
        <f>SUBSTITUTE("Consumer Internet &amp; E-commerce","No Data Available","")</f>
        <v>Consumer Internet &amp; E-commerce</v>
      </c>
      <c r="O63" s="65"/>
      <c r="P63" s="39"/>
      <c r="Q63" s="109" t="str">
        <f t="shared" si="10"/>
        <v/>
      </c>
      <c r="R63" s="110"/>
      <c r="S63" s="111" t="str">
        <f t="shared" si="11"/>
        <v/>
      </c>
      <c r="T63" s="111"/>
      <c r="U63" s="111"/>
      <c r="V63" s="30"/>
      <c r="X63" s="35" t="s">
        <v>111</v>
      </c>
      <c r="Y63" s="35" t="s">
        <v>103</v>
      </c>
      <c r="Z63" s="112" t="s">
        <v>104</v>
      </c>
      <c r="AA63" s="112" t="str">
        <f>SUBSTITUTE("No Data Available","No Data Available","")</f>
        <v/>
      </c>
      <c r="AB63" s="113" t="str">
        <f>IF($AA63="","",IFERROR("No Data Available"/1,""))</f>
        <v/>
      </c>
    </row>
    <row r="64" spans="3:33" x14ac:dyDescent="0.45">
      <c r="G64" s="35" t="s">
        <v>110</v>
      </c>
      <c r="H64" s="106"/>
      <c r="I64" s="107"/>
      <c r="J64" s="108"/>
      <c r="K64" s="30"/>
      <c r="L64" s="56"/>
      <c r="N64" s="99"/>
      <c r="O64" s="65"/>
      <c r="P64" s="39"/>
      <c r="Q64" s="109" t="str">
        <f t="shared" si="10"/>
        <v/>
      </c>
      <c r="R64" s="110"/>
      <c r="S64" s="111" t="str">
        <f t="shared" si="11"/>
        <v/>
      </c>
      <c r="T64" s="111"/>
      <c r="U64" s="111"/>
      <c r="V64" s="30"/>
      <c r="X64" s="35" t="s">
        <v>113</v>
      </c>
      <c r="Y64" s="35" t="s">
        <v>103</v>
      </c>
      <c r="Z64" s="112" t="s">
        <v>104</v>
      </c>
      <c r="AA64" s="112" t="str">
        <f>SUBSTITUTE("No Data Available","No Data Available","")</f>
        <v/>
      </c>
      <c r="AB64" s="113" t="str">
        <f>IF($AA64="","",IFERROR("No Data Available"/1,""))</f>
        <v/>
      </c>
    </row>
    <row r="65" spans="1:28" ht="16.5" customHeight="1" x14ac:dyDescent="0.45">
      <c r="G65" s="35" t="s">
        <v>114</v>
      </c>
      <c r="H65" s="106"/>
      <c r="I65" s="107"/>
      <c r="J65" s="108"/>
      <c r="K65" s="30"/>
      <c r="L65" s="56"/>
      <c r="O65" s="65"/>
      <c r="P65" s="39"/>
      <c r="Q65" s="109" t="str">
        <f t="shared" si="10"/>
        <v/>
      </c>
      <c r="R65" s="110"/>
      <c r="S65" s="111" t="str">
        <f t="shared" si="11"/>
        <v/>
      </c>
      <c r="T65" s="111"/>
      <c r="U65" s="111"/>
      <c r="V65" s="30"/>
      <c r="X65" s="35" t="s">
        <v>115</v>
      </c>
      <c r="Y65" s="35" t="s">
        <v>103</v>
      </c>
      <c r="Z65" s="112" t="s">
        <v>104</v>
      </c>
      <c r="AA65" s="112" t="str">
        <f>SUBSTITUTE("No Data Available","No Data Available","")</f>
        <v/>
      </c>
      <c r="AB65" s="113" t="str">
        <f>IF($AA65="","",IFERROR("No Data Available"/1,""))</f>
        <v/>
      </c>
    </row>
    <row r="66" spans="1:28" x14ac:dyDescent="0.45">
      <c r="H66" s="106"/>
      <c r="I66" s="107"/>
      <c r="J66" s="108"/>
      <c r="K66" s="30"/>
      <c r="L66" s="56"/>
      <c r="M66" s="30"/>
      <c r="N66" s="114"/>
      <c r="O66" s="65"/>
      <c r="P66" s="39"/>
      <c r="Q66" s="109" t="str">
        <f t="shared" si="10"/>
        <v/>
      </c>
      <c r="R66" s="110"/>
      <c r="S66" s="111" t="str">
        <f t="shared" si="11"/>
        <v/>
      </c>
      <c r="T66" s="111"/>
      <c r="U66" s="111"/>
      <c r="V66" s="30"/>
      <c r="X66" s="35" t="s">
        <v>116</v>
      </c>
      <c r="Y66" s="35" t="s">
        <v>103</v>
      </c>
      <c r="Z66" s="112" t="s">
        <v>104</v>
      </c>
      <c r="AA66" s="112" t="str">
        <f>SUBSTITUTE("No Data Available","No Data Available","")</f>
        <v/>
      </c>
      <c r="AB66" s="113" t="str">
        <f>IF($AA66="","",IFERROR("No Data Available"/1,""))</f>
        <v/>
      </c>
    </row>
    <row r="67" spans="1:28" ht="17" thickBot="1" x14ac:dyDescent="0.5">
      <c r="H67" s="116"/>
      <c r="I67" s="117"/>
      <c r="J67" s="108"/>
      <c r="K67" s="30"/>
      <c r="L67" s="118"/>
      <c r="M67" s="119"/>
      <c r="N67" s="119"/>
      <c r="O67" s="120"/>
      <c r="P67" s="39"/>
      <c r="Q67" s="109" t="str">
        <f t="shared" si="10"/>
        <v/>
      </c>
      <c r="R67" s="110"/>
      <c r="S67" s="111" t="str">
        <f t="shared" si="11"/>
        <v/>
      </c>
      <c r="T67" s="111"/>
      <c r="U67" s="111"/>
      <c r="V67" s="30"/>
      <c r="X67" s="35" t="s">
        <v>117</v>
      </c>
      <c r="Y67" s="35" t="s">
        <v>103</v>
      </c>
      <c r="Z67" s="112" t="s">
        <v>104</v>
      </c>
      <c r="AA67" s="112" t="str">
        <f>SUBSTITUTE("No Data Available","No Data Available","")</f>
        <v/>
      </c>
      <c r="AB67" s="113" t="str">
        <f>IF($AA67="","",IFERROR("No Data Available"/1,""))</f>
        <v/>
      </c>
    </row>
    <row r="68" spans="1:28" ht="13.75" customHeight="1" thickBot="1" x14ac:dyDescent="0.5">
      <c r="K68" s="30"/>
      <c r="L68" s="121"/>
      <c r="M68" s="122"/>
      <c r="N68" s="123"/>
      <c r="O68" s="124"/>
      <c r="P68" s="39"/>
      <c r="Q68" s="109"/>
      <c r="R68" s="110"/>
      <c r="S68" s="110"/>
      <c r="T68" s="110"/>
      <c r="U68" s="110"/>
      <c r="V68" s="30"/>
    </row>
    <row r="71" spans="1:28" x14ac:dyDescent="0.45">
      <c r="A71" s="125" t="s">
        <v>118</v>
      </c>
      <c r="B71" s="125" t="s">
        <v>1</v>
      </c>
    </row>
    <row r="73" spans="1:28" ht="121.75" customHeight="1" x14ac:dyDescent="0.45">
      <c r="A73" s="126" t="e" vm="2">
        <v>#VALUE!</v>
      </c>
      <c r="B73" s="126" t="s">
        <v>119</v>
      </c>
    </row>
    <row r="74" spans="1:28" ht="121.75" customHeight="1" x14ac:dyDescent="0.45">
      <c r="A74" s="126" t="e" vm="3">
        <v>#VALUE!</v>
      </c>
      <c r="B74" s="126" t="s">
        <v>120</v>
      </c>
    </row>
    <row r="75" spans="1:28" ht="121.75" customHeight="1" x14ac:dyDescent="0.45">
      <c r="A75" s="126" t="e" vm="4">
        <v>#VALUE!</v>
      </c>
      <c r="B75" s="126" t="s">
        <v>121</v>
      </c>
    </row>
    <row r="76" spans="1:28" ht="121.75" customHeight="1" x14ac:dyDescent="0.45">
      <c r="A76" s="126" t="e" vm="5">
        <v>#VALUE!</v>
      </c>
      <c r="B76" s="126" t="s">
        <v>122</v>
      </c>
    </row>
    <row r="77" spans="1:28" ht="121.75" customHeight="1" x14ac:dyDescent="0.45">
      <c r="A77" s="126" t="e" vm="6">
        <v>#VALUE!</v>
      </c>
      <c r="B77" s="126" t="s">
        <v>123</v>
      </c>
    </row>
    <row r="78" spans="1:28" ht="121.75" customHeight="1" x14ac:dyDescent="0.45">
      <c r="A78" s="126" t="e" vm="7">
        <v>#VALUE!</v>
      </c>
      <c r="B78" s="126" t="s">
        <v>124</v>
      </c>
    </row>
    <row r="79" spans="1:28" ht="121.75" customHeight="1" x14ac:dyDescent="0.45">
      <c r="A79" s="126" t="e" vm="8">
        <v>#VALUE!</v>
      </c>
      <c r="B79" s="126" t="s">
        <v>125</v>
      </c>
    </row>
    <row r="80" spans="1:28" ht="121.75" customHeight="1" x14ac:dyDescent="0.45">
      <c r="A80" s="126" t="e" vm="9">
        <v>#VALUE!</v>
      </c>
      <c r="B80" s="126" t="s">
        <v>126</v>
      </c>
    </row>
    <row r="81" spans="1:2" ht="121.75" customHeight="1" x14ac:dyDescent="0.45">
      <c r="A81" s="126" t="e" vm="10">
        <v>#VALUE!</v>
      </c>
      <c r="B81" s="126" t="s">
        <v>127</v>
      </c>
    </row>
    <row r="82" spans="1:2" ht="121.75" customHeight="1" x14ac:dyDescent="0.45">
      <c r="A82" s="126" t="e" vm="11">
        <v>#VALUE!</v>
      </c>
      <c r="B82" s="126" t="s">
        <v>128</v>
      </c>
    </row>
    <row r="83" spans="1:2" ht="121.75" customHeight="1" x14ac:dyDescent="0.45">
      <c r="A83" s="126" t="e" vm="12">
        <v>#VALUE!</v>
      </c>
      <c r="B83" s="126" t="s">
        <v>129</v>
      </c>
    </row>
    <row r="84" spans="1:2" ht="121.75" customHeight="1" x14ac:dyDescent="0.45">
      <c r="A84" s="126" t="e" vm="13">
        <v>#VALUE!</v>
      </c>
      <c r="B84" s="126" t="s">
        <v>130</v>
      </c>
    </row>
    <row r="85" spans="1:2" ht="121.75" customHeight="1" x14ac:dyDescent="0.45">
      <c r="A85" s="126" t="e" vm="14">
        <v>#VALUE!</v>
      </c>
      <c r="B85" s="126" t="s">
        <v>131</v>
      </c>
    </row>
    <row r="86" spans="1:2" ht="121.75" customHeight="1" x14ac:dyDescent="0.45">
      <c r="A86" s="126" t="e" vm="15">
        <v>#VALUE!</v>
      </c>
      <c r="B86" s="126" t="s">
        <v>132</v>
      </c>
    </row>
    <row r="87" spans="1:2" ht="121.75" customHeight="1" x14ac:dyDescent="0.45">
      <c r="A87" s="126" t="e" vm="16">
        <v>#VALUE!</v>
      </c>
      <c r="B87" s="126" t="s">
        <v>133</v>
      </c>
    </row>
    <row r="88" spans="1:2" ht="121.75" customHeight="1" x14ac:dyDescent="0.45">
      <c r="A88" s="126" t="e" vm="17">
        <v>#VALUE!</v>
      </c>
      <c r="B88" s="126" t="s">
        <v>134</v>
      </c>
    </row>
    <row r="89" spans="1:2" ht="121.75" customHeight="1" x14ac:dyDescent="0.45">
      <c r="A89" s="126" t="e" vm="18">
        <v>#VALUE!</v>
      </c>
      <c r="B89" s="126" t="s">
        <v>135</v>
      </c>
    </row>
    <row r="90" spans="1:2" ht="121.75" customHeight="1" x14ac:dyDescent="0.45">
      <c r="A90" s="126" t="e" vm="19">
        <v>#VALUE!</v>
      </c>
      <c r="B90" s="126" t="s">
        <v>136</v>
      </c>
    </row>
    <row r="91" spans="1:2" ht="121.75" customHeight="1" x14ac:dyDescent="0.45">
      <c r="A91" s="126" t="e" vm="20">
        <v>#VALUE!</v>
      </c>
      <c r="B91" s="126" t="s">
        <v>137</v>
      </c>
    </row>
    <row r="92" spans="1:2" ht="121.75" customHeight="1" x14ac:dyDescent="0.45">
      <c r="A92" s="126" t="e" vm="21">
        <v>#VALUE!</v>
      </c>
      <c r="B92" s="126" t="s">
        <v>138</v>
      </c>
    </row>
    <row r="93" spans="1:2" ht="121.75" customHeight="1" x14ac:dyDescent="0.45">
      <c r="A93" s="126" t="e" vm="22">
        <v>#VALUE!</v>
      </c>
      <c r="B93" s="126" t="s">
        <v>139</v>
      </c>
    </row>
    <row r="94" spans="1:2" ht="121.75" customHeight="1" x14ac:dyDescent="0.45">
      <c r="A94" s="126" t="e" vm="23">
        <v>#VALUE!</v>
      </c>
      <c r="B94" s="126" t="s">
        <v>140</v>
      </c>
    </row>
    <row r="95" spans="1:2" ht="121.75" customHeight="1" x14ac:dyDescent="0.45">
      <c r="A95" s="126" t="e" vm="24">
        <v>#VALUE!</v>
      </c>
      <c r="B95" s="126" t="s">
        <v>141</v>
      </c>
    </row>
    <row r="96" spans="1:2" ht="121.75" customHeight="1" x14ac:dyDescent="0.45">
      <c r="A96" s="126" t="e" vm="25">
        <v>#VALUE!</v>
      </c>
      <c r="B96" s="126" t="s">
        <v>142</v>
      </c>
    </row>
    <row r="97" spans="1:2" ht="121.75" customHeight="1" x14ac:dyDescent="0.45">
      <c r="A97" s="126" t="e" vm="26">
        <v>#VALUE!</v>
      </c>
      <c r="B97" s="126" t="s">
        <v>143</v>
      </c>
    </row>
    <row r="98" spans="1:2" ht="121.75" customHeight="1" x14ac:dyDescent="0.45">
      <c r="A98" s="126" t="e" vm="27">
        <v>#VALUE!</v>
      </c>
      <c r="B98" s="126" t="s">
        <v>144</v>
      </c>
    </row>
    <row r="99" spans="1:2" ht="121.75" customHeight="1" x14ac:dyDescent="0.45">
      <c r="A99" s="126" t="e" vm="28">
        <v>#VALUE!</v>
      </c>
      <c r="B99" s="126" t="s">
        <v>145</v>
      </c>
    </row>
    <row r="100" spans="1:2" ht="121.75" customHeight="1" x14ac:dyDescent="0.45">
      <c r="A100" s="126" t="e" vm="29">
        <v>#VALUE!</v>
      </c>
      <c r="B100" s="126" t="s">
        <v>25</v>
      </c>
    </row>
    <row r="101" spans="1:2" ht="121.75" customHeight="1" x14ac:dyDescent="0.45">
      <c r="A101" s="126" t="e" vm="30">
        <v>#VALUE!</v>
      </c>
      <c r="B101" s="126" t="s">
        <v>146</v>
      </c>
    </row>
    <row r="102" spans="1:2" ht="121.75" customHeight="1" x14ac:dyDescent="0.45">
      <c r="A102" s="126" t="e" vm="31">
        <v>#VALUE!</v>
      </c>
      <c r="B102" s="126" t="s">
        <v>147</v>
      </c>
    </row>
    <row r="103" spans="1:2" ht="121.75" customHeight="1" x14ac:dyDescent="0.45">
      <c r="A103" s="126" t="e" vm="32">
        <v>#VALUE!</v>
      </c>
      <c r="B103" s="126" t="s">
        <v>148</v>
      </c>
    </row>
    <row r="104" spans="1:2" ht="121.75" customHeight="1" x14ac:dyDescent="0.45">
      <c r="A104" s="126" t="e" vm="33">
        <v>#VALUE!</v>
      </c>
      <c r="B104" s="126" t="s">
        <v>149</v>
      </c>
    </row>
    <row r="105" spans="1:2" ht="121.75" customHeight="1" x14ac:dyDescent="0.45">
      <c r="A105" s="126" t="e" vm="34">
        <v>#VALUE!</v>
      </c>
      <c r="B105" s="126" t="s">
        <v>150</v>
      </c>
    </row>
    <row r="106" spans="1:2" ht="121.75" customHeight="1" x14ac:dyDescent="0.45">
      <c r="A106" s="126" t="e" vm="35">
        <v>#VALUE!</v>
      </c>
      <c r="B106" s="126" t="s">
        <v>151</v>
      </c>
    </row>
    <row r="107" spans="1:2" ht="121.75" customHeight="1" x14ac:dyDescent="0.45">
      <c r="A107" s="126" t="e" vm="36">
        <v>#VALUE!</v>
      </c>
      <c r="B107" s="126" t="s">
        <v>152</v>
      </c>
    </row>
    <row r="108" spans="1:2" ht="121.75" customHeight="1" x14ac:dyDescent="0.45">
      <c r="A108" s="126" t="e" vm="37">
        <v>#VALUE!</v>
      </c>
      <c r="B108" s="126" t="s">
        <v>153</v>
      </c>
    </row>
    <row r="109" spans="1:2" ht="121.75" customHeight="1" x14ac:dyDescent="0.45">
      <c r="A109" s="126" t="e" vm="38">
        <v>#VALUE!</v>
      </c>
      <c r="B109" s="126" t="s">
        <v>33</v>
      </c>
    </row>
    <row r="110" spans="1:2" ht="121.75" customHeight="1" x14ac:dyDescent="0.45">
      <c r="A110" s="126" t="e" vm="39">
        <v>#VALUE!</v>
      </c>
      <c r="B110" s="126" t="s">
        <v>154</v>
      </c>
    </row>
    <row r="111" spans="1:2" ht="121.75" customHeight="1" x14ac:dyDescent="0.45">
      <c r="A111" s="126" t="e" vm="40">
        <v>#VALUE!</v>
      </c>
      <c r="B111" s="126" t="s">
        <v>155</v>
      </c>
    </row>
    <row r="112" spans="1:2" ht="121.75" customHeight="1" x14ac:dyDescent="0.45">
      <c r="A112" s="126" t="e" vm="41">
        <v>#VALUE!</v>
      </c>
      <c r="B112" s="126" t="s">
        <v>156</v>
      </c>
    </row>
    <row r="113" spans="1:2" ht="121.75" customHeight="1" x14ac:dyDescent="0.45">
      <c r="A113" s="126" t="e" vm="42">
        <v>#VALUE!</v>
      </c>
      <c r="B113" s="126" t="s">
        <v>157</v>
      </c>
    </row>
    <row r="114" spans="1:2" ht="121.75" customHeight="1" x14ac:dyDescent="0.45">
      <c r="A114" s="126" t="e" vm="43">
        <v>#VALUE!</v>
      </c>
      <c r="B114" s="126" t="s">
        <v>158</v>
      </c>
    </row>
    <row r="115" spans="1:2" ht="121.75" customHeight="1" x14ac:dyDescent="0.45">
      <c r="A115" s="126" t="e" vm="44">
        <v>#VALUE!</v>
      </c>
      <c r="B115" s="126" t="s">
        <v>35</v>
      </c>
    </row>
    <row r="116" spans="1:2" ht="121.75" customHeight="1" x14ac:dyDescent="0.45">
      <c r="A116" s="126" t="e" vm="45">
        <v>#VALUE!</v>
      </c>
      <c r="B116" s="126" t="s">
        <v>159</v>
      </c>
    </row>
    <row r="117" spans="1:2" ht="121.75" customHeight="1" x14ac:dyDescent="0.45">
      <c r="A117" s="126" t="e" vm="46">
        <v>#VALUE!</v>
      </c>
      <c r="B117" s="126" t="s">
        <v>160</v>
      </c>
    </row>
    <row r="118" spans="1:2" ht="121.75" customHeight="1" x14ac:dyDescent="0.45">
      <c r="A118" s="126" t="e" vm="47">
        <v>#VALUE!</v>
      </c>
      <c r="B118" s="126" t="s">
        <v>161</v>
      </c>
    </row>
    <row r="119" spans="1:2" ht="121.75" customHeight="1" x14ac:dyDescent="0.45">
      <c r="A119" s="126" t="e" vm="48">
        <v>#VALUE!</v>
      </c>
      <c r="B119" s="126" t="s">
        <v>162</v>
      </c>
    </row>
    <row r="120" spans="1:2" ht="121.75" customHeight="1" x14ac:dyDescent="0.45">
      <c r="A120" s="126" t="e" vm="49">
        <v>#VALUE!</v>
      </c>
      <c r="B120" s="126" t="s">
        <v>163</v>
      </c>
    </row>
    <row r="121" spans="1:2" ht="121.75" customHeight="1" x14ac:dyDescent="0.45">
      <c r="A121" s="126" t="e" vm="50">
        <v>#VALUE!</v>
      </c>
      <c r="B121" s="126" t="s">
        <v>164</v>
      </c>
    </row>
    <row r="122" spans="1:2" ht="121.75" customHeight="1" x14ac:dyDescent="0.45">
      <c r="A122" s="126" t="e" vm="51">
        <v>#VALUE!</v>
      </c>
      <c r="B122" s="126" t="s">
        <v>165</v>
      </c>
    </row>
    <row r="123" spans="1:2" ht="121.75" customHeight="1" x14ac:dyDescent="0.45">
      <c r="A123" s="126" t="e" vm="52">
        <v>#VALUE!</v>
      </c>
      <c r="B123" s="126" t="s">
        <v>166</v>
      </c>
    </row>
    <row r="124" spans="1:2" ht="121.75" customHeight="1" x14ac:dyDescent="0.45">
      <c r="A124" s="126" t="e" vm="53">
        <v>#VALUE!</v>
      </c>
      <c r="B124" s="126" t="s">
        <v>167</v>
      </c>
    </row>
    <row r="125" spans="1:2" ht="121.75" customHeight="1" x14ac:dyDescent="0.45">
      <c r="A125" s="126" t="e" vm="54">
        <v>#VALUE!</v>
      </c>
      <c r="B125" s="126" t="s">
        <v>168</v>
      </c>
    </row>
    <row r="126" spans="1:2" ht="121.75" customHeight="1" x14ac:dyDescent="0.45">
      <c r="A126" s="126" t="e" vm="55">
        <v>#VALUE!</v>
      </c>
      <c r="B126" s="126" t="s">
        <v>169</v>
      </c>
    </row>
    <row r="127" spans="1:2" ht="121.75" customHeight="1" x14ac:dyDescent="0.45">
      <c r="A127" s="126" t="e" vm="56">
        <v>#VALUE!</v>
      </c>
      <c r="B127" s="126" t="s">
        <v>170</v>
      </c>
    </row>
    <row r="128" spans="1:2" ht="121.75" customHeight="1" x14ac:dyDescent="0.45">
      <c r="A128" s="126" t="e" vm="57">
        <v>#VALUE!</v>
      </c>
      <c r="B128" s="126" t="s">
        <v>171</v>
      </c>
    </row>
    <row r="129" spans="1:2" ht="121.75" customHeight="1" x14ac:dyDescent="0.45">
      <c r="A129" s="126" t="e" vm="58">
        <v>#VALUE!</v>
      </c>
      <c r="B129" s="126" t="s">
        <v>172</v>
      </c>
    </row>
    <row r="130" spans="1:2" ht="121.75" customHeight="1" x14ac:dyDescent="0.45">
      <c r="A130" s="126" t="e" vm="59">
        <v>#VALUE!</v>
      </c>
      <c r="B130" s="126" t="s">
        <v>173</v>
      </c>
    </row>
    <row r="131" spans="1:2" ht="121.75" customHeight="1" x14ac:dyDescent="0.45">
      <c r="A131" s="126" t="e" vm="60">
        <v>#VALUE!</v>
      </c>
      <c r="B131" s="126" t="s">
        <v>174</v>
      </c>
    </row>
    <row r="132" spans="1:2" ht="121.75" customHeight="1" x14ac:dyDescent="0.45">
      <c r="A132" s="126" t="e" vm="61">
        <v>#VALUE!</v>
      </c>
      <c r="B132" s="126" t="s">
        <v>41</v>
      </c>
    </row>
    <row r="133" spans="1:2" ht="121.75" customHeight="1" x14ac:dyDescent="0.45">
      <c r="A133" s="126" t="e" vm="62">
        <v>#VALUE!</v>
      </c>
      <c r="B133" s="126" t="s">
        <v>175</v>
      </c>
    </row>
    <row r="134" spans="1:2" ht="121.75" customHeight="1" x14ac:dyDescent="0.45">
      <c r="A134" s="126" t="e" vm="63">
        <v>#VALUE!</v>
      </c>
      <c r="B134" s="126" t="s">
        <v>176</v>
      </c>
    </row>
    <row r="135" spans="1:2" ht="121.75" customHeight="1" x14ac:dyDescent="0.45">
      <c r="A135" s="126" t="e" vm="64">
        <v>#VALUE!</v>
      </c>
      <c r="B135" s="126" t="s">
        <v>177</v>
      </c>
    </row>
    <row r="136" spans="1:2" ht="121.75" customHeight="1" x14ac:dyDescent="0.45">
      <c r="A136" s="126" t="e" vm="65">
        <v>#VALUE!</v>
      </c>
      <c r="B136" s="126" t="s">
        <v>178</v>
      </c>
    </row>
    <row r="137" spans="1:2" ht="121.75" customHeight="1" x14ac:dyDescent="0.45">
      <c r="A137" s="126" t="e" vm="66">
        <v>#VALUE!</v>
      </c>
      <c r="B137" s="126" t="s">
        <v>179</v>
      </c>
    </row>
    <row r="138" spans="1:2" ht="121.75" customHeight="1" x14ac:dyDescent="0.45">
      <c r="A138" s="126" t="e" vm="67">
        <v>#VALUE!</v>
      </c>
      <c r="B138" s="126" t="s">
        <v>43</v>
      </c>
    </row>
    <row r="139" spans="1:2" ht="121.75" customHeight="1" x14ac:dyDescent="0.45">
      <c r="A139" s="127" t="e" vm="68">
        <v>#VALUE!</v>
      </c>
      <c r="B139" s="126" t="s">
        <v>37</v>
      </c>
    </row>
    <row r="140" spans="1:2" ht="121.75" customHeight="1" x14ac:dyDescent="0.45">
      <c r="A140"/>
      <c r="B140" s="126" t="s">
        <v>39</v>
      </c>
    </row>
    <row r="141" spans="1:2" ht="121.75" customHeight="1" x14ac:dyDescent="0.45">
      <c r="A141" s="128"/>
      <c r="B141" s="128"/>
    </row>
    <row r="142" spans="1:2" ht="121.75" customHeight="1" x14ac:dyDescent="0.45">
      <c r="A142" s="128"/>
      <c r="B142" s="128"/>
    </row>
    <row r="143" spans="1:2" ht="121.75" customHeight="1" x14ac:dyDescent="0.45">
      <c r="A143" s="128"/>
      <c r="B143" s="128"/>
    </row>
    <row r="144" spans="1:2" ht="121.75" customHeight="1" x14ac:dyDescent="0.45">
      <c r="A144" s="128"/>
      <c r="B144" s="128"/>
    </row>
    <row r="145" spans="1:2" ht="121.75" customHeight="1" x14ac:dyDescent="0.45">
      <c r="A145" s="128"/>
      <c r="B145" s="128"/>
    </row>
    <row r="146" spans="1:2" ht="121.75" customHeight="1" x14ac:dyDescent="0.45">
      <c r="A146" s="128"/>
      <c r="B146" s="128"/>
    </row>
    <row r="147" spans="1:2" ht="121.75" customHeight="1" x14ac:dyDescent="0.45">
      <c r="A147" s="128"/>
      <c r="B147" s="128"/>
    </row>
    <row r="148" spans="1:2" ht="121.75" customHeight="1" x14ac:dyDescent="0.45">
      <c r="A148" s="128"/>
      <c r="B148" s="128"/>
    </row>
    <row r="149" spans="1:2" ht="121.75" customHeight="1" x14ac:dyDescent="0.45">
      <c r="A149" s="128"/>
      <c r="B149" s="128"/>
    </row>
    <row r="150" spans="1:2" ht="121.75" customHeight="1" x14ac:dyDescent="0.45">
      <c r="A150" s="128"/>
      <c r="B150" s="128"/>
    </row>
    <row r="151" spans="1:2" ht="121.75" customHeight="1" x14ac:dyDescent="0.45">
      <c r="A151" s="128"/>
      <c r="B151" s="128"/>
    </row>
    <row r="152" spans="1:2" ht="121.75" customHeight="1" x14ac:dyDescent="0.45">
      <c r="A152" s="128"/>
      <c r="B152" s="128"/>
    </row>
    <row r="153" spans="1:2" ht="121.75" customHeight="1" x14ac:dyDescent="0.45">
      <c r="A153" s="128"/>
      <c r="B153" s="128"/>
    </row>
    <row r="154" spans="1:2" ht="121.75" customHeight="1" x14ac:dyDescent="0.45">
      <c r="A154" s="128"/>
      <c r="B154" s="128"/>
    </row>
    <row r="155" spans="1:2" ht="121.75" customHeight="1" x14ac:dyDescent="0.45">
      <c r="A155" s="128"/>
      <c r="B155" s="128"/>
    </row>
    <row r="156" spans="1:2" ht="121.75" customHeight="1" x14ac:dyDescent="0.45">
      <c r="A156" s="128"/>
      <c r="B156" s="128"/>
    </row>
    <row r="157" spans="1:2" ht="121.75" customHeight="1" x14ac:dyDescent="0.45">
      <c r="A157" s="128"/>
      <c r="B157" s="128"/>
    </row>
    <row r="158" spans="1:2" ht="121.75" customHeight="1" x14ac:dyDescent="0.45">
      <c r="A158" s="128"/>
      <c r="B158" s="128"/>
    </row>
    <row r="159" spans="1:2" ht="121.75" customHeight="1" x14ac:dyDescent="0.45">
      <c r="A159" s="128"/>
      <c r="B159" s="128"/>
    </row>
    <row r="160" spans="1:2" ht="121.75" customHeight="1" x14ac:dyDescent="0.45">
      <c r="A160" s="128"/>
      <c r="B160" s="128"/>
    </row>
    <row r="161" spans="1:2" ht="121.75" customHeight="1" x14ac:dyDescent="0.45">
      <c r="A161" s="128"/>
      <c r="B161" s="128"/>
    </row>
    <row r="162" spans="1:2" ht="121.75" customHeight="1" x14ac:dyDescent="0.45">
      <c r="A162" s="128"/>
      <c r="B162" s="128"/>
    </row>
    <row r="163" spans="1:2" ht="121.75" customHeight="1" x14ac:dyDescent="0.45">
      <c r="A163" s="128"/>
      <c r="B163" s="128"/>
    </row>
    <row r="164" spans="1:2" ht="121.75" customHeight="1" x14ac:dyDescent="0.45">
      <c r="A164" s="128"/>
      <c r="B164" s="128"/>
    </row>
    <row r="165" spans="1:2" ht="121.75" customHeight="1" x14ac:dyDescent="0.45">
      <c r="A165" s="128"/>
      <c r="B165" s="128"/>
    </row>
    <row r="166" spans="1:2" ht="121.75" customHeight="1" x14ac:dyDescent="0.45">
      <c r="A166" s="128"/>
      <c r="B166" s="128"/>
    </row>
    <row r="167" spans="1:2" ht="121.75" customHeight="1" x14ac:dyDescent="0.45">
      <c r="A167" s="128"/>
      <c r="B167" s="128"/>
    </row>
    <row r="168" spans="1:2" ht="121.75" customHeight="1" x14ac:dyDescent="0.45">
      <c r="A168" s="128"/>
      <c r="B168" s="128"/>
    </row>
    <row r="169" spans="1:2" ht="121.75" customHeight="1" x14ac:dyDescent="0.45">
      <c r="A169" s="128"/>
      <c r="B169" s="128"/>
    </row>
    <row r="170" spans="1:2" ht="121.75" customHeight="1" x14ac:dyDescent="0.45">
      <c r="A170" s="128"/>
      <c r="B170" s="128"/>
    </row>
    <row r="171" spans="1:2" ht="121.75" customHeight="1" x14ac:dyDescent="0.45">
      <c r="A171" s="128"/>
      <c r="B171" s="128"/>
    </row>
    <row r="172" spans="1:2" ht="121.75" customHeight="1" x14ac:dyDescent="0.45">
      <c r="A172" s="128"/>
      <c r="B172" s="128"/>
    </row>
    <row r="173" spans="1:2" ht="121.75" customHeight="1" x14ac:dyDescent="0.45">
      <c r="A173" s="128"/>
      <c r="B173" s="128"/>
    </row>
    <row r="174" spans="1:2" ht="121.75" customHeight="1" x14ac:dyDescent="0.45">
      <c r="A174" s="128"/>
      <c r="B174" s="128"/>
    </row>
    <row r="175" spans="1:2" ht="121.75" customHeight="1" x14ac:dyDescent="0.45">
      <c r="A175" s="128"/>
      <c r="B175" s="128"/>
    </row>
    <row r="176" spans="1:2" ht="121.75" customHeight="1" x14ac:dyDescent="0.45">
      <c r="A176" s="128"/>
      <c r="B176" s="128"/>
    </row>
    <row r="177" spans="1:2" ht="121.75" customHeight="1" x14ac:dyDescent="0.45">
      <c r="A177" s="128"/>
      <c r="B177" s="128"/>
    </row>
    <row r="178" spans="1:2" ht="121.75" customHeight="1" x14ac:dyDescent="0.45">
      <c r="A178" s="128"/>
      <c r="B178" s="128"/>
    </row>
    <row r="179" spans="1:2" ht="121.75" customHeight="1" x14ac:dyDescent="0.45">
      <c r="A179" s="128"/>
      <c r="B179" s="128"/>
    </row>
    <row r="180" spans="1:2" ht="121.75" customHeight="1" x14ac:dyDescent="0.45">
      <c r="A180" s="128"/>
      <c r="B180" s="128"/>
    </row>
    <row r="181" spans="1:2" ht="121.75" customHeight="1" x14ac:dyDescent="0.45">
      <c r="A181" s="128"/>
      <c r="B181" s="128"/>
    </row>
    <row r="182" spans="1:2" ht="121.75" customHeight="1" x14ac:dyDescent="0.45">
      <c r="A182" s="128"/>
      <c r="B182" s="128"/>
    </row>
    <row r="183" spans="1:2" ht="121.75" customHeight="1" x14ac:dyDescent="0.45">
      <c r="A183" s="128"/>
      <c r="B183" s="128"/>
    </row>
    <row r="184" spans="1:2" ht="121.75" customHeight="1" x14ac:dyDescent="0.45">
      <c r="A184" s="128"/>
      <c r="B184" s="128"/>
    </row>
    <row r="185" spans="1:2" ht="121.75" customHeight="1" x14ac:dyDescent="0.45">
      <c r="A185" s="128"/>
      <c r="B185" s="128"/>
    </row>
    <row r="186" spans="1:2" ht="121.75" customHeight="1" x14ac:dyDescent="0.45">
      <c r="A186" s="128"/>
      <c r="B186" s="128"/>
    </row>
    <row r="187" spans="1:2" ht="121.75" customHeight="1" x14ac:dyDescent="0.45">
      <c r="A187" s="128"/>
      <c r="B187" s="128"/>
    </row>
  </sheetData>
  <mergeCells count="38">
    <mergeCell ref="Q66:R66"/>
    <mergeCell ref="S66:U66"/>
    <mergeCell ref="Q67:R67"/>
    <mergeCell ref="S67:U67"/>
    <mergeCell ref="Q68:R68"/>
    <mergeCell ref="S68:U68"/>
    <mergeCell ref="N63:N64"/>
    <mergeCell ref="Q63:R63"/>
    <mergeCell ref="S63:U63"/>
    <mergeCell ref="Q64:R64"/>
    <mergeCell ref="S64:U64"/>
    <mergeCell ref="Q65:R65"/>
    <mergeCell ref="S65:U65"/>
    <mergeCell ref="Q60:R60"/>
    <mergeCell ref="S60:U60"/>
    <mergeCell ref="Q61:R61"/>
    <mergeCell ref="S61:U61"/>
    <mergeCell ref="Q62:R62"/>
    <mergeCell ref="S62:U62"/>
    <mergeCell ref="N57:N59"/>
    <mergeCell ref="Q57:R57"/>
    <mergeCell ref="S57:U57"/>
    <mergeCell ref="Q58:R58"/>
    <mergeCell ref="S58:U58"/>
    <mergeCell ref="Q59:R59"/>
    <mergeCell ref="S59:U59"/>
    <mergeCell ref="M39:M40"/>
    <mergeCell ref="N39:N40"/>
    <mergeCell ref="M41:M42"/>
    <mergeCell ref="N41:N42"/>
    <mergeCell ref="M47:M48"/>
    <mergeCell ref="M51:N55"/>
    <mergeCell ref="M19:N20"/>
    <mergeCell ref="S19:T20"/>
    <mergeCell ref="U19:U20"/>
    <mergeCell ref="M21:N27"/>
    <mergeCell ref="Q23:U28"/>
    <mergeCell ref="M30:U35"/>
  </mergeCells>
  <dataValidations count="3">
    <dataValidation type="list" allowBlank="1" showInputMessage="1" showErrorMessage="1" sqref="U19:U20" xr:uid="{6E57AA43-C851-4982-A681-C0DDED9D4BEC}">
      <formula1>OFFSET($E$21,0,0,COUNTA($E:$E))</formula1>
    </dataValidation>
    <dataValidation type="list" allowBlank="1" showInputMessage="1" showErrorMessage="1" sqref="M19:N20" xr:uid="{D2F2B79B-14D1-4694-B8B7-68AB0CF99377}">
      <formula1>OFFSET($C$21,0,0,COUNTA($C:$C)-1)</formula1>
    </dataValidation>
    <dataValidation type="list" allowBlank="1" showInputMessage="1" showErrorMessage="1" sqref="S19:T20" xr:uid="{65B906BD-0064-41C4-8559-D61FD1371502}">
      <formula1>OFFSET($D$21,0,0,COUNTA($D:$D)-1)</formula1>
    </dataValidation>
  </dataValidations>
  <pageMargins left="0" right="0" top="0" bottom="1" header="0.8" footer="0.8"/>
  <pageSetup scale="76" orientation="portrait" r:id="rId1"/>
  <ignoredErrors>
    <ignoredError sqref="S4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Guidoio</vt:lpstr>
      <vt:lpstr>JAMPY</vt:lpstr>
      <vt:lpstr>Guidoio!EntityName</vt:lpstr>
      <vt:lpstr>JAMPY!EntityName</vt:lpstr>
      <vt:lpstr>Guidoio!PeriodEndDate</vt:lpstr>
      <vt:lpstr>JAMPY!PeriodEndDate</vt:lpstr>
      <vt:lpstr>Guidoio!Print_Area</vt:lpstr>
      <vt:lpstr>JAMPY!Print_Area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Bernier</dc:creator>
  <cp:lastModifiedBy>Audrey Bernier</cp:lastModifiedBy>
  <dcterms:created xsi:type="dcterms:W3CDTF">2025-10-28T13:15:34Z</dcterms:created>
  <dcterms:modified xsi:type="dcterms:W3CDTF">2025-10-28T13:22:21Z</dcterms:modified>
</cp:coreProperties>
</file>