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rvey1/repos/gunns/aspects/electrical/SolarArray/"/>
    </mc:Choice>
  </mc:AlternateContent>
  <xr:revisionPtr revIDLastSave="0" documentId="13_ncr:1_{7F8F7BA9-7D88-C148-979D-029B7925F501}" xr6:coauthVersionLast="47" xr6:coauthVersionMax="47" xr10:uidLastSave="{00000000-0000-0000-0000-000000000000}"/>
  <bookViews>
    <workbookView xWindow="0" yWindow="1220" windowWidth="34480" windowHeight="20740" xr2:uid="{799CC822-F0E2-A74F-8338-8871D2686EE5}"/>
  </bookViews>
  <sheets>
    <sheet name="New Cell Model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0" l="1"/>
  <c r="K7" i="10"/>
  <c r="K8" i="10" s="1"/>
  <c r="BF116" i="10"/>
  <c r="BF117" i="10" s="1"/>
  <c r="BF118" i="10" s="1"/>
  <c r="BF119" i="10" s="1"/>
  <c r="BF120" i="10" s="1"/>
  <c r="BF121" i="10" s="1"/>
  <c r="BF122" i="10" s="1"/>
  <c r="AD116" i="10"/>
  <c r="AD117" i="10" s="1"/>
  <c r="AD118" i="10" s="1"/>
  <c r="AD119" i="10" s="1"/>
  <c r="AD120" i="10" s="1"/>
  <c r="AD121" i="10" s="1"/>
  <c r="AD122" i="10" s="1"/>
  <c r="I116" i="10"/>
  <c r="I117" i="10" s="1"/>
  <c r="I118" i="10" s="1"/>
  <c r="I119" i="10" s="1"/>
  <c r="I120" i="10" s="1"/>
  <c r="I121" i="10" s="1"/>
  <c r="I122" i="10" s="1"/>
  <c r="BF115" i="10"/>
  <c r="AY115" i="10"/>
  <c r="AY116" i="10" s="1"/>
  <c r="AY117" i="10" s="1"/>
  <c r="AY118" i="10" s="1"/>
  <c r="AY119" i="10" s="1"/>
  <c r="AY120" i="10" s="1"/>
  <c r="AY121" i="10" s="1"/>
  <c r="AY122" i="10" s="1"/>
  <c r="AD115" i="10"/>
  <c r="W115" i="10"/>
  <c r="W116" i="10" s="1"/>
  <c r="W117" i="10" s="1"/>
  <c r="W118" i="10" s="1"/>
  <c r="W119" i="10" s="1"/>
  <c r="W120" i="10" s="1"/>
  <c r="W121" i="10" s="1"/>
  <c r="W122" i="10" s="1"/>
  <c r="I115" i="10"/>
  <c r="BM114" i="10"/>
  <c r="BM115" i="10" s="1"/>
  <c r="BM116" i="10" s="1"/>
  <c r="BM117" i="10" s="1"/>
  <c r="BM118" i="10" s="1"/>
  <c r="BM119" i="10" s="1"/>
  <c r="BM120" i="10" s="1"/>
  <c r="BM121" i="10" s="1"/>
  <c r="BM122" i="10" s="1"/>
  <c r="BF114" i="10"/>
  <c r="AY114" i="10"/>
  <c r="AR114" i="10"/>
  <c r="AR115" i="10" s="1"/>
  <c r="AR116" i="10" s="1"/>
  <c r="AR117" i="10" s="1"/>
  <c r="AR118" i="10" s="1"/>
  <c r="AR119" i="10" s="1"/>
  <c r="AR120" i="10" s="1"/>
  <c r="AR121" i="10" s="1"/>
  <c r="AR122" i="10" s="1"/>
  <c r="AK114" i="10"/>
  <c r="AK115" i="10" s="1"/>
  <c r="AK116" i="10" s="1"/>
  <c r="AK117" i="10" s="1"/>
  <c r="AK118" i="10" s="1"/>
  <c r="AK119" i="10" s="1"/>
  <c r="AK120" i="10" s="1"/>
  <c r="AK121" i="10" s="1"/>
  <c r="AK122" i="10" s="1"/>
  <c r="AD114" i="10"/>
  <c r="W114" i="10"/>
  <c r="P114" i="10"/>
  <c r="P115" i="10" s="1"/>
  <c r="P116" i="10" s="1"/>
  <c r="P117" i="10" s="1"/>
  <c r="P118" i="10" s="1"/>
  <c r="P119" i="10" s="1"/>
  <c r="P120" i="10" s="1"/>
  <c r="P121" i="10" s="1"/>
  <c r="P122" i="10" s="1"/>
  <c r="I114" i="10"/>
  <c r="B96" i="10"/>
  <c r="B100" i="10"/>
  <c r="BM94" i="10"/>
  <c r="BM95" i="10" s="1"/>
  <c r="BM96" i="10" s="1"/>
  <c r="BM97" i="10" s="1"/>
  <c r="BM98" i="10" s="1"/>
  <c r="BM99" i="10" s="1"/>
  <c r="BM100" i="10" s="1"/>
  <c r="BM101" i="10" s="1"/>
  <c r="BM102" i="10" s="1"/>
  <c r="BF95" i="10"/>
  <c r="BF96" i="10" s="1"/>
  <c r="BF97" i="10" s="1"/>
  <c r="BF98" i="10" s="1"/>
  <c r="BF99" i="10" s="1"/>
  <c r="BF100" i="10" s="1"/>
  <c r="BF101" i="10" s="1"/>
  <c r="BF102" i="10" s="1"/>
  <c r="BF94" i="10"/>
  <c r="AY94" i="10"/>
  <c r="AY95" i="10" s="1"/>
  <c r="AY96" i="10" s="1"/>
  <c r="AY97" i="10" s="1"/>
  <c r="AY98" i="10" s="1"/>
  <c r="AY99" i="10" s="1"/>
  <c r="AY100" i="10" s="1"/>
  <c r="AY101" i="10" s="1"/>
  <c r="AY102" i="10" s="1"/>
  <c r="AR94" i="10"/>
  <c r="AR95" i="10" s="1"/>
  <c r="AR96" i="10" s="1"/>
  <c r="AR97" i="10" s="1"/>
  <c r="AR98" i="10" s="1"/>
  <c r="AR99" i="10" s="1"/>
  <c r="AR100" i="10" s="1"/>
  <c r="AR101" i="10" s="1"/>
  <c r="AR102" i="10" s="1"/>
  <c r="AK95" i="10"/>
  <c r="AK96" i="10" s="1"/>
  <c r="AK97" i="10" s="1"/>
  <c r="AK98" i="10" s="1"/>
  <c r="AK99" i="10" s="1"/>
  <c r="AK100" i="10" s="1"/>
  <c r="AK101" i="10" s="1"/>
  <c r="AK102" i="10" s="1"/>
  <c r="AK94" i="10"/>
  <c r="AD95" i="10"/>
  <c r="AD96" i="10" s="1"/>
  <c r="AD97" i="10" s="1"/>
  <c r="AD98" i="10" s="1"/>
  <c r="AD99" i="10" s="1"/>
  <c r="AD100" i="10" s="1"/>
  <c r="AD101" i="10" s="1"/>
  <c r="AD102" i="10" s="1"/>
  <c r="AD94" i="10"/>
  <c r="W95" i="10"/>
  <c r="W96" i="10" s="1"/>
  <c r="W97" i="10" s="1"/>
  <c r="W98" i="10" s="1"/>
  <c r="W99" i="10" s="1"/>
  <c r="W100" i="10" s="1"/>
  <c r="W101" i="10" s="1"/>
  <c r="W102" i="10" s="1"/>
  <c r="W94" i="10"/>
  <c r="P95" i="10"/>
  <c r="P96" i="10" s="1"/>
  <c r="P97" i="10" s="1"/>
  <c r="P98" i="10" s="1"/>
  <c r="P99" i="10" s="1"/>
  <c r="P100" i="10" s="1"/>
  <c r="P101" i="10" s="1"/>
  <c r="P102" i="10" s="1"/>
  <c r="P94" i="10"/>
  <c r="I95" i="10"/>
  <c r="I96" i="10"/>
  <c r="I97" i="10" s="1"/>
  <c r="I98" i="10" s="1"/>
  <c r="I99" i="10" s="1"/>
  <c r="I100" i="10" s="1"/>
  <c r="I101" i="10" s="1"/>
  <c r="I102" i="10" s="1"/>
  <c r="I94" i="10"/>
  <c r="J72" i="10"/>
  <c r="J73" i="10" s="1"/>
  <c r="J74" i="10" s="1"/>
  <c r="J75" i="10" s="1"/>
  <c r="J76" i="10" s="1"/>
  <c r="J77" i="10" s="1"/>
  <c r="J78" i="10" s="1"/>
  <c r="J79" i="10" s="1"/>
  <c r="J80" i="10" s="1"/>
  <c r="O67" i="10"/>
  <c r="N66" i="10"/>
  <c r="D57" i="10"/>
  <c r="D59" i="10" s="1"/>
  <c r="D48" i="10"/>
  <c r="D46" i="10"/>
  <c r="D56" i="10"/>
  <c r="D45" i="10"/>
  <c r="D49" i="10" s="1"/>
  <c r="J30" i="10"/>
  <c r="J31" i="10" s="1"/>
  <c r="J32" i="10" s="1"/>
  <c r="J33" i="10" s="1"/>
  <c r="J34" i="10" s="1"/>
  <c r="J35" i="10" s="1"/>
  <c r="J36" i="10" s="1"/>
  <c r="J37" i="10" s="1"/>
  <c r="J38" i="10" s="1"/>
  <c r="O25" i="10"/>
  <c r="N24" i="10"/>
  <c r="D25" i="10"/>
  <c r="D22" i="10"/>
  <c r="K9" i="10" l="1"/>
  <c r="B99" i="10"/>
  <c r="D27" i="10"/>
  <c r="B93" i="10"/>
  <c r="B94" i="10"/>
  <c r="B95" i="10"/>
  <c r="B97" i="10"/>
  <c r="B98" i="10" s="1"/>
  <c r="D58" i="10"/>
  <c r="D60" i="10" s="1"/>
  <c r="D47" i="10"/>
  <c r="D61" i="10" s="1"/>
  <c r="D24" i="10"/>
  <c r="D26" i="10"/>
  <c r="D28" i="10" s="1"/>
  <c r="K24" i="10" s="1"/>
  <c r="K26" i="10" s="1"/>
  <c r="K25" i="10" l="1"/>
  <c r="K27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D29" i="10" s="1"/>
  <c r="D30" i="10" s="1"/>
  <c r="N26" i="10"/>
  <c r="B91" i="10"/>
  <c r="D62" i="10"/>
  <c r="D63" i="10"/>
  <c r="L30" i="10" l="1"/>
  <c r="B87" i="10"/>
  <c r="D68" i="10"/>
  <c r="D66" i="10"/>
  <c r="D65" i="10"/>
  <c r="D67" i="10"/>
  <c r="D32" i="10"/>
  <c r="D51" i="10" s="1"/>
  <c r="D50" i="10"/>
  <c r="L31" i="10"/>
  <c r="L32" i="10"/>
  <c r="B84" i="10" l="1"/>
  <c r="B86" i="10"/>
  <c r="B85" i="10"/>
  <c r="B90" i="10"/>
  <c r="B88" i="10"/>
  <c r="B89" i="10" s="1"/>
  <c r="D69" i="10"/>
  <c r="K66" i="10" s="1"/>
  <c r="D34" i="10"/>
  <c r="D36" i="10"/>
  <c r="D53" i="10" s="1"/>
  <c r="L33" i="10"/>
  <c r="D52" i="10" l="1"/>
  <c r="C93" i="10"/>
  <c r="Q107" i="10" s="1"/>
  <c r="C94" i="10"/>
  <c r="X107" i="10" s="1"/>
  <c r="C95" i="10"/>
  <c r="AE107" i="10" s="1"/>
  <c r="C96" i="10"/>
  <c r="AL107" i="10" s="1"/>
  <c r="C98" i="10"/>
  <c r="AZ107" i="10" s="1"/>
  <c r="C99" i="10"/>
  <c r="BG107" i="10" s="1"/>
  <c r="C97" i="10"/>
  <c r="AS107" i="10" s="1"/>
  <c r="C100" i="10"/>
  <c r="BN107" i="10" s="1"/>
  <c r="C92" i="10"/>
  <c r="J107" i="10" s="1"/>
  <c r="L34" i="10"/>
  <c r="BO110" i="10" l="1"/>
  <c r="BO109" i="10"/>
  <c r="BP108" i="10"/>
  <c r="BQ108" i="10" s="1"/>
  <c r="BB108" i="10"/>
  <c r="BC108" i="10" s="1"/>
  <c r="BA110" i="10"/>
  <c r="BA109" i="10"/>
  <c r="AN108" i="10"/>
  <c r="AO108" i="10" s="1"/>
  <c r="AM110" i="10"/>
  <c r="AM109" i="10"/>
  <c r="L108" i="10"/>
  <c r="M108" i="10" s="1"/>
  <c r="K110" i="10"/>
  <c r="K109" i="10"/>
  <c r="AG108" i="10"/>
  <c r="AH108" i="10" s="1"/>
  <c r="AF110" i="10"/>
  <c r="AF109" i="10"/>
  <c r="R110" i="10"/>
  <c r="S108" i="10"/>
  <c r="T108" i="10" s="1"/>
  <c r="R109" i="10"/>
  <c r="AU108" i="10"/>
  <c r="AV108" i="10" s="1"/>
  <c r="AT110" i="10"/>
  <c r="AT109" i="10"/>
  <c r="BH109" i="10"/>
  <c r="BH110" i="10"/>
  <c r="BI108" i="10"/>
  <c r="BJ108" i="10" s="1"/>
  <c r="L35" i="10"/>
  <c r="BN111" i="10" l="1"/>
  <c r="BN113" i="10" s="1"/>
  <c r="BN114" i="10" s="1"/>
  <c r="BO114" i="10" s="1"/>
  <c r="BG111" i="10"/>
  <c r="BG113" i="10" s="1"/>
  <c r="BG114" i="10" s="1"/>
  <c r="BG115" i="10" s="1"/>
  <c r="AL111" i="10"/>
  <c r="AL113" i="10" s="1"/>
  <c r="AL114" i="10" s="1"/>
  <c r="AM114" i="10" s="1"/>
  <c r="AE111" i="10"/>
  <c r="AE113" i="10" s="1"/>
  <c r="AE114" i="10" s="1"/>
  <c r="AE115" i="10" s="1"/>
  <c r="AZ111" i="10"/>
  <c r="AZ113" i="10" s="1"/>
  <c r="AZ114" i="10" s="1"/>
  <c r="BA114" i="10" s="1"/>
  <c r="J111" i="10"/>
  <c r="J113" i="10" s="1"/>
  <c r="J114" i="10" s="1"/>
  <c r="J115" i="10" s="1"/>
  <c r="AS111" i="10"/>
  <c r="AS113" i="10" s="1"/>
  <c r="AS114" i="10" s="1"/>
  <c r="AS115" i="10" s="1"/>
  <c r="Q111" i="10"/>
  <c r="Q113" i="10" s="1"/>
  <c r="Q114" i="10" s="1"/>
  <c r="Q115" i="10" s="1"/>
  <c r="L36" i="10"/>
  <c r="BN115" i="10" l="1"/>
  <c r="BN116" i="10" s="1"/>
  <c r="AF114" i="10"/>
  <c r="BH114" i="10"/>
  <c r="AL115" i="10"/>
  <c r="AL116" i="10" s="1"/>
  <c r="AZ115" i="10"/>
  <c r="BA115" i="10" s="1"/>
  <c r="R114" i="10"/>
  <c r="AT114" i="10"/>
  <c r="K114" i="10"/>
  <c r="AT115" i="10"/>
  <c r="AS116" i="10"/>
  <c r="AE116" i="10"/>
  <c r="AF115" i="10"/>
  <c r="BG116" i="10"/>
  <c r="BH115" i="10"/>
  <c r="J116" i="10"/>
  <c r="K115" i="10"/>
  <c r="Q116" i="10"/>
  <c r="R115" i="10"/>
  <c r="L38" i="10"/>
  <c r="L37" i="10"/>
  <c r="BO115" i="10" l="1"/>
  <c r="AZ116" i="10"/>
  <c r="AZ117" i="10" s="1"/>
  <c r="AM115" i="10"/>
  <c r="AM116" i="10"/>
  <c r="AL117" i="10"/>
  <c r="AT116" i="10"/>
  <c r="AS117" i="10"/>
  <c r="BN117" i="10"/>
  <c r="BO116" i="10"/>
  <c r="AE117" i="10"/>
  <c r="AF116" i="10"/>
  <c r="J117" i="10"/>
  <c r="K116" i="10"/>
  <c r="BG117" i="10"/>
  <c r="BH116" i="10"/>
  <c r="R116" i="10"/>
  <c r="Q117" i="10"/>
  <c r="BA116" i="10" l="1"/>
  <c r="AE118" i="10"/>
  <c r="AF117" i="10"/>
  <c r="BN118" i="10"/>
  <c r="BO117" i="10"/>
  <c r="Q118" i="10"/>
  <c r="R117" i="10"/>
  <c r="AL118" i="10"/>
  <c r="AM117" i="10"/>
  <c r="AT117" i="10"/>
  <c r="AS118" i="10"/>
  <c r="BG118" i="10"/>
  <c r="BH117" i="10"/>
  <c r="BA117" i="10"/>
  <c r="AZ118" i="10"/>
  <c r="J118" i="10"/>
  <c r="K117" i="10"/>
  <c r="AT118" i="10" l="1"/>
  <c r="AS119" i="10"/>
  <c r="K118" i="10"/>
  <c r="J119" i="10"/>
  <c r="Q119" i="10"/>
  <c r="R118" i="10"/>
  <c r="AL119" i="10"/>
  <c r="AM118" i="10"/>
  <c r="BA118" i="10"/>
  <c r="AZ119" i="10"/>
  <c r="BN119" i="10"/>
  <c r="BO118" i="10"/>
  <c r="BH118" i="10"/>
  <c r="BG119" i="10"/>
  <c r="AF118" i="10"/>
  <c r="AE119" i="10"/>
  <c r="AS120" i="10" l="1"/>
  <c r="AT119" i="10"/>
  <c r="BO119" i="10"/>
  <c r="BN120" i="10"/>
  <c r="AZ120" i="10"/>
  <c r="BA119" i="10"/>
  <c r="AM119" i="10"/>
  <c r="AL120" i="10"/>
  <c r="AF119" i="10"/>
  <c r="AE120" i="10"/>
  <c r="R119" i="10"/>
  <c r="Q120" i="10"/>
  <c r="BG120" i="10"/>
  <c r="BH119" i="10"/>
  <c r="K119" i="10"/>
  <c r="J120" i="10"/>
  <c r="AE121" i="10" l="1"/>
  <c r="AF120" i="10"/>
  <c r="AL121" i="10"/>
  <c r="AM120" i="10"/>
  <c r="J121" i="10"/>
  <c r="K120" i="10"/>
  <c r="AZ121" i="10"/>
  <c r="BA120" i="10"/>
  <c r="BO120" i="10"/>
  <c r="BN121" i="10"/>
  <c r="BG121" i="10"/>
  <c r="BH120" i="10"/>
  <c r="R120" i="10"/>
  <c r="Q121" i="10"/>
  <c r="AT120" i="10"/>
  <c r="AS121" i="10"/>
  <c r="BN122" i="10" l="1"/>
  <c r="BO121" i="10"/>
  <c r="AS122" i="10"/>
  <c r="AT121" i="10"/>
  <c r="J122" i="10"/>
  <c r="K121" i="10"/>
  <c r="BG122" i="10"/>
  <c r="BH121" i="10"/>
  <c r="AZ122" i="10"/>
  <c r="BA121" i="10"/>
  <c r="Q122" i="10"/>
  <c r="R121" i="10"/>
  <c r="AM121" i="10"/>
  <c r="AL122" i="10"/>
  <c r="AE122" i="10"/>
  <c r="AF121" i="10"/>
  <c r="R122" i="10" l="1"/>
  <c r="Q123" i="10"/>
  <c r="D93" i="10" s="1"/>
  <c r="G93" i="10" s="1"/>
  <c r="BA122" i="10"/>
  <c r="AZ123" i="10"/>
  <c r="D98" i="10" s="1"/>
  <c r="G98" i="10" s="1"/>
  <c r="BG123" i="10"/>
  <c r="D99" i="10" s="1"/>
  <c r="G99" i="10" s="1"/>
  <c r="BH122" i="10"/>
  <c r="AF122" i="10"/>
  <c r="AE123" i="10"/>
  <c r="D95" i="10" s="1"/>
  <c r="G95" i="10" s="1"/>
  <c r="J123" i="10"/>
  <c r="D92" i="10" s="1"/>
  <c r="G92" i="10" s="1"/>
  <c r="K122" i="10"/>
  <c r="AM122" i="10"/>
  <c r="AL123" i="10"/>
  <c r="D96" i="10" s="1"/>
  <c r="G96" i="10" s="1"/>
  <c r="AT122" i="10"/>
  <c r="AS123" i="10"/>
  <c r="D97" i="10" s="1"/>
  <c r="G97" i="10" s="1"/>
  <c r="BN123" i="10"/>
  <c r="D100" i="10" s="1"/>
  <c r="G100" i="10" s="1"/>
  <c r="BO122" i="10"/>
  <c r="K67" i="10" l="1"/>
  <c r="N68" i="10" l="1"/>
  <c r="K68" i="10"/>
  <c r="K69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D70" i="10" s="1"/>
  <c r="D71" i="10" s="1"/>
  <c r="D73" i="10" l="1"/>
  <c r="D77" i="10" s="1"/>
  <c r="L72" i="10"/>
  <c r="L73" i="10"/>
  <c r="D75" i="10" l="1"/>
  <c r="L74" i="10"/>
  <c r="C88" i="10" l="1"/>
  <c r="AS87" i="10" s="1"/>
  <c r="AU88" i="10" s="1"/>
  <c r="AV88" i="10" s="1"/>
  <c r="C91" i="10"/>
  <c r="BN87" i="10" s="1"/>
  <c r="BO90" i="10" s="1"/>
  <c r="C90" i="10"/>
  <c r="BG87" i="10" s="1"/>
  <c r="BH89" i="10" s="1"/>
  <c r="C84" i="10"/>
  <c r="Q87" i="10" s="1"/>
  <c r="R90" i="10" s="1"/>
  <c r="C85" i="10"/>
  <c r="X87" i="10" s="1"/>
  <c r="Y90" i="10" s="1"/>
  <c r="C87" i="10"/>
  <c r="AL87" i="10" s="1"/>
  <c r="AN88" i="10" s="1"/>
  <c r="AO88" i="10" s="1"/>
  <c r="C89" i="10"/>
  <c r="AZ87" i="10" s="1"/>
  <c r="BB88" i="10" s="1"/>
  <c r="BC88" i="10" s="1"/>
  <c r="C86" i="10"/>
  <c r="AE87" i="10" s="1"/>
  <c r="AF90" i="10" s="1"/>
  <c r="C83" i="10"/>
  <c r="J87" i="10" s="1"/>
  <c r="K89" i="10" s="1"/>
  <c r="L75" i="10"/>
  <c r="AT89" i="10" l="1"/>
  <c r="AT90" i="10"/>
  <c r="AS91" i="10" s="1"/>
  <c r="AS93" i="10" s="1"/>
  <c r="AS94" i="10" s="1"/>
  <c r="AS95" i="10" s="1"/>
  <c r="AS96" i="10" s="1"/>
  <c r="BI88" i="10"/>
  <c r="BJ88" i="10" s="1"/>
  <c r="BH90" i="10"/>
  <c r="BO89" i="10"/>
  <c r="BN91" i="10" s="1"/>
  <c r="BN93" i="10" s="1"/>
  <c r="BN94" i="10" s="1"/>
  <c r="BN95" i="10" s="1"/>
  <c r="BN96" i="10" s="1"/>
  <c r="BP88" i="10"/>
  <c r="BQ88" i="10" s="1"/>
  <c r="S88" i="10"/>
  <c r="T88" i="10" s="1"/>
  <c r="R89" i="10"/>
  <c r="BA90" i="10"/>
  <c r="BA89" i="10"/>
  <c r="AM89" i="10"/>
  <c r="K90" i="10"/>
  <c r="L88" i="10"/>
  <c r="M88" i="10" s="1"/>
  <c r="J91" i="10" s="1"/>
  <c r="J93" i="10" s="1"/>
  <c r="J94" i="10" s="1"/>
  <c r="K94" i="10" s="1"/>
  <c r="Z88" i="10"/>
  <c r="AA88" i="10" s="1"/>
  <c r="AG88" i="10"/>
  <c r="AH88" i="10" s="1"/>
  <c r="Y89" i="10"/>
  <c r="AF89" i="10"/>
  <c r="AM90" i="10"/>
  <c r="L76" i="10"/>
  <c r="Q91" i="10" l="1"/>
  <c r="Q93" i="10" s="1"/>
  <c r="Q94" i="10" s="1"/>
  <c r="Q95" i="10" s="1"/>
  <c r="Q96" i="10" s="1"/>
  <c r="Q97" i="10" s="1"/>
  <c r="BG91" i="10"/>
  <c r="BG93" i="10" s="1"/>
  <c r="BG94" i="10" s="1"/>
  <c r="BG95" i="10" s="1"/>
  <c r="BG96" i="10" s="1"/>
  <c r="BH96" i="10" s="1"/>
  <c r="X91" i="10"/>
  <c r="X93" i="10" s="1"/>
  <c r="X94" i="10" s="1"/>
  <c r="Y94" i="10" s="1"/>
  <c r="AZ91" i="10"/>
  <c r="AZ93" i="10" s="1"/>
  <c r="AZ94" i="10" s="1"/>
  <c r="BA94" i="10" s="1"/>
  <c r="AT94" i="10"/>
  <c r="AT95" i="10"/>
  <c r="AL91" i="10"/>
  <c r="AL93" i="10" s="1"/>
  <c r="AL94" i="10" s="1"/>
  <c r="AL95" i="10" s="1"/>
  <c r="AL96" i="10" s="1"/>
  <c r="AL97" i="10" s="1"/>
  <c r="AE91" i="10"/>
  <c r="AE93" i="10" s="1"/>
  <c r="AE94" i="10" s="1"/>
  <c r="AF94" i="10" s="1"/>
  <c r="J95" i="10"/>
  <c r="J96" i="10" s="1"/>
  <c r="J97" i="10" s="1"/>
  <c r="BO95" i="10"/>
  <c r="BO94" i="10"/>
  <c r="AT96" i="10"/>
  <c r="AS97" i="10"/>
  <c r="BN97" i="10"/>
  <c r="BO96" i="10"/>
  <c r="L77" i="10"/>
  <c r="R94" i="10" l="1"/>
  <c r="R95" i="10"/>
  <c r="R96" i="10"/>
  <c r="BG97" i="10"/>
  <c r="BG98" i="10" s="1"/>
  <c r="X95" i="10"/>
  <c r="X96" i="10" s="1"/>
  <c r="X97" i="10" s="1"/>
  <c r="Y97" i="10" s="1"/>
  <c r="BH94" i="10"/>
  <c r="BH95" i="10"/>
  <c r="AZ95" i="10"/>
  <c r="AZ96" i="10" s="1"/>
  <c r="BA96" i="10" s="1"/>
  <c r="K95" i="10"/>
  <c r="AM96" i="10"/>
  <c r="AE95" i="10"/>
  <c r="AE96" i="10" s="1"/>
  <c r="AM94" i="10"/>
  <c r="AM95" i="10"/>
  <c r="K96" i="10"/>
  <c r="AM97" i="10"/>
  <c r="AL98" i="10"/>
  <c r="BN98" i="10"/>
  <c r="BO97" i="10"/>
  <c r="Q98" i="10"/>
  <c r="R97" i="10"/>
  <c r="AS98" i="10"/>
  <c r="AT97" i="10"/>
  <c r="J98" i="10"/>
  <c r="K97" i="10"/>
  <c r="L78" i="10"/>
  <c r="Y95" i="10" l="1"/>
  <c r="BH97" i="10"/>
  <c r="X98" i="10"/>
  <c r="Y98" i="10" s="1"/>
  <c r="Y96" i="10"/>
  <c r="AZ97" i="10"/>
  <c r="BA97" i="10" s="1"/>
  <c r="BA95" i="10"/>
  <c r="AF95" i="10"/>
  <c r="AE97" i="10"/>
  <c r="AF96" i="10"/>
  <c r="BN99" i="10"/>
  <c r="BO98" i="10"/>
  <c r="AT98" i="10"/>
  <c r="AS99" i="10"/>
  <c r="AL99" i="10"/>
  <c r="AM98" i="10"/>
  <c r="J99" i="10"/>
  <c r="K98" i="10"/>
  <c r="Q99" i="10"/>
  <c r="R98" i="10"/>
  <c r="BG99" i="10"/>
  <c r="BH98" i="10"/>
  <c r="L79" i="10"/>
  <c r="L80" i="10"/>
  <c r="X99" i="10" l="1"/>
  <c r="Y99" i="10" s="1"/>
  <c r="AZ98" i="10"/>
  <c r="AZ99" i="10" s="1"/>
  <c r="BA99" i="10" s="1"/>
  <c r="AE98" i="10"/>
  <c r="AF97" i="10"/>
  <c r="J100" i="10"/>
  <c r="K99" i="10"/>
  <c r="AM99" i="10"/>
  <c r="AL100" i="10"/>
  <c r="AT99" i="10"/>
  <c r="AS100" i="10"/>
  <c r="BH99" i="10"/>
  <c r="BG100" i="10"/>
  <c r="R99" i="10"/>
  <c r="Q100" i="10"/>
  <c r="BO99" i="10"/>
  <c r="BN100" i="10"/>
  <c r="X100" i="10" l="1"/>
  <c r="Y100" i="10" s="1"/>
  <c r="BA98" i="10"/>
  <c r="AZ100" i="10"/>
  <c r="AZ101" i="10" s="1"/>
  <c r="AF98" i="10"/>
  <c r="AE99" i="10"/>
  <c r="BG101" i="10"/>
  <c r="BH100" i="10"/>
  <c r="AL101" i="10"/>
  <c r="AM100" i="10"/>
  <c r="BN101" i="10"/>
  <c r="BO100" i="10"/>
  <c r="AT100" i="10"/>
  <c r="AS101" i="10"/>
  <c r="Q101" i="10"/>
  <c r="R100" i="10"/>
  <c r="J101" i="10"/>
  <c r="K100" i="10"/>
  <c r="X101" i="10" l="1"/>
  <c r="X102" i="10" s="1"/>
  <c r="BA100" i="10"/>
  <c r="AF99" i="10"/>
  <c r="AE100" i="10"/>
  <c r="AS102" i="10"/>
  <c r="AT101" i="10"/>
  <c r="BN102" i="10"/>
  <c r="BO101" i="10"/>
  <c r="Q102" i="10"/>
  <c r="R101" i="10"/>
  <c r="AL102" i="10"/>
  <c r="AM101" i="10"/>
  <c r="J102" i="10"/>
  <c r="K101" i="10"/>
  <c r="AZ102" i="10"/>
  <c r="BA101" i="10"/>
  <c r="BG102" i="10"/>
  <c r="BH101" i="10"/>
  <c r="Y101" i="10" l="1"/>
  <c r="AE101" i="10"/>
  <c r="AF100" i="10"/>
  <c r="X103" i="10"/>
  <c r="D85" i="10" s="1"/>
  <c r="E85" i="10" s="1"/>
  <c r="F85" i="10" s="1"/>
  <c r="Y102" i="10"/>
  <c r="BG103" i="10"/>
  <c r="D90" i="10" s="1"/>
  <c r="E90" i="10" s="1"/>
  <c r="F90" i="10" s="1"/>
  <c r="BH102" i="10"/>
  <c r="AL103" i="10"/>
  <c r="D87" i="10" s="1"/>
  <c r="E87" i="10" s="1"/>
  <c r="F87" i="10" s="1"/>
  <c r="AM102" i="10"/>
  <c r="AZ103" i="10"/>
  <c r="D89" i="10" s="1"/>
  <c r="E89" i="10" s="1"/>
  <c r="F89" i="10" s="1"/>
  <c r="BA102" i="10"/>
  <c r="Q103" i="10"/>
  <c r="D84" i="10" s="1"/>
  <c r="E84" i="10" s="1"/>
  <c r="F84" i="10" s="1"/>
  <c r="R102" i="10"/>
  <c r="K102" i="10"/>
  <c r="J103" i="10"/>
  <c r="D83" i="10" s="1"/>
  <c r="E83" i="10" s="1"/>
  <c r="F83" i="10" s="1"/>
  <c r="BN103" i="10"/>
  <c r="D91" i="10" s="1"/>
  <c r="E91" i="10" s="1"/>
  <c r="F91" i="10" s="1"/>
  <c r="BO102" i="10"/>
  <c r="AS103" i="10"/>
  <c r="D88" i="10" s="1"/>
  <c r="E88" i="10" s="1"/>
  <c r="F88" i="10" s="1"/>
  <c r="AT102" i="10"/>
  <c r="AE102" i="10" l="1"/>
  <c r="AF101" i="10"/>
  <c r="Y109" i="10"/>
  <c r="AE103" i="10" l="1"/>
  <c r="D86" i="10" s="1"/>
  <c r="E86" i="10" s="1"/>
  <c r="F86" i="10" s="1"/>
  <c r="AF102" i="10"/>
  <c r="Y110" i="10"/>
  <c r="Z108" i="10"/>
  <c r="AA108" i="10" s="1"/>
  <c r="X111" i="10" l="1"/>
  <c r="X113" i="10" s="1"/>
  <c r="X114" i="10" s="1"/>
  <c r="Y114" i="10" s="1"/>
  <c r="X115" i="10" l="1"/>
  <c r="Y115" i="10" s="1"/>
  <c r="X116" i="10" l="1"/>
  <c r="Y116" i="10" s="1"/>
  <c r="X117" i="10" l="1"/>
  <c r="Y117" i="10" s="1"/>
  <c r="X118" i="10" l="1"/>
  <c r="X119" i="10" s="1"/>
  <c r="Y118" i="10" l="1"/>
  <c r="Y119" i="10"/>
  <c r="X120" i="10"/>
  <c r="X121" i="10" l="1"/>
  <c r="Y120" i="10"/>
  <c r="X122" i="10" l="1"/>
  <c r="Y121" i="10"/>
  <c r="X123" i="10" l="1"/>
  <c r="D94" i="10" s="1"/>
  <c r="G94" i="10" s="1"/>
  <c r="Y122" i="10"/>
</calcChain>
</file>

<file path=xl/sharedStrings.xml><?xml version="1.0" encoding="utf-8"?>
<sst xmlns="http://schemas.openxmlformats.org/spreadsheetml/2006/main" count="400" uniqueCount="121">
  <si>
    <t>V</t>
  </si>
  <si>
    <t>(0-1)</t>
  </si>
  <si>
    <t>ohm</t>
  </si>
  <si>
    <t>W</t>
  </si>
  <si>
    <t>amp</t>
  </si>
  <si>
    <t>A</t>
  </si>
  <si>
    <t>Voc</t>
  </si>
  <si>
    <t>Rs</t>
  </si>
  <si>
    <t>Rsh</t>
  </si>
  <si>
    <t>Isc</t>
  </si>
  <si>
    <t>W/m2</t>
  </si>
  <si>
    <t>m2</t>
  </si>
  <si>
    <t>K</t>
  </si>
  <si>
    <t>iteration</t>
  </si>
  <si>
    <t>D</t>
  </si>
  <si>
    <t>Vmp</t>
  </si>
  <si>
    <t>Imp</t>
  </si>
  <si>
    <t>I0</t>
  </si>
  <si>
    <t>I</t>
  </si>
  <si>
    <t>IL</t>
  </si>
  <si>
    <t>electron charge</t>
  </si>
  <si>
    <t>boltzmann const</t>
  </si>
  <si>
    <t>T ref</t>
  </si>
  <si>
    <t>thermal voltage Vt = kT/q</t>
  </si>
  <si>
    <t>convergence</t>
  </si>
  <si>
    <t>P</t>
  </si>
  <si>
    <t>z</t>
  </si>
  <si>
    <t>W(z)</t>
  </si>
  <si>
    <t>start value</t>
  </si>
  <si>
    <t>start values:</t>
  </si>
  <si>
    <t>z (-1/e, 0)</t>
  </si>
  <si>
    <t>z (0, e)</t>
  </si>
  <si>
    <t>z (e, inf)</t>
  </si>
  <si>
    <t>e*x:</t>
  </si>
  <si>
    <t>Vt</t>
  </si>
  <si>
    <t>B</t>
  </si>
  <si>
    <t>C</t>
  </si>
  <si>
    <t>z for W-1(z)</t>
  </si>
  <si>
    <t>starting values</t>
  </si>
  <si>
    <t>W-1(z)</t>
  </si>
  <si>
    <t>new discrimitator</t>
  </si>
  <si>
    <t>dT</t>
  </si>
  <si>
    <t>dVoc</t>
  </si>
  <si>
    <t>dIsc</t>
  </si>
  <si>
    <t>S ref (solar flux)</t>
  </si>
  <si>
    <t>Reference: "Lambert W-function simplified expressions for photovoltaic current-voltage modelling", Eqns 2-11</t>
  </si>
  <si>
    <t>Vt ref</t>
  </si>
  <si>
    <t>n (ideality)</t>
  </si>
  <si>
    <t>Given user-provided cell config data:</t>
  </si>
  <si>
    <t>Compute reference Rs from ref. Eqns 7-11</t>
  </si>
  <si>
    <t>Well-known constants:</t>
  </si>
  <si>
    <t>During initialization, model derives the remaining reference equivalent circuit properties Rs, Rsh, I0, IL</t>
  </si>
  <si>
    <t>for range (-0.008, 0)</t>
  </si>
  <si>
    <t>for range (-1/e, -0.008]</t>
  </si>
  <si>
    <t>NOTE can go negative &amp; fail for large n</t>
  </si>
  <si>
    <t>Compute reference Rsh from ref. Eqn 5:</t>
  </si>
  <si>
    <t>Compute reference I0 from ref. Eqn. 3:</t>
  </si>
  <si>
    <t>Compute reference IL from ref. Eqn. 2:</t>
  </si>
  <si>
    <t>dVoc/dT coeff</t>
  </si>
  <si>
    <t>dIsc/dT coeff</t>
  </si>
  <si>
    <t>V/K</t>
  </si>
  <si>
    <t>amp/K</t>
  </si>
  <si>
    <t>During RUN:</t>
  </si>
  <si>
    <t>Model must re-compute equivalent circuit properties based on dynamic lighting (actual solar flux vs. reference) and temperature (vs. reference)</t>
  </si>
  <si>
    <t>Light intensity (actual / reference solar flux) scales Isc &amp; Imp</t>
  </si>
  <si>
    <t>Temperature affects Isc, Voc, Imp, Vmp</t>
  </si>
  <si>
    <t>S flux actual</t>
  </si>
  <si>
    <t>S flux ratio</t>
  </si>
  <si>
    <t>Else if T != T ref, then we have to recompute Rs, Rsh, I0, IL by repeating above Eqns. 2-11</t>
  </si>
  <si>
    <t>T actual</t>
  </si>
  <si>
    <t>for this spreadsheet use Iacono &amp; Boyd to compute W-1</t>
  </si>
  <si>
    <t>Note real model will use a faster approximation for W to within 1% error (see sheet 'Lambert W approx.')</t>
  </si>
  <si>
    <t>lighting doesn't change this</t>
  </si>
  <si>
    <t>If T = T ref, or thermal effects not modeled, then only lighting effect is needed, and Isc, Imp, Rs, Rsh, I0, IL scale directly with light (as shown on sheet 'Light effects')</t>
  </si>
  <si>
    <t>v</t>
  </si>
  <si>
    <t>scales directly with S actual / S ref</t>
  </si>
  <si>
    <t>scales directly with S ref / S actual</t>
  </si>
  <si>
    <t>Vmp = Vmp_ref * Voc / Voc_ref</t>
  </si>
  <si>
    <t>after light scaling applied: Imp = Imp_light * Isc / Isc_light</t>
  </si>
  <si>
    <t>Compute new Rs from ref. Eqns 7-11</t>
  </si>
  <si>
    <t>Compute new Rsh from ref. Eqn 5:</t>
  </si>
  <si>
    <t>Compute new I0 from ref. Eqn. 3:</t>
  </si>
  <si>
    <t>Compute new IL from ref. Eqn. 2:</t>
  </si>
  <si>
    <t>from which we can compute I and P from the new equivalent circuit parameters above.</t>
  </si>
  <si>
    <t>Performance curve including above lighting and T:</t>
  </si>
  <si>
    <t>set 1</t>
  </si>
  <si>
    <t>set 2</t>
  </si>
  <si>
    <t>set 3</t>
  </si>
  <si>
    <t>set 4</t>
  </si>
  <si>
    <t>set 5</t>
  </si>
  <si>
    <t>set 6</t>
  </si>
  <si>
    <t>Compute I sets for performance curve (left)</t>
  </si>
  <si>
    <t>for this spreadsheet use Iacono &amp; Boyd to compute W+0</t>
  </si>
  <si>
    <t>z for W+0(z): W = W(Isat*Rs/n/Vt/(1 + Rs/Rsh) * exp(V/n/Vt * (1 - Rs/(Rs + Rsh)) + (IL+Isat)*Rs/n/Vt/(1 + Rs/Rsh))</t>
  </si>
  <si>
    <t>set Isc</t>
  </si>
  <si>
    <t>set MPP</t>
  </si>
  <si>
    <t>set Voc</t>
  </si>
  <si>
    <t>start value:</t>
  </si>
  <si>
    <t>W+0(z)</t>
  </si>
  <si>
    <t>ref Isc</t>
  </si>
  <si>
    <t>ref 1</t>
  </si>
  <si>
    <t>ref 2</t>
  </si>
  <si>
    <t>ref 3</t>
  </si>
  <si>
    <t>ref MPP</t>
  </si>
  <si>
    <t>ref 4</t>
  </si>
  <si>
    <t>ref 5</t>
  </si>
  <si>
    <t>ref 6</t>
  </si>
  <si>
    <t>ref Voc</t>
  </si>
  <si>
    <t>I reference</t>
  </si>
  <si>
    <t>Compute I sets for reference curve (left)</t>
  </si>
  <si>
    <t>User (downstream shunting regulator, etc.) will load the string at a desired voltage,</t>
  </si>
  <si>
    <t>Future MPP regulators will load at the MPP, which is directly calculated above</t>
  </si>
  <si>
    <t>Fill Factor</t>
  </si>
  <si>
    <t>efficiency</t>
  </si>
  <si>
    <t>incident sun power</t>
  </si>
  <si>
    <t>Pmp</t>
  </si>
  <si>
    <t>area</t>
  </si>
  <si>
    <t>Note we don't specify cell efficiency.  Rather, the model calculates it from the other config data:</t>
  </si>
  <si>
    <t>This shows the performance of the solar cell equivalent circuit model within the version 2 string model in the GunnsElectPvArray link.</t>
  </si>
  <si>
    <t>Enter the config and input data in the green fields.  Output parameters are the gray boxes, and the performance curves are shown in the plot.</t>
  </si>
  <si>
    <t>should be between 1 - 1.5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</si>
</sst>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E+00"/>
    <numFmt numFmtId="167" formatCode="0.0000000000000000E+00"/>
    <numFmt numFmtId="168" formatCode="0.000000"/>
    <numFmt numFmtId="169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2"/>
      <color rgb="FFFF0000"/>
      <name val="Calibri"/>
      <family val="2"/>
      <scheme val="minor"/>
    </font>
    <font>
      <sz val="16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11" fontId="1" fillId="0" borderId="0" xfId="0" applyNumberFormat="1" applyFont="1"/>
    <xf numFmtId="165" fontId="0" fillId="0" borderId="0" xfId="0" applyNumberFormat="1"/>
    <xf numFmtId="167" fontId="0" fillId="0" borderId="0" xfId="0" applyNumberFormat="1"/>
    <xf numFmtId="0" fontId="2" fillId="0" borderId="0" xfId="0" applyFont="1"/>
    <xf numFmtId="0" fontId="0" fillId="3" borderId="0" xfId="0" applyFill="1"/>
    <xf numFmtId="11" fontId="0" fillId="3" borderId="0" xfId="0" applyNumberFormat="1" applyFill="1"/>
    <xf numFmtId="168" fontId="0" fillId="0" borderId="0" xfId="0" applyNumberFormat="1"/>
    <xf numFmtId="164" fontId="0" fillId="4" borderId="0" xfId="0" applyNumberFormat="1" applyFill="1"/>
    <xf numFmtId="169" fontId="0" fillId="3" borderId="0" xfId="0" applyNumberFormat="1" applyFill="1"/>
    <xf numFmtId="165" fontId="0" fillId="3" borderId="0" xfId="0" applyNumberFormat="1" applyFill="1"/>
    <xf numFmtId="0" fontId="3" fillId="0" borderId="0" xfId="0" applyFon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I, P effects of light &amp; temperature vs. 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Cell Model'!$E$82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Cell Model'!$B$83:$B$100</c:f>
              <c:numCache>
                <c:formatCode>General</c:formatCode>
                <c:ptCount val="18"/>
                <c:pt idx="0">
                  <c:v>0</c:v>
                </c:pt>
                <c:pt idx="1">
                  <c:v>0.23333333333333331</c:v>
                </c:pt>
                <c:pt idx="2">
                  <c:v>0.39666666666666661</c:v>
                </c:pt>
                <c:pt idx="3">
                  <c:v>0.4433333333333333</c:v>
                </c:pt>
                <c:pt idx="4">
                  <c:v>0.46666666666666662</c:v>
                </c:pt>
                <c:pt idx="5">
                  <c:v>0.47133333333333327</c:v>
                </c:pt>
                <c:pt idx="6">
                  <c:v>0.4799666666666666</c:v>
                </c:pt>
                <c:pt idx="7">
                  <c:v>0.51333333333333331</c:v>
                </c:pt>
                <c:pt idx="8">
                  <c:v>0.55999999999999994</c:v>
                </c:pt>
                <c:pt idx="9">
                  <c:v>0</c:v>
                </c:pt>
                <c:pt idx="10">
                  <c:v>0.25</c:v>
                </c:pt>
                <c:pt idx="11">
                  <c:v>0.42499999999999999</c:v>
                </c:pt>
                <c:pt idx="12">
                  <c:v>0.47499999999999998</c:v>
                </c:pt>
                <c:pt idx="13">
                  <c:v>0.5</c:v>
                </c:pt>
                <c:pt idx="14">
                  <c:v>0.505</c:v>
                </c:pt>
                <c:pt idx="15">
                  <c:v>0.51424999999999998</c:v>
                </c:pt>
                <c:pt idx="16">
                  <c:v>0.55000000000000004</c:v>
                </c:pt>
                <c:pt idx="17">
                  <c:v>0.6</c:v>
                </c:pt>
              </c:numCache>
            </c:numRef>
          </c:xVal>
          <c:yVal>
            <c:numRef>
              <c:f>'New Cell Model'!$E$83:$E$100</c:f>
              <c:numCache>
                <c:formatCode>0.0000E+00</c:formatCode>
                <c:ptCount val="18"/>
                <c:pt idx="0">
                  <c:v>2.7025040382130392</c:v>
                </c:pt>
                <c:pt idx="1">
                  <c:v>2.672705492267776</c:v>
                </c:pt>
                <c:pt idx="2">
                  <c:v>2.6398315927707485</c:v>
                </c:pt>
                <c:pt idx="3">
                  <c:v>2.5811623934734689</c:v>
                </c:pt>
                <c:pt idx="4">
                  <c:v>2.4946191187729112</c:v>
                </c:pt>
                <c:pt idx="5">
                  <c:v>2.4676332038573392</c:v>
                </c:pt>
                <c:pt idx="6">
                  <c:v>2.4053110222499492</c:v>
                </c:pt>
                <c:pt idx="7">
                  <c:v>1.9202818912649102</c:v>
                </c:pt>
                <c:pt idx="8">
                  <c:v>2.5933490910290402E-9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C-AE46-8061-AE6AB0CA37D8}"/>
            </c:ext>
          </c:extLst>
        </c:ser>
        <c:ser>
          <c:idx val="1"/>
          <c:order val="1"/>
          <c:tx>
            <c:strRef>
              <c:f>'New Cell Model'!$F$82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Cell Model'!$B$83:$B$100</c:f>
              <c:numCache>
                <c:formatCode>General</c:formatCode>
                <c:ptCount val="18"/>
                <c:pt idx="0">
                  <c:v>0</c:v>
                </c:pt>
                <c:pt idx="1">
                  <c:v>0.23333333333333331</c:v>
                </c:pt>
                <c:pt idx="2">
                  <c:v>0.39666666666666661</c:v>
                </c:pt>
                <c:pt idx="3">
                  <c:v>0.4433333333333333</c:v>
                </c:pt>
                <c:pt idx="4">
                  <c:v>0.46666666666666662</c:v>
                </c:pt>
                <c:pt idx="5">
                  <c:v>0.47133333333333327</c:v>
                </c:pt>
                <c:pt idx="6">
                  <c:v>0.4799666666666666</c:v>
                </c:pt>
                <c:pt idx="7">
                  <c:v>0.51333333333333331</c:v>
                </c:pt>
                <c:pt idx="8">
                  <c:v>0.55999999999999994</c:v>
                </c:pt>
                <c:pt idx="9">
                  <c:v>0</c:v>
                </c:pt>
                <c:pt idx="10">
                  <c:v>0.25</c:v>
                </c:pt>
                <c:pt idx="11">
                  <c:v>0.42499999999999999</c:v>
                </c:pt>
                <c:pt idx="12">
                  <c:v>0.47499999999999998</c:v>
                </c:pt>
                <c:pt idx="13">
                  <c:v>0.5</c:v>
                </c:pt>
                <c:pt idx="14">
                  <c:v>0.505</c:v>
                </c:pt>
                <c:pt idx="15">
                  <c:v>0.51424999999999998</c:v>
                </c:pt>
                <c:pt idx="16">
                  <c:v>0.55000000000000004</c:v>
                </c:pt>
                <c:pt idx="17">
                  <c:v>0.6</c:v>
                </c:pt>
              </c:numCache>
            </c:numRef>
          </c:xVal>
          <c:yVal>
            <c:numRef>
              <c:f>'New Cell Model'!$F$83:$F$100</c:f>
              <c:numCache>
                <c:formatCode>General</c:formatCode>
                <c:ptCount val="18"/>
                <c:pt idx="0">
                  <c:v>0</c:v>
                </c:pt>
                <c:pt idx="1">
                  <c:v>0.62363128152914771</c:v>
                </c:pt>
                <c:pt idx="2">
                  <c:v>1.0471331984657302</c:v>
                </c:pt>
                <c:pt idx="3">
                  <c:v>1.1443153277732379</c:v>
                </c:pt>
                <c:pt idx="4">
                  <c:v>1.1641555887606918</c:v>
                </c:pt>
                <c:pt idx="5">
                  <c:v>1.1630777834180923</c:v>
                </c:pt>
                <c:pt idx="6">
                  <c:v>1.1544691136459004</c:v>
                </c:pt>
                <c:pt idx="7">
                  <c:v>0.98574470418265392</c:v>
                </c:pt>
                <c:pt idx="8">
                  <c:v>1.4522754909762624E-9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C-AE46-8061-AE6AB0CA37D8}"/>
            </c:ext>
          </c:extLst>
        </c:ser>
        <c:ser>
          <c:idx val="2"/>
          <c:order val="2"/>
          <c:tx>
            <c:strRef>
              <c:f>'New Cell Model'!$G$82</c:f>
              <c:strCache>
                <c:ptCount val="1"/>
                <c:pt idx="0">
                  <c:v>I reference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Cell Model'!$B$83:$B$100</c:f>
              <c:numCache>
                <c:formatCode>General</c:formatCode>
                <c:ptCount val="18"/>
                <c:pt idx="0">
                  <c:v>0</c:v>
                </c:pt>
                <c:pt idx="1">
                  <c:v>0.23333333333333331</c:v>
                </c:pt>
                <c:pt idx="2">
                  <c:v>0.39666666666666661</c:v>
                </c:pt>
                <c:pt idx="3">
                  <c:v>0.4433333333333333</c:v>
                </c:pt>
                <c:pt idx="4">
                  <c:v>0.46666666666666662</c:v>
                </c:pt>
                <c:pt idx="5">
                  <c:v>0.47133333333333327</c:v>
                </c:pt>
                <c:pt idx="6">
                  <c:v>0.4799666666666666</c:v>
                </c:pt>
                <c:pt idx="7">
                  <c:v>0.51333333333333331</c:v>
                </c:pt>
                <c:pt idx="8">
                  <c:v>0.55999999999999994</c:v>
                </c:pt>
                <c:pt idx="9">
                  <c:v>0</c:v>
                </c:pt>
                <c:pt idx="10">
                  <c:v>0.25</c:v>
                </c:pt>
                <c:pt idx="11">
                  <c:v>0.42499999999999999</c:v>
                </c:pt>
                <c:pt idx="12">
                  <c:v>0.47499999999999998</c:v>
                </c:pt>
                <c:pt idx="13">
                  <c:v>0.5</c:v>
                </c:pt>
                <c:pt idx="14">
                  <c:v>0.505</c:v>
                </c:pt>
                <c:pt idx="15">
                  <c:v>0.51424999999999998</c:v>
                </c:pt>
                <c:pt idx="16">
                  <c:v>0.55000000000000004</c:v>
                </c:pt>
                <c:pt idx="17">
                  <c:v>0.6</c:v>
                </c:pt>
              </c:numCache>
            </c:numRef>
          </c:xVal>
          <c:yVal>
            <c:numRef>
              <c:f>'New Cell Model'!$G$83:$G$100</c:f>
              <c:numCache>
                <c:formatCode>General</c:formatCode>
                <c:ptCount val="18"/>
                <c:pt idx="9" formatCode="0.00E+00">
                  <c:v>2.5999999996691852</c:v>
                </c:pt>
                <c:pt idx="10" formatCode="0.00E+00">
                  <c:v>2.5629739966435969</c:v>
                </c:pt>
                <c:pt idx="11" formatCode="0.00E+00">
                  <c:v>2.5298111754380059</c:v>
                </c:pt>
                <c:pt idx="12" formatCode="0.00E+00">
                  <c:v>2.480349247740107</c:v>
                </c:pt>
                <c:pt idx="13" formatCode="0.00E+00">
                  <c:v>2.4000000001998951</c:v>
                </c:pt>
                <c:pt idx="14" formatCode="0.00E+00">
                  <c:v>2.3738337254808433</c:v>
                </c:pt>
                <c:pt idx="15" formatCode="0.00E+00">
                  <c:v>2.3121556834059782</c:v>
                </c:pt>
                <c:pt idx="16" formatCode="0.00E+00">
                  <c:v>1.8147266627749445</c:v>
                </c:pt>
                <c:pt idx="17" formatCode="0.00E+00">
                  <c:v>1.0911271886016038E-10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C-AE46-8061-AE6AB0CA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744864"/>
        <c:axId val="829642544"/>
      </c:scatterChart>
      <c:valAx>
        <c:axId val="19017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42544"/>
        <c:crosses val="autoZero"/>
        <c:crossBetween val="midCat"/>
      </c:valAx>
      <c:valAx>
        <c:axId val="8296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63500</xdr:rowOff>
    </xdr:from>
    <xdr:to>
      <xdr:col>20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D210F-629B-2E6C-EF07-6B097EC37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EDAB-437D-0E4A-9985-79391025C1F5}">
  <dimension ref="A1:BQ123"/>
  <sheetViews>
    <sheetView tabSelected="1" workbookViewId="0">
      <selection activeCell="F4" sqref="F4"/>
    </sheetView>
  </sheetViews>
  <sheetFormatPr baseColWidth="10" defaultRowHeight="16" x14ac:dyDescent="0.2"/>
  <cols>
    <col min="4" max="4" width="11.33203125" bestFit="1" customWidth="1"/>
    <col min="11" max="11" width="23.6640625" bestFit="1" customWidth="1"/>
    <col min="14" max="14" width="15.33203125" customWidth="1"/>
    <col min="20" max="20" width="12.1640625" bestFit="1" customWidth="1"/>
  </cols>
  <sheetData>
    <row r="1" spans="1:20" x14ac:dyDescent="0.2">
      <c r="A1" t="s">
        <v>118</v>
      </c>
    </row>
    <row r="2" spans="1:20" x14ac:dyDescent="0.2">
      <c r="A2" t="s">
        <v>119</v>
      </c>
    </row>
    <row r="4" spans="1:20" x14ac:dyDescent="0.2">
      <c r="A4" t="s">
        <v>48</v>
      </c>
    </row>
    <row r="5" spans="1:20" x14ac:dyDescent="0.2">
      <c r="B5" t="s">
        <v>6</v>
      </c>
      <c r="D5" s="2">
        <v>0.6</v>
      </c>
      <c r="E5" t="s">
        <v>0</v>
      </c>
      <c r="I5" t="s">
        <v>117</v>
      </c>
    </row>
    <row r="6" spans="1:20" x14ac:dyDescent="0.2">
      <c r="B6" t="s">
        <v>9</v>
      </c>
      <c r="D6" s="2">
        <v>2.6</v>
      </c>
      <c r="E6" t="s">
        <v>4</v>
      </c>
      <c r="I6" t="s">
        <v>114</v>
      </c>
      <c r="K6">
        <f>D14*D11</f>
        <v>4.0830000000000002</v>
      </c>
      <c r="L6" t="s">
        <v>3</v>
      </c>
    </row>
    <row r="7" spans="1:20" x14ac:dyDescent="0.2">
      <c r="B7" t="s">
        <v>15</v>
      </c>
      <c r="D7" s="2">
        <v>0.5</v>
      </c>
      <c r="E7" t="s">
        <v>0</v>
      </c>
      <c r="I7" t="s">
        <v>115</v>
      </c>
      <c r="K7" s="10">
        <f>D7*D8</f>
        <v>1.2</v>
      </c>
      <c r="L7" t="s">
        <v>3</v>
      </c>
    </row>
    <row r="8" spans="1:20" x14ac:dyDescent="0.2">
      <c r="B8" t="s">
        <v>16</v>
      </c>
      <c r="D8" s="2">
        <v>2.4</v>
      </c>
      <c r="E8" t="s">
        <v>4</v>
      </c>
      <c r="I8" t="s">
        <v>112</v>
      </c>
      <c r="K8" s="10">
        <f>K7/D5/D6</f>
        <v>0.76923076923076916</v>
      </c>
    </row>
    <row r="9" spans="1:20" x14ac:dyDescent="0.2">
      <c r="B9" t="s">
        <v>47</v>
      </c>
      <c r="D9" s="2">
        <v>1</v>
      </c>
      <c r="E9" t="s">
        <v>120</v>
      </c>
      <c r="I9" t="s">
        <v>113</v>
      </c>
      <c r="K9" s="10">
        <f>K7/K6</f>
        <v>0.29390154298310062</v>
      </c>
      <c r="L9" t="s">
        <v>1</v>
      </c>
    </row>
    <row r="10" spans="1:20" x14ac:dyDescent="0.2">
      <c r="B10" t="s">
        <v>22</v>
      </c>
      <c r="D10" s="2">
        <v>300</v>
      </c>
      <c r="E10" t="s">
        <v>12</v>
      </c>
    </row>
    <row r="11" spans="1:20" x14ac:dyDescent="0.2">
      <c r="B11" t="s">
        <v>44</v>
      </c>
      <c r="D11" s="2">
        <v>1361</v>
      </c>
      <c r="E11" t="s">
        <v>10</v>
      </c>
    </row>
    <row r="12" spans="1:20" x14ac:dyDescent="0.2">
      <c r="B12" t="s">
        <v>58</v>
      </c>
      <c r="D12" s="2">
        <v>-2E-3</v>
      </c>
      <c r="E12" t="s">
        <v>60</v>
      </c>
    </row>
    <row r="13" spans="1:20" x14ac:dyDescent="0.2">
      <c r="B13" t="s">
        <v>59</v>
      </c>
      <c r="D13" s="2">
        <v>1.4E-3</v>
      </c>
      <c r="E13" t="s">
        <v>61</v>
      </c>
    </row>
    <row r="14" spans="1:20" x14ac:dyDescent="0.2">
      <c r="B14" t="s">
        <v>116</v>
      </c>
      <c r="D14" s="2">
        <v>3.0000000000000001E-3</v>
      </c>
      <c r="E14" t="s">
        <v>11</v>
      </c>
    </row>
    <row r="15" spans="1:20" ht="21" x14ac:dyDescent="0.25">
      <c r="S15" s="13"/>
    </row>
    <row r="16" spans="1:20" x14ac:dyDescent="0.2">
      <c r="A16" t="s">
        <v>50</v>
      </c>
      <c r="T16" s="1"/>
    </row>
    <row r="17" spans="1:20" x14ac:dyDescent="0.2">
      <c r="B17" t="s">
        <v>20</v>
      </c>
      <c r="D17" s="3">
        <v>1.6021764000000001E-19</v>
      </c>
      <c r="T17" s="1"/>
    </row>
    <row r="18" spans="1:20" x14ac:dyDescent="0.2">
      <c r="B18" t="s">
        <v>21</v>
      </c>
      <c r="D18" s="3">
        <v>1.3806488E-23</v>
      </c>
    </row>
    <row r="20" spans="1:20" x14ac:dyDescent="0.2">
      <c r="A20" t="s">
        <v>51</v>
      </c>
    </row>
    <row r="21" spans="1:20" x14ac:dyDescent="0.2">
      <c r="A21" t="s">
        <v>45</v>
      </c>
      <c r="S21" s="1"/>
    </row>
    <row r="22" spans="1:20" x14ac:dyDescent="0.2">
      <c r="B22" t="s">
        <v>46</v>
      </c>
      <c r="D22" s="8">
        <f>D10*D18/D17</f>
        <v>2.5851999817248589E-2</v>
      </c>
      <c r="E22" t="s">
        <v>0</v>
      </c>
      <c r="F22" t="s">
        <v>23</v>
      </c>
      <c r="I22" t="s">
        <v>70</v>
      </c>
      <c r="S22" s="1"/>
      <c r="T22" s="1"/>
    </row>
    <row r="23" spans="1:20" x14ac:dyDescent="0.2">
      <c r="B23" t="s">
        <v>49</v>
      </c>
      <c r="I23" t="s">
        <v>71</v>
      </c>
    </row>
    <row r="24" spans="1:20" x14ac:dyDescent="0.2">
      <c r="C24" t="s">
        <v>5</v>
      </c>
      <c r="D24">
        <f>D9*D22/D8</f>
        <v>1.0771666590520246E-2</v>
      </c>
      <c r="I24" t="s">
        <v>26</v>
      </c>
      <c r="K24" s="5">
        <f>D28</f>
        <v>-1.5786286295989076E-7</v>
      </c>
      <c r="N24">
        <f>LOG(0.25)</f>
        <v>-0.6020599913279624</v>
      </c>
    </row>
    <row r="25" spans="1:20" x14ac:dyDescent="0.2">
      <c r="C25" t="s">
        <v>35</v>
      </c>
      <c r="D25">
        <f>-D7*(2*D8-D6)/(D7*D6+D5*(D8-D6))</f>
        <v>-0.93220338983050843</v>
      </c>
      <c r="I25" t="s">
        <v>38</v>
      </c>
      <c r="K25">
        <f>LOG(-K24)-LOG(-LOG(-K24))</f>
        <v>-7.6343387765896331</v>
      </c>
      <c r="L25" t="s">
        <v>52</v>
      </c>
      <c r="N25" t="s">
        <v>40</v>
      </c>
      <c r="O25">
        <f>-0.008</f>
        <v>-8.0000000000000002E-3</v>
      </c>
    </row>
    <row r="26" spans="1:20" x14ac:dyDescent="0.2">
      <c r="C26" t="s">
        <v>36</v>
      </c>
      <c r="D26">
        <f>-(2*D7-D5)/D9/D22+(D7*D6-D5*D8)/(D7*D6+D5*(D8-D6))</f>
        <v>-15.591334878088119</v>
      </c>
      <c r="K26" s="1">
        <f>-1-SQRT(2)*SQRT(1+EXP(1)*K24)</f>
        <v>-2.4142132589424046</v>
      </c>
      <c r="L26" t="s">
        <v>53</v>
      </c>
      <c r="N26" s="4">
        <f>-1-SQRT(2+2*EXP(1)*K24)</f>
        <v>-2.4142132589424046</v>
      </c>
    </row>
    <row r="27" spans="1:20" x14ac:dyDescent="0.2">
      <c r="C27" t="s">
        <v>14</v>
      </c>
      <c r="D27">
        <f>(D7-D5)/D9/D22</f>
        <v>-3.8681727025728763</v>
      </c>
      <c r="I27" t="s">
        <v>28</v>
      </c>
      <c r="K27">
        <f>IF(K24&gt;O25,K25,K26)</f>
        <v>-7.6343387765896331</v>
      </c>
    </row>
    <row r="28" spans="1:20" x14ac:dyDescent="0.2">
      <c r="C28" t="s">
        <v>37</v>
      </c>
      <c r="D28">
        <f>D25*EXP(D26)</f>
        <v>-1.5786286295989076E-7</v>
      </c>
      <c r="J28" t="s">
        <v>13</v>
      </c>
      <c r="K28" t="s">
        <v>27</v>
      </c>
      <c r="L28" t="s">
        <v>24</v>
      </c>
    </row>
    <row r="29" spans="1:20" x14ac:dyDescent="0.2">
      <c r="C29" t="s">
        <v>39</v>
      </c>
      <c r="D29" s="4">
        <f>K38</f>
        <v>-18.583831040524597</v>
      </c>
      <c r="J29">
        <v>0</v>
      </c>
      <c r="K29">
        <f>K27</f>
        <v>-7.6343387765896331</v>
      </c>
    </row>
    <row r="30" spans="1:20" x14ac:dyDescent="0.2">
      <c r="C30" t="s">
        <v>7</v>
      </c>
      <c r="D30" s="11">
        <f>D24*(D29-(D27+D26))</f>
        <v>9.4324957314896214E-3</v>
      </c>
      <c r="E30" t="s">
        <v>2</v>
      </c>
      <c r="F30" s="6" t="s">
        <v>54</v>
      </c>
      <c r="J30">
        <f>J29+1</f>
        <v>1</v>
      </c>
      <c r="K30" s="5">
        <f>K29/(1+K29)*(1+LN($K$24/K29))</f>
        <v>-19.210526940641589</v>
      </c>
      <c r="L30">
        <f>K30-K29</f>
        <v>-11.576188164051956</v>
      </c>
    </row>
    <row r="31" spans="1:20" x14ac:dyDescent="0.2">
      <c r="B31" t="s">
        <v>55</v>
      </c>
      <c r="J31">
        <f t="shared" ref="J31:J38" si="0">J30+1</f>
        <v>2</v>
      </c>
      <c r="K31" s="5">
        <f t="shared" ref="K31:K38" si="1">K30/(1+K30)*(1+LN($K$24/K30))</f>
        <v>-18.584404890077181</v>
      </c>
      <c r="L31">
        <f t="shared" ref="L31:L38" si="2">K31-K30</f>
        <v>0.62612205056440828</v>
      </c>
    </row>
    <row r="32" spans="1:20" x14ac:dyDescent="0.2">
      <c r="C32" t="s">
        <v>8</v>
      </c>
      <c r="D32" s="7">
        <f>(D7-D8*D30)*(D7-D30*(D6-D8)-D9*D22) / ((D7-D8*D30)*(D6-D8)-D9*D22*D8)</f>
        <v>6.7441181155660281</v>
      </c>
      <c r="E32" t="s">
        <v>2</v>
      </c>
      <c r="F32" s="6" t="s">
        <v>54</v>
      </c>
      <c r="J32">
        <f t="shared" si="0"/>
        <v>3</v>
      </c>
      <c r="K32" s="5">
        <f t="shared" si="1"/>
        <v>-18.583831041028443</v>
      </c>
      <c r="L32">
        <f t="shared" si="2"/>
        <v>5.738490487381398E-4</v>
      </c>
    </row>
    <row r="33" spans="1:18" x14ac:dyDescent="0.2">
      <c r="B33" t="s">
        <v>56</v>
      </c>
      <c r="J33">
        <f t="shared" si="0"/>
        <v>4</v>
      </c>
      <c r="K33" s="5">
        <f t="shared" si="1"/>
        <v>-18.583831040524593</v>
      </c>
      <c r="L33">
        <f t="shared" si="2"/>
        <v>5.0384940664116584E-10</v>
      </c>
    </row>
    <row r="34" spans="1:18" x14ac:dyDescent="0.2">
      <c r="C34" t="s">
        <v>17</v>
      </c>
      <c r="D34" s="12">
        <f>((D32+D30)*D6-D5)/D32/EXP(D5/D9/D22)</f>
        <v>2.0937491317267996E-10</v>
      </c>
      <c r="E34" t="s">
        <v>4</v>
      </c>
      <c r="F34" s="1"/>
      <c r="J34">
        <f t="shared" si="0"/>
        <v>5</v>
      </c>
      <c r="K34" s="5">
        <f t="shared" si="1"/>
        <v>-18.583831040524597</v>
      </c>
      <c r="L34">
        <f t="shared" si="2"/>
        <v>0</v>
      </c>
    </row>
    <row r="35" spans="1:18" x14ac:dyDescent="0.2">
      <c r="B35" t="s">
        <v>57</v>
      </c>
      <c r="J35">
        <f t="shared" si="0"/>
        <v>6</v>
      </c>
      <c r="K35" s="5">
        <f t="shared" si="1"/>
        <v>-18.583831040524597</v>
      </c>
      <c r="L35">
        <f t="shared" si="2"/>
        <v>0</v>
      </c>
    </row>
    <row r="36" spans="1:18" x14ac:dyDescent="0.2">
      <c r="C36" t="s">
        <v>19</v>
      </c>
      <c r="D36" s="12">
        <f>(D32+D30)*D6/D32</f>
        <v>2.6036364263617013</v>
      </c>
      <c r="E36" t="s">
        <v>4</v>
      </c>
      <c r="J36">
        <f t="shared" si="0"/>
        <v>7</v>
      </c>
      <c r="K36" s="5">
        <f t="shared" si="1"/>
        <v>-18.583831040524597</v>
      </c>
      <c r="L36">
        <f t="shared" si="2"/>
        <v>0</v>
      </c>
    </row>
    <row r="37" spans="1:18" x14ac:dyDescent="0.2">
      <c r="J37">
        <f t="shared" si="0"/>
        <v>8</v>
      </c>
      <c r="K37" s="5">
        <f t="shared" si="1"/>
        <v>-18.583831040524597</v>
      </c>
      <c r="L37">
        <f t="shared" si="2"/>
        <v>0</v>
      </c>
    </row>
    <row r="38" spans="1:18" x14ac:dyDescent="0.2">
      <c r="J38">
        <f t="shared" si="0"/>
        <v>9</v>
      </c>
      <c r="K38" s="4">
        <f t="shared" si="1"/>
        <v>-18.583831040524597</v>
      </c>
      <c r="L38">
        <f t="shared" si="2"/>
        <v>0</v>
      </c>
    </row>
    <row r="39" spans="1:18" x14ac:dyDescent="0.2">
      <c r="A39" t="s">
        <v>62</v>
      </c>
    </row>
    <row r="40" spans="1:18" x14ac:dyDescent="0.2">
      <c r="B40" t="s">
        <v>63</v>
      </c>
    </row>
    <row r="41" spans="1:18" x14ac:dyDescent="0.2">
      <c r="B41" t="s">
        <v>64</v>
      </c>
    </row>
    <row r="42" spans="1:18" x14ac:dyDescent="0.2">
      <c r="B42" t="s">
        <v>65</v>
      </c>
    </row>
    <row r="43" spans="1:18" x14ac:dyDescent="0.2">
      <c r="B43" t="s">
        <v>73</v>
      </c>
    </row>
    <row r="44" spans="1:18" x14ac:dyDescent="0.2">
      <c r="C44" t="s">
        <v>66</v>
      </c>
      <c r="D44" s="2">
        <v>1400</v>
      </c>
      <c r="E44" t="s">
        <v>10</v>
      </c>
    </row>
    <row r="45" spans="1:18" x14ac:dyDescent="0.2">
      <c r="C45" t="s">
        <v>67</v>
      </c>
      <c r="D45">
        <f>D44/D11</f>
        <v>1.0286554004408524</v>
      </c>
    </row>
    <row r="46" spans="1:18" x14ac:dyDescent="0.2">
      <c r="C46" t="s">
        <v>6</v>
      </c>
      <c r="D46" s="7">
        <f>D5</f>
        <v>0.6</v>
      </c>
      <c r="E46" t="s">
        <v>0</v>
      </c>
      <c r="F46" t="s">
        <v>72</v>
      </c>
    </row>
    <row r="47" spans="1:18" x14ac:dyDescent="0.2">
      <c r="C47" t="s">
        <v>9</v>
      </c>
      <c r="D47" s="7">
        <f>D6*D45</f>
        <v>2.6745040411462164</v>
      </c>
      <c r="E47" t="s">
        <v>4</v>
      </c>
      <c r="F47" t="s">
        <v>75</v>
      </c>
    </row>
    <row r="48" spans="1:18" x14ac:dyDescent="0.2">
      <c r="C48" t="s">
        <v>15</v>
      </c>
      <c r="D48" s="7">
        <f>D7</f>
        <v>0.5</v>
      </c>
      <c r="E48" t="s">
        <v>74</v>
      </c>
      <c r="F48" t="s">
        <v>72</v>
      </c>
      <c r="R48" s="1"/>
    </row>
    <row r="49" spans="2:9" x14ac:dyDescent="0.2">
      <c r="C49" t="s">
        <v>16</v>
      </c>
      <c r="D49" s="7">
        <f>D8*D45</f>
        <v>2.4687729610580456</v>
      </c>
      <c r="E49" t="s">
        <v>4</v>
      </c>
      <c r="F49" t="s">
        <v>75</v>
      </c>
    </row>
    <row r="50" spans="2:9" x14ac:dyDescent="0.2">
      <c r="C50" t="s">
        <v>7</v>
      </c>
      <c r="D50" s="7">
        <f>D30/D45</f>
        <v>9.1697333503981248E-3</v>
      </c>
      <c r="E50" t="s">
        <v>2</v>
      </c>
      <c r="F50" t="s">
        <v>75</v>
      </c>
    </row>
    <row r="51" spans="2:9" x14ac:dyDescent="0.2">
      <c r="C51" t="s">
        <v>8</v>
      </c>
      <c r="D51" s="7">
        <f>D32/D45</f>
        <v>6.5562462537752602</v>
      </c>
      <c r="E51" t="s">
        <v>2</v>
      </c>
      <c r="F51" t="s">
        <v>75</v>
      </c>
    </row>
    <row r="52" spans="2:9" x14ac:dyDescent="0.2">
      <c r="C52" t="s">
        <v>17</v>
      </c>
      <c r="D52" s="8">
        <f>D34*D45</f>
        <v>2.1537463515191179E-10</v>
      </c>
      <c r="E52" t="s">
        <v>4</v>
      </c>
      <c r="F52" t="s">
        <v>76</v>
      </c>
    </row>
    <row r="53" spans="2:9" x14ac:dyDescent="0.2">
      <c r="C53" t="s">
        <v>19</v>
      </c>
      <c r="D53" s="7">
        <f>D36*D45</f>
        <v>2.6782446707614858</v>
      </c>
      <c r="E53" t="s">
        <v>4</v>
      </c>
      <c r="F53" t="s">
        <v>76</v>
      </c>
    </row>
    <row r="54" spans="2:9" x14ac:dyDescent="0.2">
      <c r="B54" t="s">
        <v>68</v>
      </c>
    </row>
    <row r="55" spans="2:9" x14ac:dyDescent="0.2">
      <c r="C55" t="s">
        <v>69</v>
      </c>
      <c r="D55" s="2">
        <v>320</v>
      </c>
      <c r="E55" t="s">
        <v>12</v>
      </c>
    </row>
    <row r="56" spans="2:9" x14ac:dyDescent="0.2">
      <c r="C56" t="s">
        <v>34</v>
      </c>
      <c r="D56" s="1">
        <f>D55*D18/D17</f>
        <v>2.7575466471731827E-2</v>
      </c>
      <c r="E56" t="s">
        <v>0</v>
      </c>
    </row>
    <row r="57" spans="2:9" x14ac:dyDescent="0.2">
      <c r="C57" t="s">
        <v>41</v>
      </c>
      <c r="D57">
        <f>D55-D10</f>
        <v>20</v>
      </c>
      <c r="E57" t="s">
        <v>12</v>
      </c>
    </row>
    <row r="58" spans="2:9" x14ac:dyDescent="0.2">
      <c r="C58" t="s">
        <v>42</v>
      </c>
      <c r="D58">
        <f>D57*D12</f>
        <v>-0.04</v>
      </c>
      <c r="E58" t="s">
        <v>0</v>
      </c>
    </row>
    <row r="59" spans="2:9" x14ac:dyDescent="0.2">
      <c r="C59" t="s">
        <v>43</v>
      </c>
      <c r="D59">
        <f>D57*D13</f>
        <v>2.8000000000000001E-2</v>
      </c>
      <c r="E59" t="s">
        <v>4</v>
      </c>
    </row>
    <row r="60" spans="2:9" x14ac:dyDescent="0.2">
      <c r="C60" t="s">
        <v>6</v>
      </c>
      <c r="D60" s="14">
        <f>D46+D58</f>
        <v>0.55999999999999994</v>
      </c>
      <c r="E60" t="s">
        <v>0</v>
      </c>
    </row>
    <row r="61" spans="2:9" x14ac:dyDescent="0.2">
      <c r="C61" t="s">
        <v>9</v>
      </c>
      <c r="D61" s="7">
        <f>D47+D59</f>
        <v>2.7025040411462165</v>
      </c>
      <c r="E61" t="s">
        <v>4</v>
      </c>
    </row>
    <row r="62" spans="2:9" x14ac:dyDescent="0.2">
      <c r="C62" t="s">
        <v>15</v>
      </c>
      <c r="D62" s="7">
        <f>D48*D60/D5</f>
        <v>0.46666666666666662</v>
      </c>
      <c r="E62" t="s">
        <v>0</v>
      </c>
      <c r="F62" t="s">
        <v>77</v>
      </c>
    </row>
    <row r="63" spans="2:9" x14ac:dyDescent="0.2">
      <c r="C63" t="s">
        <v>16</v>
      </c>
      <c r="D63" s="7">
        <f>D49*D61/D47</f>
        <v>2.4946191149041992</v>
      </c>
      <c r="E63" t="s">
        <v>4</v>
      </c>
      <c r="F63" t="s">
        <v>78</v>
      </c>
    </row>
    <row r="64" spans="2:9" x14ac:dyDescent="0.2">
      <c r="B64" t="s">
        <v>79</v>
      </c>
      <c r="I64" t="s">
        <v>70</v>
      </c>
    </row>
    <row r="65" spans="2:15" x14ac:dyDescent="0.2">
      <c r="C65" t="s">
        <v>5</v>
      </c>
      <c r="D65" s="9">
        <f>D9*D56/D63</f>
        <v>1.1053978664310366E-2</v>
      </c>
      <c r="I65" t="s">
        <v>71</v>
      </c>
    </row>
    <row r="66" spans="2:15" x14ac:dyDescent="0.2">
      <c r="C66" t="s">
        <v>35</v>
      </c>
      <c r="D66">
        <f>-D62*(2*D63-D61)/(D62*D61+D60*(D63-D61))</f>
        <v>-0.93220338983050821</v>
      </c>
      <c r="I66" t="s">
        <v>26</v>
      </c>
      <c r="K66" s="5">
        <f>D69</f>
        <v>-1.0920512107227198E-6</v>
      </c>
      <c r="N66">
        <f>LOG(0.25)</f>
        <v>-0.6020599913279624</v>
      </c>
    </row>
    <row r="67" spans="2:15" x14ac:dyDescent="0.2">
      <c r="C67" t="s">
        <v>36</v>
      </c>
      <c r="D67">
        <f>-(2*D62-D60)/D9/D56+(D62*D61-D60*D63)/(D62*D61+D60*(D63-D61))</f>
        <v>-13.657248526801681</v>
      </c>
      <c r="I67" t="s">
        <v>38</v>
      </c>
      <c r="K67">
        <f>LOG(-K66)-LOG(-LOG(-K66))</f>
        <v>-6.7371312652810156</v>
      </c>
      <c r="L67" t="s">
        <v>52</v>
      </c>
      <c r="N67" t="s">
        <v>40</v>
      </c>
      <c r="O67">
        <f>-0.008</f>
        <v>-8.0000000000000002E-3</v>
      </c>
    </row>
    <row r="68" spans="2:15" x14ac:dyDescent="0.2">
      <c r="C68" t="s">
        <v>14</v>
      </c>
      <c r="D68">
        <f>(D62-D60)/D9/D56</f>
        <v>-3.3846511147512675</v>
      </c>
      <c r="K68" s="1">
        <f>-1-SQRT(2)*SQRT(1+EXP(1)*K66)</f>
        <v>-2.414211463322963</v>
      </c>
      <c r="L68" t="s">
        <v>53</v>
      </c>
      <c r="N68" s="4">
        <f>-1-SQRT(2+2*EXP(1)*K66)</f>
        <v>-2.414211463322963</v>
      </c>
    </row>
    <row r="69" spans="2:15" x14ac:dyDescent="0.2">
      <c r="C69" t="s">
        <v>37</v>
      </c>
      <c r="D69">
        <f>D66*EXP(D67)</f>
        <v>-1.0920512107227198E-6</v>
      </c>
      <c r="I69" t="s">
        <v>28</v>
      </c>
      <c r="K69">
        <f>IF(K66&gt;O67,K67,K68)</f>
        <v>-6.7371312652810156</v>
      </c>
    </row>
    <row r="70" spans="2:15" x14ac:dyDescent="0.2">
      <c r="C70" t="s">
        <v>39</v>
      </c>
      <c r="D70" s="4">
        <f>K80</f>
        <v>-16.532799012205306</v>
      </c>
      <c r="J70" t="s">
        <v>13</v>
      </c>
      <c r="K70" t="s">
        <v>27</v>
      </c>
      <c r="L70" t="s">
        <v>24</v>
      </c>
    </row>
    <row r="71" spans="2:15" x14ac:dyDescent="0.2">
      <c r="C71" t="s">
        <v>7</v>
      </c>
      <c r="D71" s="7">
        <f>D65*(D70-(D68+D67))</f>
        <v>5.6275874947958205E-3</v>
      </c>
      <c r="E71" t="s">
        <v>2</v>
      </c>
      <c r="F71" s="6"/>
      <c r="J71">
        <v>0</v>
      </c>
      <c r="K71">
        <f>K69</f>
        <v>-6.7371312652810156</v>
      </c>
    </row>
    <row r="72" spans="2:15" x14ac:dyDescent="0.2">
      <c r="B72" t="s">
        <v>80</v>
      </c>
      <c r="J72">
        <f>J71+1</f>
        <v>1</v>
      </c>
      <c r="K72" s="5">
        <f>K71/(1+K71)*(1+LN($K$66/K71))</f>
        <v>-17.186028623260587</v>
      </c>
      <c r="L72">
        <f>K72-K71</f>
        <v>-10.448897357979572</v>
      </c>
    </row>
    <row r="73" spans="2:15" x14ac:dyDescent="0.2">
      <c r="C73" t="s">
        <v>8</v>
      </c>
      <c r="D73" s="8">
        <f>(D62-D63*D71)*(D62-D71*(D61-D63)-D9*D56) / ((D62-D63*D71)*(D61-D63)-D9*D56*D63)</f>
        <v>7.8332869182368796</v>
      </c>
      <c r="E73" t="s">
        <v>2</v>
      </c>
      <c r="F73" s="6"/>
      <c r="J73">
        <f t="shared" ref="J73:J80" si="3">J72+1</f>
        <v>2</v>
      </c>
      <c r="K73" s="5">
        <f t="shared" ref="K73:K80" si="4">K72/(1+K72)*(1+LN($K$66/K72))</f>
        <v>-16.533586001935628</v>
      </c>
      <c r="L73">
        <f t="shared" ref="L73:L80" si="5">K73-K72</f>
        <v>0.65244262132495834</v>
      </c>
    </row>
    <row r="74" spans="2:15" x14ac:dyDescent="0.2">
      <c r="B74" t="s">
        <v>81</v>
      </c>
      <c r="J74">
        <f t="shared" si="3"/>
        <v>3</v>
      </c>
      <c r="K74" s="5">
        <f t="shared" si="4"/>
        <v>-16.532799013411129</v>
      </c>
      <c r="L74">
        <f t="shared" si="5"/>
        <v>7.8698852449932133E-4</v>
      </c>
    </row>
    <row r="75" spans="2:15" x14ac:dyDescent="0.2">
      <c r="C75" t="s">
        <v>17</v>
      </c>
      <c r="D75" s="8">
        <f>((D73+D71)*D61-D60)/D73/EXP(D60/D9/D56)</f>
        <v>3.9887034862009879E-9</v>
      </c>
      <c r="E75" t="s">
        <v>4</v>
      </c>
      <c r="J75">
        <f t="shared" si="3"/>
        <v>4</v>
      </c>
      <c r="K75" s="5">
        <f t="shared" si="4"/>
        <v>-16.532799012205309</v>
      </c>
      <c r="L75">
        <f t="shared" si="5"/>
        <v>1.2058194442943204E-9</v>
      </c>
    </row>
    <row r="76" spans="2:15" x14ac:dyDescent="0.2">
      <c r="B76" t="s">
        <v>82</v>
      </c>
      <c r="J76">
        <f t="shared" si="3"/>
        <v>5</v>
      </c>
      <c r="K76" s="5">
        <f t="shared" si="4"/>
        <v>-16.532799012205306</v>
      </c>
      <c r="L76">
        <f t="shared" si="5"/>
        <v>0</v>
      </c>
    </row>
    <row r="77" spans="2:15" x14ac:dyDescent="0.2">
      <c r="C77" t="s">
        <v>19</v>
      </c>
      <c r="D77" s="8">
        <f>(D73+D71)*D61/D73</f>
        <v>2.7044455732393637</v>
      </c>
      <c r="E77" t="s">
        <v>4</v>
      </c>
      <c r="J77">
        <f t="shared" si="3"/>
        <v>6</v>
      </c>
      <c r="K77" s="5">
        <f t="shared" si="4"/>
        <v>-16.532799012205306</v>
      </c>
      <c r="L77">
        <f t="shared" si="5"/>
        <v>0</v>
      </c>
    </row>
    <row r="78" spans="2:15" x14ac:dyDescent="0.2">
      <c r="J78">
        <f t="shared" si="3"/>
        <v>7</v>
      </c>
      <c r="K78" s="5">
        <f t="shared" si="4"/>
        <v>-16.532799012205306</v>
      </c>
      <c r="L78">
        <f t="shared" si="5"/>
        <v>0</v>
      </c>
    </row>
    <row r="79" spans="2:15" x14ac:dyDescent="0.2">
      <c r="B79" t="s">
        <v>110</v>
      </c>
      <c r="J79">
        <f t="shared" si="3"/>
        <v>8</v>
      </c>
      <c r="K79" s="5">
        <f t="shared" si="4"/>
        <v>-16.532799012205306</v>
      </c>
      <c r="L79">
        <f t="shared" si="5"/>
        <v>0</v>
      </c>
    </row>
    <row r="80" spans="2:15" x14ac:dyDescent="0.2">
      <c r="B80" t="s">
        <v>83</v>
      </c>
      <c r="J80">
        <f t="shared" si="3"/>
        <v>9</v>
      </c>
      <c r="K80" s="4">
        <f t="shared" si="4"/>
        <v>-16.532799012205306</v>
      </c>
      <c r="L80">
        <f t="shared" si="5"/>
        <v>0</v>
      </c>
    </row>
    <row r="81" spans="1:69" x14ac:dyDescent="0.2">
      <c r="B81" t="s">
        <v>84</v>
      </c>
    </row>
    <row r="82" spans="1:69" x14ac:dyDescent="0.2">
      <c r="B82" t="s">
        <v>0</v>
      </c>
      <c r="C82" t="s">
        <v>93</v>
      </c>
      <c r="D82" t="s">
        <v>98</v>
      </c>
      <c r="E82" t="s">
        <v>18</v>
      </c>
      <c r="F82" t="s">
        <v>25</v>
      </c>
      <c r="G82" t="s">
        <v>108</v>
      </c>
    </row>
    <row r="83" spans="1:69" x14ac:dyDescent="0.2">
      <c r="A83" t="s">
        <v>94</v>
      </c>
      <c r="B83">
        <v>0</v>
      </c>
      <c r="C83" s="1">
        <f>$D$75*$D$71/$D$56/$D$9/(1+$D$71/$D$73)*EXP(B83/$D$56/$D$9*(1-$D$71/($D$71+$D$73))+($D$75+$D$77)*$D$71/$D$56/$D$9/(1+$D$71/$D$73))</f>
        <v>1.4120296226844132E-9</v>
      </c>
      <c r="D83" s="1">
        <f>J103</f>
        <v>1.4120296206905855E-9</v>
      </c>
      <c r="E83" s="4">
        <f>($D$75+$D$77-B83/$D$73)/(1+$D$71/$D$73)-$D$9*$D$56/$D$71*D83</f>
        <v>2.7025040382130392</v>
      </c>
      <c r="F83">
        <f>B83*E83</f>
        <v>0</v>
      </c>
      <c r="H83" t="s">
        <v>91</v>
      </c>
    </row>
    <row r="84" spans="1:69" x14ac:dyDescent="0.2">
      <c r="A84" t="s">
        <v>85</v>
      </c>
      <c r="B84">
        <f>B87-0.5*B87</f>
        <v>0.23333333333333331</v>
      </c>
      <c r="C84" s="1">
        <f t="shared" ref="C84:C91" si="6">$D$75*$D$71/$D$56/$D$9/(1+$D$71/$D$73)*EXP(B84/$D$56/$D$9*(1-$D$71/($D$71+$D$73))+($D$75+$D$77)*$D$71/$D$56/$D$9/(1+$D$71/$D$73))</f>
        <v>6.6381014087288583E-6</v>
      </c>
      <c r="D84" s="1">
        <f>Q103</f>
        <v>6.638057344777297E-6</v>
      </c>
      <c r="E84" s="4">
        <f t="shared" ref="E84:E91" si="7">($D$75+$D$77-B84/$D$73)/(1+$D$71/$D$73)-$D$9*$D$56/$D$71*D84</f>
        <v>2.672705492267776</v>
      </c>
      <c r="F84">
        <f t="shared" ref="F84:F91" si="8">B84*E84</f>
        <v>0.62363128152914771</v>
      </c>
      <c r="H84" t="s">
        <v>92</v>
      </c>
    </row>
    <row r="85" spans="1:69" x14ac:dyDescent="0.2">
      <c r="A85" t="s">
        <v>86</v>
      </c>
      <c r="B85">
        <f>B87-0.15*B87</f>
        <v>0.39666666666666661</v>
      </c>
      <c r="C85" s="1">
        <f t="shared" si="6"/>
        <v>2.4693573064185218E-3</v>
      </c>
      <c r="D85" s="1">
        <f>X103</f>
        <v>2.4632820684293987E-3</v>
      </c>
      <c r="E85" s="4">
        <f t="shared" si="7"/>
        <v>2.6398315927707485</v>
      </c>
      <c r="F85">
        <f t="shared" si="8"/>
        <v>1.0471331984657302</v>
      </c>
      <c r="H85" t="s">
        <v>71</v>
      </c>
    </row>
    <row r="86" spans="1:69" x14ac:dyDescent="0.2">
      <c r="A86" t="s">
        <v>87</v>
      </c>
      <c r="B86">
        <f>B87-0.05*B87</f>
        <v>0.4433333333333333</v>
      </c>
      <c r="C86" s="1">
        <f t="shared" si="6"/>
        <v>1.3397505690984494E-2</v>
      </c>
      <c r="D86" s="1">
        <f>AE103</f>
        <v>1.3221535946466774E-2</v>
      </c>
      <c r="E86" s="4">
        <f t="shared" si="7"/>
        <v>2.5811623934734689</v>
      </c>
      <c r="F86">
        <f t="shared" si="8"/>
        <v>1.1443153277732379</v>
      </c>
    </row>
    <row r="87" spans="1:69" x14ac:dyDescent="0.2">
      <c r="A87" t="s">
        <v>95</v>
      </c>
      <c r="B87">
        <f>D62</f>
        <v>0.46666666666666662</v>
      </c>
      <c r="C87" s="1">
        <f t="shared" si="6"/>
        <v>3.1206420605254196E-2</v>
      </c>
      <c r="D87" s="1">
        <f>AL103</f>
        <v>3.0275780862040615E-2</v>
      </c>
      <c r="E87" s="4">
        <f t="shared" si="7"/>
        <v>2.4946191187729112</v>
      </c>
      <c r="F87">
        <f t="shared" si="8"/>
        <v>1.1641555887606918</v>
      </c>
      <c r="H87" t="s">
        <v>94</v>
      </c>
      <c r="I87" t="s">
        <v>26</v>
      </c>
      <c r="J87" s="1">
        <f>C83</f>
        <v>1.4120296226844132E-9</v>
      </c>
      <c r="O87" t="s">
        <v>85</v>
      </c>
      <c r="P87" t="s">
        <v>26</v>
      </c>
      <c r="Q87" s="1">
        <f>C84</f>
        <v>6.6381014087288583E-6</v>
      </c>
      <c r="V87" t="s">
        <v>86</v>
      </c>
      <c r="W87" t="s">
        <v>26</v>
      </c>
      <c r="X87" s="1">
        <f>C85</f>
        <v>2.4693573064185218E-3</v>
      </c>
      <c r="AC87" t="s">
        <v>87</v>
      </c>
      <c r="AD87" t="s">
        <v>26</v>
      </c>
      <c r="AE87" s="1">
        <f>C86</f>
        <v>1.3397505690984494E-2</v>
      </c>
      <c r="AJ87" t="s">
        <v>95</v>
      </c>
      <c r="AK87" t="s">
        <v>26</v>
      </c>
      <c r="AL87" s="1">
        <f>C87</f>
        <v>3.1206420605254196E-2</v>
      </c>
      <c r="AQ87" t="s">
        <v>88</v>
      </c>
      <c r="AR87" t="s">
        <v>26</v>
      </c>
      <c r="AS87" s="1">
        <f>C88</f>
        <v>3.695625534787611E-2</v>
      </c>
      <c r="AX87" t="s">
        <v>89</v>
      </c>
      <c r="AY87" t="s">
        <v>26</v>
      </c>
      <c r="AZ87" s="1">
        <f>C89</f>
        <v>5.0531170924096057E-2</v>
      </c>
      <c r="BE87" t="s">
        <v>90</v>
      </c>
      <c r="BF87" t="s">
        <v>26</v>
      </c>
      <c r="BG87" s="1">
        <f>C90</f>
        <v>0.16931053135462668</v>
      </c>
      <c r="BL87" t="s">
        <v>96</v>
      </c>
      <c r="BM87" t="s">
        <v>26</v>
      </c>
      <c r="BN87" s="1">
        <f>C91</f>
        <v>0.91859481067045046</v>
      </c>
    </row>
    <row r="88" spans="1:69" x14ac:dyDescent="0.2">
      <c r="A88" t="s">
        <v>88</v>
      </c>
      <c r="B88">
        <f>B87+0.05*(B91-B87)</f>
        <v>0.47133333333333327</v>
      </c>
      <c r="C88" s="1">
        <f t="shared" si="6"/>
        <v>3.695625534787611E-2</v>
      </c>
      <c r="D88" s="1">
        <f>AS103</f>
        <v>3.5661560252139235E-2</v>
      </c>
      <c r="E88" s="4">
        <f t="shared" si="7"/>
        <v>2.4676332038573392</v>
      </c>
      <c r="F88">
        <f t="shared" si="8"/>
        <v>1.1630777834180923</v>
      </c>
      <c r="I88" t="s">
        <v>29</v>
      </c>
      <c r="J88" t="s">
        <v>30</v>
      </c>
      <c r="K88" t="s">
        <v>33</v>
      </c>
      <c r="L88">
        <f>2.718281828*J87</f>
        <v>3.8382944639407368E-9</v>
      </c>
      <c r="M88">
        <f>L88*LN(1+SQRT(1+L88))/(1+L88+SQRT(1+L88))</f>
        <v>1.3302514909318248E-9</v>
      </c>
      <c r="P88" t="s">
        <v>29</v>
      </c>
      <c r="Q88" t="s">
        <v>30</v>
      </c>
      <c r="R88" t="s">
        <v>33</v>
      </c>
      <c r="S88">
        <f>2.718281828*Q87</f>
        <v>1.8044230431768856E-5</v>
      </c>
      <c r="T88">
        <f>S88*LN(1+SQRT(1+S88))/(1+S88+SQRT(1+S88))</f>
        <v>6.2536097925285271E-6</v>
      </c>
      <c r="W88" t="s">
        <v>29</v>
      </c>
      <c r="X88" t="s">
        <v>30</v>
      </c>
      <c r="Y88" t="s">
        <v>33</v>
      </c>
      <c r="Z88">
        <f>2.718281828*X87</f>
        <v>6.7124090928764955E-3</v>
      </c>
      <c r="AA88">
        <f>Z88*LN(1+SQRT(1+Z88))/(1+Z88+SQRT(1+Z88))</f>
        <v>2.3202871239768434E-3</v>
      </c>
      <c r="AD88" t="s">
        <v>29</v>
      </c>
      <c r="AE88" t="s">
        <v>30</v>
      </c>
      <c r="AF88" t="s">
        <v>33</v>
      </c>
      <c r="AG88">
        <f>2.718281828*AE87</f>
        <v>3.641819626032973E-2</v>
      </c>
      <c r="AH88">
        <f>AG88*LN(1+SQRT(1+AG88))/(1+AG88+SQRT(1+AG88))</f>
        <v>1.2446213150375146E-2</v>
      </c>
      <c r="AK88" t="s">
        <v>29</v>
      </c>
      <c r="AL88" t="s">
        <v>30</v>
      </c>
      <c r="AM88" t="s">
        <v>33</v>
      </c>
      <c r="AN88">
        <f>2.718281828*AL87</f>
        <v>8.4827846048187244E-2</v>
      </c>
      <c r="AO88">
        <f>AN88*LN(1+SQRT(1+AN88))/(1+AN88+SQRT(1+AN88))</f>
        <v>2.8472095762978905E-2</v>
      </c>
      <c r="AR88" t="s">
        <v>29</v>
      </c>
      <c r="AS88" t="s">
        <v>30</v>
      </c>
      <c r="AT88" t="s">
        <v>33</v>
      </c>
      <c r="AU88">
        <f>2.718281828*AS87</f>
        <v>0.10045751734305944</v>
      </c>
      <c r="AV88">
        <f>AU88*LN(1+SQRT(1+AU88))/(1+AU88+SQRT(1+AU88))</f>
        <v>3.3526508353792686E-2</v>
      </c>
      <c r="AY88" t="s">
        <v>29</v>
      </c>
      <c r="AZ88" t="s">
        <v>30</v>
      </c>
      <c r="BA88" t="s">
        <v>33</v>
      </c>
      <c r="BB88">
        <f>2.718281828*AZ87</f>
        <v>0.13735796367053227</v>
      </c>
      <c r="BC88">
        <f>BB88*LN(1+SQRT(1+BB88))/(1+BB88+SQRT(1+BB88))</f>
        <v>4.5239535680541169E-2</v>
      </c>
      <c r="BF88" t="s">
        <v>29</v>
      </c>
      <c r="BG88" t="s">
        <v>30</v>
      </c>
      <c r="BH88" t="s">
        <v>33</v>
      </c>
      <c r="BI88">
        <f>2.718281828*BG87</f>
        <v>0.46023374067030587</v>
      </c>
      <c r="BJ88">
        <f>BI88*LN(1+SQRT(1+BI88))/(1+BI88+SQRT(1+BI88))</f>
        <v>0.13663496757383622</v>
      </c>
      <c r="BM88" t="s">
        <v>29</v>
      </c>
      <c r="BN88" t="s">
        <v>30</v>
      </c>
      <c r="BO88" t="s">
        <v>33</v>
      </c>
      <c r="BP88">
        <f>2.718281828*BN87</f>
        <v>2.4969995811405856</v>
      </c>
      <c r="BQ88">
        <f>BP88*LN(1+SQRT(1+BP88))/(1+BP88+SQRT(1+BP88))</f>
        <v>0.49052114904576949</v>
      </c>
    </row>
    <row r="89" spans="1:69" x14ac:dyDescent="0.2">
      <c r="A89" t="s">
        <v>89</v>
      </c>
      <c r="B89">
        <f>B87+0.15*(B91-B88)</f>
        <v>0.4799666666666666</v>
      </c>
      <c r="C89" s="1">
        <f t="shared" si="6"/>
        <v>5.0531170924096057E-2</v>
      </c>
      <c r="D89" s="1">
        <f>AZ103</f>
        <v>4.8155478580801277E-2</v>
      </c>
      <c r="E89" s="4">
        <f t="shared" si="7"/>
        <v>2.4053110222499492</v>
      </c>
      <c r="F89">
        <f t="shared" si="8"/>
        <v>1.1544691136459004</v>
      </c>
      <c r="J89" t="s">
        <v>31</v>
      </c>
      <c r="K89">
        <f>J87/2.718281828</f>
        <v>5.1945666859838685E-10</v>
      </c>
      <c r="Q89" t="s">
        <v>31</v>
      </c>
      <c r="R89">
        <f>Q87/2.718281828</f>
        <v>2.4420210370949287E-6</v>
      </c>
      <c r="X89" t="s">
        <v>31</v>
      </c>
      <c r="Y89">
        <f>X87/2.718281828</f>
        <v>9.0842578609127273E-4</v>
      </c>
      <c r="AE89" t="s">
        <v>31</v>
      </c>
      <c r="AF89">
        <f>AE87/2.718281828</f>
        <v>4.9286669075229144E-3</v>
      </c>
      <c r="AL89" t="s">
        <v>31</v>
      </c>
      <c r="AM89">
        <f>AL87/2.718281828</f>
        <v>1.1480200575160597E-2</v>
      </c>
      <c r="AS89" t="s">
        <v>31</v>
      </c>
      <c r="AT89">
        <f>AS87/2.718281828</f>
        <v>1.35954465674617E-2</v>
      </c>
      <c r="AZ89" t="s">
        <v>31</v>
      </c>
      <c r="BA89">
        <f>AZ87/2.718281828</f>
        <v>1.8589378924434342E-2</v>
      </c>
      <c r="BG89" t="s">
        <v>31</v>
      </c>
      <c r="BH89">
        <f>BG87/2.718281828</f>
        <v>6.2285863669698446E-2</v>
      </c>
      <c r="BN89" t="s">
        <v>31</v>
      </c>
      <c r="BO89">
        <f>BN87/2.718281828</f>
        <v>0.33793214566949992</v>
      </c>
    </row>
    <row r="90" spans="1:69" x14ac:dyDescent="0.2">
      <c r="A90" t="s">
        <v>90</v>
      </c>
      <c r="B90">
        <f>B87+0.5*(B91-B87)</f>
        <v>0.51333333333333331</v>
      </c>
      <c r="C90" s="1">
        <f t="shared" si="6"/>
        <v>0.16931053135462668</v>
      </c>
      <c r="D90" s="1">
        <f>BG103</f>
        <v>0.14627130969241783</v>
      </c>
      <c r="E90" s="4">
        <f t="shared" si="7"/>
        <v>1.9202818912649102</v>
      </c>
      <c r="F90">
        <f t="shared" si="8"/>
        <v>0.98574470418265392</v>
      </c>
      <c r="J90" t="s">
        <v>32</v>
      </c>
      <c r="K90" t="e">
        <f>LN(J87)-LN(LN(J87))</f>
        <v>#NUM!</v>
      </c>
      <c r="Q90" t="s">
        <v>32</v>
      </c>
      <c r="R90" t="e">
        <f>LN(Q87)-LN(LN(Q87))</f>
        <v>#NUM!</v>
      </c>
      <c r="X90" t="s">
        <v>32</v>
      </c>
      <c r="Y90" t="e">
        <f>LN(X87)-LN(LN(X87))</f>
        <v>#NUM!</v>
      </c>
      <c r="AE90" t="s">
        <v>32</v>
      </c>
      <c r="AF90" t="e">
        <f>LN(AE87)-LN(LN(AE87))</f>
        <v>#NUM!</v>
      </c>
      <c r="AL90" t="s">
        <v>32</v>
      </c>
      <c r="AM90" t="e">
        <f>LN(AL87)-LN(LN(AL87))</f>
        <v>#NUM!</v>
      </c>
      <c r="AS90" t="s">
        <v>32</v>
      </c>
      <c r="AT90" t="e">
        <f>LN(AS87)-LN(LN(AS87))</f>
        <v>#NUM!</v>
      </c>
      <c r="AZ90" t="s">
        <v>32</v>
      </c>
      <c r="BA90" t="e">
        <f>LN(AZ87)-LN(LN(AZ87))</f>
        <v>#NUM!</v>
      </c>
      <c r="BG90" t="s">
        <v>32</v>
      </c>
      <c r="BH90" t="e">
        <f>LN(BG87)-LN(LN(BG87))</f>
        <v>#NUM!</v>
      </c>
      <c r="BN90" t="s">
        <v>32</v>
      </c>
      <c r="BO90" t="e">
        <f>LN(BN87)-LN(LN(BN87))</f>
        <v>#NUM!</v>
      </c>
    </row>
    <row r="91" spans="1:69" x14ac:dyDescent="0.2">
      <c r="A91" t="s">
        <v>96</v>
      </c>
      <c r="B91">
        <f>D60</f>
        <v>0.55999999999999994</v>
      </c>
      <c r="C91" s="1">
        <f t="shared" si="6"/>
        <v>0.91859481067045046</v>
      </c>
      <c r="D91" s="1">
        <f>BN103</f>
        <v>0.53694655614845865</v>
      </c>
      <c r="E91" s="4">
        <f t="shared" si="7"/>
        <v>2.5933490910290402E-9</v>
      </c>
      <c r="F91">
        <f t="shared" si="8"/>
        <v>1.4522754909762624E-9</v>
      </c>
      <c r="I91" t="s">
        <v>97</v>
      </c>
      <c r="J91">
        <f>IF(J87&lt;0,M88,IF(J87&lt;2.718281828,K89,K90))</f>
        <v>5.1945666859838685E-10</v>
      </c>
      <c r="P91" t="s">
        <v>97</v>
      </c>
      <c r="Q91">
        <f>IF(Q87&lt;0,T88,IF(Q87&lt;2.718281828,R89,R90))</f>
        <v>2.4420210370949287E-6</v>
      </c>
      <c r="W91" t="s">
        <v>97</v>
      </c>
      <c r="X91">
        <f>IF(X87&lt;0,AA88,IF(X87&lt;2.718281828,Y89,Y90))</f>
        <v>9.0842578609127273E-4</v>
      </c>
      <c r="AD91" t="s">
        <v>97</v>
      </c>
      <c r="AE91">
        <f>IF(AE87&lt;0,AH88,IF(AE87&lt;2.718281828,AF89,AF90))</f>
        <v>4.9286669075229144E-3</v>
      </c>
      <c r="AK91" t="s">
        <v>97</v>
      </c>
      <c r="AL91">
        <f>IF(AL87&lt;0,AO88,IF(AL87&lt;2.718281828,AM89,AM90))</f>
        <v>1.1480200575160597E-2</v>
      </c>
      <c r="AR91" t="s">
        <v>97</v>
      </c>
      <c r="AS91">
        <f>IF(AS87&lt;0,AV88,IF(AS87&lt;2.718281828,AT89,AT90))</f>
        <v>1.35954465674617E-2</v>
      </c>
      <c r="AY91" t="s">
        <v>97</v>
      </c>
      <c r="AZ91">
        <f>IF(AZ87&lt;0,BC88,IF(AZ87&lt;2.718281828,BA89,BA90))</f>
        <v>1.8589378924434342E-2</v>
      </c>
      <c r="BF91" t="s">
        <v>97</v>
      </c>
      <c r="BG91">
        <f>IF(BG87&lt;0,BJ88,IF(BG87&lt;2.718281828,BH89,BH90))</f>
        <v>6.2285863669698446E-2</v>
      </c>
      <c r="BM91" t="s">
        <v>97</v>
      </c>
      <c r="BN91">
        <f>IF(BN87&lt;0,BQ88,IF(BN87&lt;2.718281828,BO89,BO90))</f>
        <v>0.33793214566949992</v>
      </c>
    </row>
    <row r="92" spans="1:69" x14ac:dyDescent="0.2">
      <c r="A92" t="s">
        <v>99</v>
      </c>
      <c r="B92">
        <v>0</v>
      </c>
      <c r="C92" s="1">
        <f>$D$34*$D$30/$D$22/$D$9/(1+$D$30/$D$32)*EXP(B92/$D$22/$D$9*(1-$D$30/($D$30+$D$32))+($D$34+$D$36)*$D$30/$D$22/$D$9/(1+$D$30/$D$32))</f>
        <v>1.9698964910434757E-10</v>
      </c>
      <c r="D92" s="1">
        <f>J123</f>
        <v>1.9698964906554262E-10</v>
      </c>
      <c r="G92" s="1">
        <f t="shared" ref="G92:G100" si="9">($D$34+$D$36-B92/$D$32)/(1+$D$30/$D$32)-$D$9*$D$22/$D$30*D92</f>
        <v>2.5999999996691852</v>
      </c>
      <c r="I92" t="s">
        <v>13</v>
      </c>
      <c r="J92" t="s">
        <v>27</v>
      </c>
      <c r="K92" t="s">
        <v>24</v>
      </c>
      <c r="P92" t="s">
        <v>13</v>
      </c>
      <c r="Q92" t="s">
        <v>27</v>
      </c>
      <c r="R92" t="s">
        <v>24</v>
      </c>
      <c r="W92" t="s">
        <v>13</v>
      </c>
      <c r="X92" t="s">
        <v>27</v>
      </c>
      <c r="Y92" t="s">
        <v>24</v>
      </c>
      <c r="AD92" t="s">
        <v>13</v>
      </c>
      <c r="AE92" t="s">
        <v>27</v>
      </c>
      <c r="AF92" t="s">
        <v>24</v>
      </c>
      <c r="AK92" t="s">
        <v>13</v>
      </c>
      <c r="AL92" t="s">
        <v>27</v>
      </c>
      <c r="AM92" t="s">
        <v>24</v>
      </c>
      <c r="AR92" t="s">
        <v>13</v>
      </c>
      <c r="AS92" t="s">
        <v>27</v>
      </c>
      <c r="AT92" t="s">
        <v>24</v>
      </c>
      <c r="AY92" t="s">
        <v>13</v>
      </c>
      <c r="AZ92" t="s">
        <v>27</v>
      </c>
      <c r="BA92" t="s">
        <v>24</v>
      </c>
      <c r="BF92" t="s">
        <v>13</v>
      </c>
      <c r="BG92" t="s">
        <v>27</v>
      </c>
      <c r="BH92" t="s">
        <v>24</v>
      </c>
      <c r="BM92" t="s">
        <v>13</v>
      </c>
      <c r="BN92" t="s">
        <v>27</v>
      </c>
      <c r="BO92" t="s">
        <v>24</v>
      </c>
    </row>
    <row r="93" spans="1:69" x14ac:dyDescent="0.2">
      <c r="A93" t="s">
        <v>100</v>
      </c>
      <c r="B93">
        <f>B96-0.5*B96</f>
        <v>0.25</v>
      </c>
      <c r="C93" s="1">
        <f t="shared" ref="C93:C100" si="10">$D$34*$D$30/$D$22/$D$9/(1+$D$30/$D$32)*EXP(B93/$D$22/$D$9*(1-$D$30/($D$30+$D$32))+($D$34+$D$36)*$D$30/$D$22/$D$9/(1+$D$30/$D$32))</f>
        <v>3.0788802046368646E-6</v>
      </c>
      <c r="D93" s="1">
        <f>Q123</f>
        <v>3.0788707251773288E-6</v>
      </c>
      <c r="G93" s="1">
        <f t="shared" si="9"/>
        <v>2.5629739966435969</v>
      </c>
      <c r="I93">
        <v>0</v>
      </c>
      <c r="J93">
        <f>J91</f>
        <v>5.1945666859838685E-10</v>
      </c>
      <c r="P93">
        <v>0</v>
      </c>
      <c r="Q93">
        <f>Q91</f>
        <v>2.4420210370949287E-6</v>
      </c>
      <c r="W93">
        <v>0</v>
      </c>
      <c r="X93">
        <f>X91</f>
        <v>9.0842578609127273E-4</v>
      </c>
      <c r="AD93">
        <v>0</v>
      </c>
      <c r="AE93">
        <f>AE91</f>
        <v>4.9286669075229144E-3</v>
      </c>
      <c r="AK93">
        <v>0</v>
      </c>
      <c r="AL93">
        <f>AL91</f>
        <v>1.1480200575160597E-2</v>
      </c>
      <c r="AR93">
        <v>0</v>
      </c>
      <c r="AS93">
        <f>AS91</f>
        <v>1.35954465674617E-2</v>
      </c>
      <c r="AY93">
        <v>0</v>
      </c>
      <c r="AZ93">
        <f>AZ91</f>
        <v>1.8589378924434342E-2</v>
      </c>
      <c r="BF93">
        <v>0</v>
      </c>
      <c r="BG93">
        <f>BG91</f>
        <v>6.2285863669698446E-2</v>
      </c>
      <c r="BM93">
        <v>0</v>
      </c>
      <c r="BN93">
        <f>BN91</f>
        <v>0.33793214566949992</v>
      </c>
    </row>
    <row r="94" spans="1:69" x14ac:dyDescent="0.2">
      <c r="A94" t="s">
        <v>101</v>
      </c>
      <c r="B94">
        <f>B96-0.15*B96</f>
        <v>0.42499999999999999</v>
      </c>
      <c r="C94" s="1">
        <f t="shared" si="10"/>
        <v>2.6555675966598181E-3</v>
      </c>
      <c r="D94" s="1">
        <f>X123</f>
        <v>2.6485435162171976E-3</v>
      </c>
      <c r="G94" s="1">
        <f t="shared" si="9"/>
        <v>2.5298111754380059</v>
      </c>
      <c r="I94">
        <f>I93+1</f>
        <v>1</v>
      </c>
      <c r="J94" s="1">
        <f>J93/(1+J93)*(1+LN(J87/J93))</f>
        <v>1.038913336569381E-9</v>
      </c>
      <c r="K94">
        <f>J94-J93</f>
        <v>5.1945666797099413E-10</v>
      </c>
      <c r="P94">
        <f>P93+1</f>
        <v>1</v>
      </c>
      <c r="Q94" s="1">
        <f>Q93/(1+Q93)*(1+LN(Q87/Q93))</f>
        <v>4.8840301468731004E-6</v>
      </c>
      <c r="R94">
        <f>Q94-Q93</f>
        <v>2.4420091097781717E-6</v>
      </c>
      <c r="W94">
        <f>W93+1</f>
        <v>1</v>
      </c>
      <c r="X94" s="1">
        <f>X93/(1+X93)*(1+LN(X87/X93))</f>
        <v>1.8152025951846909E-3</v>
      </c>
      <c r="Y94">
        <f>X94-X93</f>
        <v>9.0677680909341822E-4</v>
      </c>
      <c r="AD94">
        <f>AD93+1</f>
        <v>1</v>
      </c>
      <c r="AE94" s="1">
        <f>AE93/(1+AE93)*(1+LN(AE87/AE93))</f>
        <v>9.8089885768186721E-3</v>
      </c>
      <c r="AF94">
        <f>AE94-AE93</f>
        <v>4.8803216692957577E-3</v>
      </c>
      <c r="AK94">
        <f>AK93+1</f>
        <v>1</v>
      </c>
      <c r="AL94" s="1">
        <f>AL93/(1+AL93)*(1+LN(AL87/AL93))</f>
        <v>2.269980285854974E-2</v>
      </c>
      <c r="AM94">
        <f>AL94-AL93</f>
        <v>1.1219602283389142E-2</v>
      </c>
      <c r="AR94">
        <f>AR93+1</f>
        <v>1</v>
      </c>
      <c r="AS94" s="1">
        <f>AS93/(1+AS93)*(1+LN(AS87/AS93))</f>
        <v>2.6826179246078281E-2</v>
      </c>
      <c r="AT94">
        <f>AS94-AS93</f>
        <v>1.3230732678616582E-2</v>
      </c>
      <c r="AY94">
        <f>AY93+1</f>
        <v>1</v>
      </c>
      <c r="AZ94" s="1">
        <f>AZ93/(1+AZ93)*(1+LN(AZ87/AZ93))</f>
        <v>3.6500241034309468E-2</v>
      </c>
      <c r="BA94">
        <f>AZ94-AZ93</f>
        <v>1.7910862109875126E-2</v>
      </c>
      <c r="BF94">
        <f>BF93+1</f>
        <v>1</v>
      </c>
      <c r="BG94" s="1">
        <f>BG93/(1+BG93)*(1+LN(BG87/BG93))</f>
        <v>0.11726761278601761</v>
      </c>
      <c r="BH94">
        <f>BG94-BG93</f>
        <v>5.4981749116319159E-2</v>
      </c>
      <c r="BM94">
        <f>BM93+1</f>
        <v>1</v>
      </c>
      <c r="BN94" s="1">
        <f>BN93/(1+BN93)*(1+LN(BN87/BN93))</f>
        <v>0.50515588063976913</v>
      </c>
      <c r="BO94">
        <f>BN94-BN93</f>
        <v>0.16722373497026921</v>
      </c>
    </row>
    <row r="95" spans="1:69" x14ac:dyDescent="0.2">
      <c r="A95" t="s">
        <v>102</v>
      </c>
      <c r="B95">
        <f>B96-0.05*B96</f>
        <v>0.47499999999999998</v>
      </c>
      <c r="C95" s="1">
        <f t="shared" si="10"/>
        <v>1.8320918285310767E-2</v>
      </c>
      <c r="D95" s="1">
        <f>AE123</f>
        <v>1.7994196446825768E-2</v>
      </c>
      <c r="G95" s="1">
        <f t="shared" si="9"/>
        <v>2.480349247740107</v>
      </c>
      <c r="I95">
        <f t="shared" ref="I95:I102" si="11">I94+1</f>
        <v>2</v>
      </c>
      <c r="J95" s="1">
        <f>J94/(1+J94)*(1+LN(J87/J94))</f>
        <v>1.3577068220909781E-9</v>
      </c>
      <c r="K95">
        <f t="shared" ref="K95:K102" si="12">J95-J94</f>
        <v>3.1879348552159715E-10</v>
      </c>
      <c r="P95">
        <f t="shared" ref="P95:P102" si="13">P94+1</f>
        <v>2</v>
      </c>
      <c r="Q95" s="1">
        <f>Q94/(1+Q94)*(1+LN(Q87/Q94))</f>
        <v>6.3826893209016836E-6</v>
      </c>
      <c r="R95">
        <f t="shared" ref="R95:R102" si="14">Q95-Q94</f>
        <v>1.4986591740285832E-6</v>
      </c>
      <c r="W95">
        <f t="shared" ref="W95:W102" si="15">W94+1</f>
        <v>2</v>
      </c>
      <c r="X95" s="1">
        <f>X94/(1+X94)*(1+LN(X87/X94))</f>
        <v>2.3695496448651629E-3</v>
      </c>
      <c r="Y95">
        <f t="shared" ref="Y95:Y102" si="16">X95-X94</f>
        <v>5.5434704968047193E-4</v>
      </c>
      <c r="AD95">
        <f t="shared" ref="AD95:AD102" si="17">AD94+1</f>
        <v>2</v>
      </c>
      <c r="AE95" s="1">
        <f>AE94/(1+AE94)*(1+LN(AE87/AE94))</f>
        <v>1.274214332693566E-2</v>
      </c>
      <c r="AF95">
        <f t="shared" ref="AF95:AF102" si="18">AE95-AE94</f>
        <v>2.9331547501169879E-3</v>
      </c>
      <c r="AK95">
        <f t="shared" ref="AK95:AK102" si="19">AK94+1</f>
        <v>2</v>
      </c>
      <c r="AL95" s="1">
        <f>AL94/(1+AL94)*(1+LN(AL87/AL94))</f>
        <v>2.9260214054237565E-2</v>
      </c>
      <c r="AM95">
        <f t="shared" ref="AM95:AM102" si="20">AL95-AL94</f>
        <v>6.5604111956878257E-3</v>
      </c>
      <c r="AR95">
        <f t="shared" ref="AR95:AR102" si="21">AR94+1</f>
        <v>2</v>
      </c>
      <c r="AS95" s="1">
        <f>AS94/(1+AS94)*(1+LN(AS87/AS94))</f>
        <v>3.4494762212690135E-2</v>
      </c>
      <c r="AT95">
        <f t="shared" ref="AT95:AT102" si="22">AS95-AS94</f>
        <v>7.6685829666118532E-3</v>
      </c>
      <c r="AY95">
        <f t="shared" ref="AY95:AY102" si="23">AY94+1</f>
        <v>2</v>
      </c>
      <c r="AZ95" s="1">
        <f>AZ94/(1+AZ94)*(1+LN(AZ87/AZ94))</f>
        <v>4.6669289865720907E-2</v>
      </c>
      <c r="BA95">
        <f t="shared" ref="BA95:BA102" si="24">AZ95-AZ94</f>
        <v>1.016904883141144E-2</v>
      </c>
      <c r="BF95">
        <f t="shared" ref="BF95:BF102" si="25">BF94+1</f>
        <v>2</v>
      </c>
      <c r="BG95" s="1">
        <f>BG94/(1+BG94)*(1+LN(BG87/BG94))</f>
        <v>0.14350830250926769</v>
      </c>
      <c r="BH95">
        <f t="shared" ref="BH95:BH102" si="26">BG95-BG94</f>
        <v>2.6240689723250082E-2</v>
      </c>
      <c r="BM95">
        <f t="shared" ref="BM95:BM102" si="27">BM94+1</f>
        <v>2</v>
      </c>
      <c r="BN95" s="1">
        <f>BN94/(1+BN94)*(1+LN(BN87/BN94))</f>
        <v>0.53630858293225669</v>
      </c>
      <c r="BO95">
        <f t="shared" ref="BO95:BO102" si="28">BN95-BN94</f>
        <v>3.1152702292487566E-2</v>
      </c>
    </row>
    <row r="96" spans="1:69" x14ac:dyDescent="0.2">
      <c r="A96" t="s">
        <v>103</v>
      </c>
      <c r="B96">
        <f>D7</f>
        <v>0.5</v>
      </c>
      <c r="C96" s="1">
        <f t="shared" si="10"/>
        <v>4.8121834612149299E-2</v>
      </c>
      <c r="D96" s="1">
        <f>AL123</f>
        <v>4.5960200508417391E-2</v>
      </c>
      <c r="G96" s="1">
        <f t="shared" si="9"/>
        <v>2.4000000001998951</v>
      </c>
      <c r="I96">
        <f t="shared" si="11"/>
        <v>3</v>
      </c>
      <c r="J96" s="1">
        <f>J95/(1+J95)*(1+LN(J87/J95))</f>
        <v>1.4109710188706428E-9</v>
      </c>
      <c r="K96">
        <f t="shared" si="12"/>
        <v>5.3264196779664667E-11</v>
      </c>
      <c r="P96">
        <f t="shared" si="13"/>
        <v>3</v>
      </c>
      <c r="Q96" s="1">
        <f>Q95/(1+Q95)*(1+LN(Q87/Q95))</f>
        <v>6.6330811053999635E-6</v>
      </c>
      <c r="R96">
        <f t="shared" si="14"/>
        <v>2.5039178449827986E-7</v>
      </c>
      <c r="W96">
        <f t="shared" si="15"/>
        <v>3</v>
      </c>
      <c r="X96" s="1">
        <f>X95/(1+X95)*(1+LN(X87/X95))</f>
        <v>2.4614799326171809E-3</v>
      </c>
      <c r="Y96">
        <f t="shared" si="16"/>
        <v>9.193028775201801E-5</v>
      </c>
      <c r="AD96">
        <f t="shared" si="17"/>
        <v>3</v>
      </c>
      <c r="AE96" s="1">
        <f>AE95/(1+AE95)*(1+LN(AE87/AE95))</f>
        <v>1.3212848633020687E-2</v>
      </c>
      <c r="AF96">
        <f t="shared" si="18"/>
        <v>4.707053060850272E-4</v>
      </c>
      <c r="AK96">
        <f t="shared" si="19"/>
        <v>3</v>
      </c>
      <c r="AL96" s="1">
        <f>AL95/(1+AL95)*(1+LN(AL87/AL95))</f>
        <v>3.0259043859541399E-2</v>
      </c>
      <c r="AM96">
        <f t="shared" si="20"/>
        <v>9.9882980530383372E-4</v>
      </c>
      <c r="AR96">
        <f t="shared" si="21"/>
        <v>3</v>
      </c>
      <c r="AS96" s="1">
        <f>AS95/(1+AS95)*(1+LN(AS87/AS95))</f>
        <v>3.5642904111898743E-2</v>
      </c>
      <c r="AT96">
        <f t="shared" si="22"/>
        <v>1.1481418992086087E-3</v>
      </c>
      <c r="AY96">
        <f t="shared" si="23"/>
        <v>3</v>
      </c>
      <c r="AZ96" s="1">
        <f>AZ95/(1+AZ95)*(1+LN(AZ87/AZ95))</f>
        <v>4.8133338601324183E-2</v>
      </c>
      <c r="BA96">
        <f t="shared" si="24"/>
        <v>1.4640487356032753E-3</v>
      </c>
      <c r="BF96">
        <f t="shared" si="25"/>
        <v>3</v>
      </c>
      <c r="BG96" s="1">
        <f>BG95/(1+BG95)*(1+LN(BG87/BG95))</f>
        <v>0.14624834357944663</v>
      </c>
      <c r="BH96">
        <f t="shared" si="26"/>
        <v>2.7400410701789446E-3</v>
      </c>
      <c r="BM96">
        <f t="shared" si="27"/>
        <v>3</v>
      </c>
      <c r="BN96" s="1">
        <f>BN95/(1+BN95)*(1+LN(BN87/BN95))</f>
        <v>0.53694630935283783</v>
      </c>
      <c r="BO96">
        <f t="shared" si="28"/>
        <v>6.377264205811306E-4</v>
      </c>
    </row>
    <row r="97" spans="1:69" x14ac:dyDescent="0.2">
      <c r="A97" t="s">
        <v>104</v>
      </c>
      <c r="B97">
        <f>B96+0.05*(B100-B96)</f>
        <v>0.505</v>
      </c>
      <c r="C97" s="1">
        <f t="shared" si="10"/>
        <v>5.8374229854729787E-2</v>
      </c>
      <c r="D97" s="1">
        <f>AS123</f>
        <v>5.5237235777620082E-2</v>
      </c>
      <c r="G97" s="1">
        <f t="shared" si="9"/>
        <v>2.3738337254808433</v>
      </c>
      <c r="I97">
        <f t="shared" si="11"/>
        <v>4</v>
      </c>
      <c r="J97" s="1">
        <f>J96/(1+J96)*(1+LN(J87/J96))</f>
        <v>1.4120292237732867E-9</v>
      </c>
      <c r="K97">
        <f t="shared" si="12"/>
        <v>1.0582049026439036E-12</v>
      </c>
      <c r="P97">
        <f t="shared" si="13"/>
        <v>4</v>
      </c>
      <c r="Q97" s="1">
        <f>Q96/(1+Q96)*(1+LN(Q87/Q96))</f>
        <v>6.6380554790971013E-6</v>
      </c>
      <c r="R97">
        <f t="shared" si="14"/>
        <v>4.9743736971378198E-9</v>
      </c>
      <c r="W97">
        <f t="shared" si="15"/>
        <v>4</v>
      </c>
      <c r="X97" s="1">
        <f>X96/(1+X96)*(1+LN(X87/X96))</f>
        <v>2.4632814106668602E-3</v>
      </c>
      <c r="Y97">
        <f t="shared" si="16"/>
        <v>1.8014780496793288E-6</v>
      </c>
      <c r="AD97">
        <f t="shared" si="17"/>
        <v>4</v>
      </c>
      <c r="AE97" s="1">
        <f>AE96/(1+AE96)*(1+LN(AE87/AE96))</f>
        <v>1.3221533129034218E-2</v>
      </c>
      <c r="AF97">
        <f t="shared" si="18"/>
        <v>8.6844960135307181E-6</v>
      </c>
      <c r="AK97">
        <f t="shared" si="19"/>
        <v>4</v>
      </c>
      <c r="AL97" s="1">
        <f>AL96/(1+AL96)*(1+LN(AL87/AL96))</f>
        <v>3.0275776370827935E-2</v>
      </c>
      <c r="AM97">
        <f t="shared" si="20"/>
        <v>1.6732511286535884E-5</v>
      </c>
      <c r="AR97">
        <f t="shared" si="21"/>
        <v>4</v>
      </c>
      <c r="AS97" s="1">
        <f>AS96/(1+AS96)*(1+LN(AS87/AS96))</f>
        <v>3.5661555539339654E-2</v>
      </c>
      <c r="AT97">
        <f t="shared" si="22"/>
        <v>1.8651427440910529E-5</v>
      </c>
      <c r="AY97">
        <f t="shared" si="23"/>
        <v>4</v>
      </c>
      <c r="AZ97" s="1">
        <f>AZ96/(1+AZ96)*(1+LN(AZ87/AZ96))</f>
        <v>4.8155473724241248E-2</v>
      </c>
      <c r="BA97">
        <f t="shared" si="24"/>
        <v>2.2135122917064931E-5</v>
      </c>
      <c r="BF97">
        <f t="shared" si="25"/>
        <v>4</v>
      </c>
      <c r="BG97" s="1">
        <f>BG96/(1+BG96)*(1+LN(BG87/BG96))</f>
        <v>0.14627130811941372</v>
      </c>
      <c r="BH97">
        <f t="shared" si="26"/>
        <v>2.2964539967085251E-5</v>
      </c>
      <c r="BM97">
        <f t="shared" si="27"/>
        <v>4</v>
      </c>
      <c r="BN97" s="1">
        <f>BN96/(1+BN96)*(1+LN(BN87/BN96))</f>
        <v>0.53694655614842168</v>
      </c>
      <c r="BO97">
        <f t="shared" si="28"/>
        <v>2.4679558385809486E-7</v>
      </c>
    </row>
    <row r="98" spans="1:69" x14ac:dyDescent="0.2">
      <c r="A98" t="s">
        <v>105</v>
      </c>
      <c r="B98">
        <f>B96+0.15*(B100-B97)</f>
        <v>0.51424999999999998</v>
      </c>
      <c r="C98" s="1">
        <f t="shared" si="10"/>
        <v>8.3444418223868888E-2</v>
      </c>
      <c r="D98" s="1">
        <f>AZ123</f>
        <v>7.7241670856963818E-2</v>
      </c>
      <c r="G98" s="1">
        <f t="shared" si="9"/>
        <v>2.3121556834059782</v>
      </c>
      <c r="I98">
        <f t="shared" si="11"/>
        <v>5</v>
      </c>
      <c r="J98" s="1">
        <f>J97/(1+J97)*(1+LN(J87/J97))</f>
        <v>1.4120296206905296E-9</v>
      </c>
      <c r="K98">
        <f t="shared" si="12"/>
        <v>3.9691724294792573E-16</v>
      </c>
      <c r="P98">
        <f t="shared" si="13"/>
        <v>5</v>
      </c>
      <c r="Q98" s="1">
        <f>Q97/(1+Q97)*(1+LN(Q87/Q97))</f>
        <v>6.6380573447770353E-6</v>
      </c>
      <c r="R98">
        <f t="shared" si="14"/>
        <v>1.8656799339822013E-12</v>
      </c>
      <c r="W98">
        <f t="shared" si="15"/>
        <v>5</v>
      </c>
      <c r="X98" s="1">
        <f>X97/(1+X97)*(1+LN(X87/X97))</f>
        <v>2.4632820684293111E-3</v>
      </c>
      <c r="Y98">
        <f t="shared" si="16"/>
        <v>6.5776245084317453E-10</v>
      </c>
      <c r="AD98">
        <f t="shared" si="17"/>
        <v>5</v>
      </c>
      <c r="AE98" s="1">
        <f>AE97/(1+AE97)*(1+LN(AE87/AE97))</f>
        <v>1.3221535946466479E-2</v>
      </c>
      <c r="AF98">
        <f t="shared" si="18"/>
        <v>2.8174322614510361E-9</v>
      </c>
      <c r="AK98">
        <f t="shared" si="19"/>
        <v>5</v>
      </c>
      <c r="AL98" s="1">
        <f>AL97/(1+AL97)*(1+LN(AL87/AL97))</f>
        <v>3.0275780862040282E-2</v>
      </c>
      <c r="AM98">
        <f t="shared" si="20"/>
        <v>4.4912123464690978E-9</v>
      </c>
      <c r="AR98">
        <f t="shared" si="21"/>
        <v>5</v>
      </c>
      <c r="AS98" s="1">
        <f>AS97/(1+AS97)*(1+LN(AS87/AS97))</f>
        <v>3.566156025213895E-2</v>
      </c>
      <c r="AT98">
        <f t="shared" si="22"/>
        <v>4.7127992966466969E-9</v>
      </c>
      <c r="AY98">
        <f t="shared" si="23"/>
        <v>5</v>
      </c>
      <c r="AZ98" s="1">
        <f>AZ97/(1+AZ97)*(1+LN(AZ87/AZ97))</f>
        <v>4.8155478580801041E-2</v>
      </c>
      <c r="BA98">
        <f t="shared" si="24"/>
        <v>4.8565597932093141E-9</v>
      </c>
      <c r="BF98">
        <f t="shared" si="25"/>
        <v>5</v>
      </c>
      <c r="BG98" s="1">
        <f>BG97/(1+BG97)*(1+LN(BG87/BG97))</f>
        <v>0.14627130969241781</v>
      </c>
      <c r="BH98">
        <f t="shared" si="26"/>
        <v>1.5730040880956864E-9</v>
      </c>
      <c r="BM98">
        <f t="shared" si="27"/>
        <v>5</v>
      </c>
      <c r="BN98" s="1">
        <f>BN97/(1+BN97)*(1+LN(BN87/BN97))</f>
        <v>0.53694655614845865</v>
      </c>
      <c r="BO98">
        <f t="shared" si="28"/>
        <v>3.6970426720017713E-14</v>
      </c>
    </row>
    <row r="99" spans="1:69" x14ac:dyDescent="0.2">
      <c r="A99" t="s">
        <v>106</v>
      </c>
      <c r="B99">
        <f>B96+0.5*(B100-B96)</f>
        <v>0.55000000000000004</v>
      </c>
      <c r="C99" s="1">
        <f t="shared" si="10"/>
        <v>0.33199538990359528</v>
      </c>
      <c r="D99" s="1">
        <f>BG123</f>
        <v>0.25680480403710593</v>
      </c>
      <c r="G99" s="1">
        <f t="shared" si="9"/>
        <v>1.8147266627749445</v>
      </c>
      <c r="I99">
        <f t="shared" si="11"/>
        <v>6</v>
      </c>
      <c r="J99" s="1">
        <f>J98/(1+J98)*(1+LN(J87/J98))</f>
        <v>1.4120296206905855E-9</v>
      </c>
      <c r="K99">
        <f t="shared" si="12"/>
        <v>5.5834691347329368E-23</v>
      </c>
      <c r="P99">
        <f t="shared" si="13"/>
        <v>6</v>
      </c>
      <c r="Q99" s="1">
        <f>Q98/(1+Q98)*(1+LN(Q87/Q98))</f>
        <v>6.638057344777297E-6</v>
      </c>
      <c r="R99">
        <f t="shared" si="14"/>
        <v>2.617331807015788E-19</v>
      </c>
      <c r="W99">
        <f t="shared" si="15"/>
        <v>6</v>
      </c>
      <c r="X99" s="1">
        <f>X98/(1+X98)*(1+LN(X87/X98))</f>
        <v>2.4632820684293982E-3</v>
      </c>
      <c r="Y99">
        <f t="shared" si="16"/>
        <v>8.7169854667834556E-17</v>
      </c>
      <c r="AD99">
        <f t="shared" si="17"/>
        <v>6</v>
      </c>
      <c r="AE99" s="1">
        <f>AE98/(1+AE98)*(1+LN(AE87/AE98))</f>
        <v>1.3221535946466774E-2</v>
      </c>
      <c r="AF99">
        <f t="shared" si="18"/>
        <v>2.9490299091605721E-16</v>
      </c>
      <c r="AK99">
        <f t="shared" si="19"/>
        <v>6</v>
      </c>
      <c r="AL99" s="1">
        <f>AL98/(1+AL98)*(1+LN(AL87/AL98))</f>
        <v>3.0275780862040615E-2</v>
      </c>
      <c r="AM99">
        <f t="shared" si="20"/>
        <v>3.3306690738754696E-16</v>
      </c>
      <c r="AR99">
        <f t="shared" si="21"/>
        <v>6</v>
      </c>
      <c r="AS99" s="1">
        <f>AS98/(1+AS98)*(1+LN(AS87/AS98))</f>
        <v>3.5661560252139249E-2</v>
      </c>
      <c r="AT99">
        <f t="shared" si="22"/>
        <v>2.9837243786801082E-16</v>
      </c>
      <c r="AY99">
        <f t="shared" si="23"/>
        <v>6</v>
      </c>
      <c r="AZ99" s="1">
        <f>AZ98/(1+AZ98)*(1+LN(AZ87/AZ98))</f>
        <v>4.8155478580801291E-2</v>
      </c>
      <c r="BA99">
        <f t="shared" si="24"/>
        <v>2.4980018054066022E-16</v>
      </c>
      <c r="BF99">
        <f t="shared" si="25"/>
        <v>6</v>
      </c>
      <c r="BG99" s="1">
        <f>BG98/(1+BG98)*(1+LN(BG87/BG98))</f>
        <v>0.14627130969241783</v>
      </c>
      <c r="BH99">
        <f t="shared" si="26"/>
        <v>0</v>
      </c>
      <c r="BM99">
        <f t="shared" si="27"/>
        <v>6</v>
      </c>
      <c r="BN99" s="1">
        <f>BN98/(1+BN98)*(1+LN(BN87/BN98))</f>
        <v>0.53694655614845865</v>
      </c>
      <c r="BO99">
        <f t="shared" si="28"/>
        <v>0</v>
      </c>
    </row>
    <row r="100" spans="1:69" x14ac:dyDescent="0.2">
      <c r="A100" t="s">
        <v>107</v>
      </c>
      <c r="B100">
        <f>D5</f>
        <v>0.6</v>
      </c>
      <c r="C100" s="1">
        <f t="shared" si="10"/>
        <v>2.2904558773703121</v>
      </c>
      <c r="D100" s="1">
        <f>BN123</f>
        <v>0.91623417177668054</v>
      </c>
      <c r="G100" s="1">
        <f t="shared" si="9"/>
        <v>1.0911271886016038E-10</v>
      </c>
      <c r="I100">
        <f t="shared" si="11"/>
        <v>7</v>
      </c>
      <c r="J100" s="1">
        <f>J99/(1+J99)*(1+LN(J87/J99))</f>
        <v>1.4120296206905855E-9</v>
      </c>
      <c r="K100">
        <f t="shared" si="12"/>
        <v>0</v>
      </c>
      <c r="P100">
        <f t="shared" si="13"/>
        <v>7</v>
      </c>
      <c r="Q100" s="1">
        <f>Q99/(1+Q99)*(1+LN(Q87/Q99))</f>
        <v>6.638057344777297E-6</v>
      </c>
      <c r="R100">
        <f t="shared" si="14"/>
        <v>0</v>
      </c>
      <c r="W100">
        <f t="shared" si="15"/>
        <v>7</v>
      </c>
      <c r="X100" s="1">
        <f>X99/(1+X99)*(1+LN(X87/X99))</f>
        <v>2.4632820684293987E-3</v>
      </c>
      <c r="Y100">
        <f t="shared" si="16"/>
        <v>0</v>
      </c>
      <c r="AD100">
        <f t="shared" si="17"/>
        <v>7</v>
      </c>
      <c r="AE100" s="1">
        <f>AE99/(1+AE99)*(1+LN(AE87/AE99))</f>
        <v>1.3221535946466774E-2</v>
      </c>
      <c r="AF100">
        <f t="shared" si="18"/>
        <v>0</v>
      </c>
      <c r="AK100">
        <f t="shared" si="19"/>
        <v>7</v>
      </c>
      <c r="AL100" s="1">
        <f>AL99/(1+AL99)*(1+LN(AL87/AL99))</f>
        <v>3.0275780862040615E-2</v>
      </c>
      <c r="AM100">
        <f t="shared" si="20"/>
        <v>0</v>
      </c>
      <c r="AR100">
        <f t="shared" si="21"/>
        <v>7</v>
      </c>
      <c r="AS100" s="1">
        <f>AS99/(1+AS99)*(1+LN(AS87/AS99))</f>
        <v>3.5661560252139235E-2</v>
      </c>
      <c r="AT100">
        <f t="shared" si="22"/>
        <v>0</v>
      </c>
      <c r="AY100">
        <f t="shared" si="23"/>
        <v>7</v>
      </c>
      <c r="AZ100" s="1">
        <f>AZ99/(1+AZ99)*(1+LN(AZ87/AZ99))</f>
        <v>4.8155478580801277E-2</v>
      </c>
      <c r="BA100">
        <f t="shared" si="24"/>
        <v>0</v>
      </c>
      <c r="BF100">
        <f t="shared" si="25"/>
        <v>7</v>
      </c>
      <c r="BG100" s="1">
        <f>BG99/(1+BG99)*(1+LN(BG87/BG99))</f>
        <v>0.14627130969241783</v>
      </c>
      <c r="BH100">
        <f t="shared" si="26"/>
        <v>0</v>
      </c>
      <c r="BM100">
        <f t="shared" si="27"/>
        <v>7</v>
      </c>
      <c r="BN100" s="1">
        <f>BN99/(1+BN99)*(1+LN(BN87/BN99))</f>
        <v>0.53694655614845865</v>
      </c>
      <c r="BO100">
        <f t="shared" si="28"/>
        <v>0</v>
      </c>
    </row>
    <row r="101" spans="1:69" x14ac:dyDescent="0.2">
      <c r="E101" s="1"/>
      <c r="I101">
        <f t="shared" si="11"/>
        <v>8</v>
      </c>
      <c r="J101" s="1">
        <f>J100/(1+J100)*(1+LN(J87/J100))</f>
        <v>1.4120296206905855E-9</v>
      </c>
      <c r="K101">
        <f t="shared" si="12"/>
        <v>0</v>
      </c>
      <c r="P101">
        <f t="shared" si="13"/>
        <v>8</v>
      </c>
      <c r="Q101" s="1">
        <f>Q100/(1+Q100)*(1+LN(Q87/Q100))</f>
        <v>6.638057344777297E-6</v>
      </c>
      <c r="R101">
        <f t="shared" si="14"/>
        <v>0</v>
      </c>
      <c r="W101">
        <f t="shared" si="15"/>
        <v>8</v>
      </c>
      <c r="X101" s="1">
        <f>X100/(1+X100)*(1+LN(X87/X100))</f>
        <v>2.4632820684293987E-3</v>
      </c>
      <c r="Y101">
        <f t="shared" si="16"/>
        <v>0</v>
      </c>
      <c r="AD101">
        <f t="shared" si="17"/>
        <v>8</v>
      </c>
      <c r="AE101" s="1">
        <f>AE100/(1+AE100)*(1+LN(AE87/AE100))</f>
        <v>1.3221535946466774E-2</v>
      </c>
      <c r="AF101">
        <f t="shared" si="18"/>
        <v>0</v>
      </c>
      <c r="AK101">
        <f t="shared" si="19"/>
        <v>8</v>
      </c>
      <c r="AL101" s="1">
        <f>AL100/(1+AL100)*(1+LN(AL87/AL100))</f>
        <v>3.0275780862040615E-2</v>
      </c>
      <c r="AM101">
        <f t="shared" si="20"/>
        <v>0</v>
      </c>
      <c r="AR101">
        <f t="shared" si="21"/>
        <v>8</v>
      </c>
      <c r="AS101" s="1">
        <f>AS100/(1+AS100)*(1+LN(AS87/AS100))</f>
        <v>3.5661560252139249E-2</v>
      </c>
      <c r="AT101">
        <f t="shared" si="22"/>
        <v>0</v>
      </c>
      <c r="AY101">
        <f t="shared" si="23"/>
        <v>8</v>
      </c>
      <c r="AZ101" s="1">
        <f>AZ100/(1+AZ100)*(1+LN(AZ87/AZ100))</f>
        <v>4.8155478580801277E-2</v>
      </c>
      <c r="BA101">
        <f t="shared" si="24"/>
        <v>0</v>
      </c>
      <c r="BF101">
        <f t="shared" si="25"/>
        <v>8</v>
      </c>
      <c r="BG101" s="1">
        <f>BG100/(1+BG100)*(1+LN(BG87/BG100))</f>
        <v>0.14627130969241783</v>
      </c>
      <c r="BH101">
        <f t="shared" si="26"/>
        <v>0</v>
      </c>
      <c r="BM101">
        <f t="shared" si="27"/>
        <v>8</v>
      </c>
      <c r="BN101" s="1">
        <f>BN100/(1+BN100)*(1+LN(BN87/BN100))</f>
        <v>0.53694655614845865</v>
      </c>
      <c r="BO101">
        <f t="shared" si="28"/>
        <v>0</v>
      </c>
    </row>
    <row r="102" spans="1:69" x14ac:dyDescent="0.2">
      <c r="B102" t="s">
        <v>111</v>
      </c>
      <c r="E102" s="1"/>
      <c r="I102">
        <f t="shared" si="11"/>
        <v>9</v>
      </c>
      <c r="J102" s="1">
        <f>J101/(1+J101)*(1+LN(J87/J101))</f>
        <v>1.4120296206905855E-9</v>
      </c>
      <c r="K102">
        <f t="shared" si="12"/>
        <v>0</v>
      </c>
      <c r="P102">
        <f t="shared" si="13"/>
        <v>9</v>
      </c>
      <c r="Q102" s="1">
        <f>Q101/(1+Q101)*(1+LN(Q87/Q101))</f>
        <v>6.638057344777297E-6</v>
      </c>
      <c r="R102">
        <f t="shared" si="14"/>
        <v>0</v>
      </c>
      <c r="W102">
        <f t="shared" si="15"/>
        <v>9</v>
      </c>
      <c r="X102" s="1">
        <f>X101/(1+X101)*(1+LN(X87/X101))</f>
        <v>2.4632820684293987E-3</v>
      </c>
      <c r="Y102">
        <f t="shared" si="16"/>
        <v>0</v>
      </c>
      <c r="AD102">
        <f t="shared" si="17"/>
        <v>9</v>
      </c>
      <c r="AE102" s="1">
        <f>AE101/(1+AE101)*(1+LN(AE87/AE101))</f>
        <v>1.3221535946466774E-2</v>
      </c>
      <c r="AF102">
        <f t="shared" si="18"/>
        <v>0</v>
      </c>
      <c r="AK102">
        <f t="shared" si="19"/>
        <v>9</v>
      </c>
      <c r="AL102" s="1">
        <f>AL101/(1+AL101)*(1+LN(AL87/AL101))</f>
        <v>3.0275780862040615E-2</v>
      </c>
      <c r="AM102">
        <f t="shared" si="20"/>
        <v>0</v>
      </c>
      <c r="AR102">
        <f t="shared" si="21"/>
        <v>9</v>
      </c>
      <c r="AS102" s="1">
        <f>AS101/(1+AS101)*(1+LN(AS87/AS101))</f>
        <v>3.5661560252139235E-2</v>
      </c>
      <c r="AT102">
        <f t="shared" si="22"/>
        <v>0</v>
      </c>
      <c r="AY102">
        <f t="shared" si="23"/>
        <v>9</v>
      </c>
      <c r="AZ102" s="1">
        <f>AZ101/(1+AZ101)*(1+LN(AZ87/AZ101))</f>
        <v>4.8155478580801277E-2</v>
      </c>
      <c r="BA102">
        <f t="shared" si="24"/>
        <v>0</v>
      </c>
      <c r="BF102">
        <f t="shared" si="25"/>
        <v>9</v>
      </c>
      <c r="BG102" s="1">
        <f>BG101/(1+BG101)*(1+LN(BG87/BG101))</f>
        <v>0.14627130969241783</v>
      </c>
      <c r="BH102">
        <f t="shared" si="26"/>
        <v>0</v>
      </c>
      <c r="BM102">
        <f t="shared" si="27"/>
        <v>9</v>
      </c>
      <c r="BN102" s="1">
        <f>BN101/(1+BN101)*(1+LN(BN87/BN101))</f>
        <v>0.53694655614845865</v>
      </c>
      <c r="BO102">
        <f t="shared" si="28"/>
        <v>0</v>
      </c>
    </row>
    <row r="103" spans="1:69" x14ac:dyDescent="0.2">
      <c r="E103" s="1"/>
      <c r="I103" t="s">
        <v>98</v>
      </c>
      <c r="J103" s="1">
        <f>J102</f>
        <v>1.4120296206905855E-9</v>
      </c>
      <c r="P103" t="s">
        <v>98</v>
      </c>
      <c r="Q103" s="1">
        <f>Q102</f>
        <v>6.638057344777297E-6</v>
      </c>
      <c r="W103" t="s">
        <v>98</v>
      </c>
      <c r="X103" s="1">
        <f>X102</f>
        <v>2.4632820684293987E-3</v>
      </c>
      <c r="AD103" t="s">
        <v>98</v>
      </c>
      <c r="AE103" s="1">
        <f>AE102</f>
        <v>1.3221535946466774E-2</v>
      </c>
      <c r="AK103" t="s">
        <v>98</v>
      </c>
      <c r="AL103" s="1">
        <f>AL102</f>
        <v>3.0275780862040615E-2</v>
      </c>
      <c r="AR103" t="s">
        <v>98</v>
      </c>
      <c r="AS103" s="1">
        <f>AS102</f>
        <v>3.5661560252139235E-2</v>
      </c>
      <c r="AY103" t="s">
        <v>98</v>
      </c>
      <c r="AZ103" s="1">
        <f>AZ102</f>
        <v>4.8155478580801277E-2</v>
      </c>
      <c r="BF103" t="s">
        <v>98</v>
      </c>
      <c r="BG103" s="1">
        <f>BG102</f>
        <v>0.14627130969241783</v>
      </c>
      <c r="BM103" t="s">
        <v>98</v>
      </c>
      <c r="BN103" s="1">
        <f>BN102</f>
        <v>0.53694655614845865</v>
      </c>
    </row>
    <row r="105" spans="1:69" x14ac:dyDescent="0.2">
      <c r="H105" t="s">
        <v>109</v>
      </c>
    </row>
    <row r="107" spans="1:69" x14ac:dyDescent="0.2">
      <c r="H107" t="s">
        <v>99</v>
      </c>
      <c r="I107" t="s">
        <v>26</v>
      </c>
      <c r="J107" s="1">
        <f>C92</f>
        <v>1.9698964910434757E-10</v>
      </c>
      <c r="O107" t="s">
        <v>100</v>
      </c>
      <c r="P107" t="s">
        <v>26</v>
      </c>
      <c r="Q107" s="1">
        <f>C93</f>
        <v>3.0788802046368646E-6</v>
      </c>
      <c r="V107" t="s">
        <v>101</v>
      </c>
      <c r="W107" t="s">
        <v>26</v>
      </c>
      <c r="X107" s="1">
        <f>C94</f>
        <v>2.6555675966598181E-3</v>
      </c>
      <c r="AC107" t="s">
        <v>102</v>
      </c>
      <c r="AD107" t="s">
        <v>26</v>
      </c>
      <c r="AE107" s="1">
        <f>C95</f>
        <v>1.8320918285310767E-2</v>
      </c>
      <c r="AJ107" t="s">
        <v>103</v>
      </c>
      <c r="AK107" t="s">
        <v>26</v>
      </c>
      <c r="AL107" s="1">
        <f>C96</f>
        <v>4.8121834612149299E-2</v>
      </c>
      <c r="AQ107" t="s">
        <v>104</v>
      </c>
      <c r="AR107" t="s">
        <v>26</v>
      </c>
      <c r="AS107" s="1">
        <f>C97</f>
        <v>5.8374229854729787E-2</v>
      </c>
      <c r="AX107" t="s">
        <v>105</v>
      </c>
      <c r="AY107" t="s">
        <v>26</v>
      </c>
      <c r="AZ107" s="1">
        <f>C98</f>
        <v>8.3444418223868888E-2</v>
      </c>
      <c r="BE107" t="s">
        <v>106</v>
      </c>
      <c r="BF107" t="s">
        <v>26</v>
      </c>
      <c r="BG107" s="1">
        <f>C99</f>
        <v>0.33199538990359528</v>
      </c>
      <c r="BL107" t="s">
        <v>107</v>
      </c>
      <c r="BM107" t="s">
        <v>26</v>
      </c>
      <c r="BN107" s="1">
        <f>C100</f>
        <v>2.2904558773703121</v>
      </c>
    </row>
    <row r="108" spans="1:69" x14ac:dyDescent="0.2">
      <c r="I108" t="s">
        <v>29</v>
      </c>
      <c r="J108" t="s">
        <v>30</v>
      </c>
      <c r="K108" t="s">
        <v>33</v>
      </c>
      <c r="L108">
        <f>2.718281828*J107</f>
        <v>5.3547338346444445E-10</v>
      </c>
      <c r="M108">
        <f>L108*LN(1+SQRT(1+L108))/(1+L108+SQRT(1+L108))</f>
        <v>1.8558093296794834E-10</v>
      </c>
      <c r="P108" t="s">
        <v>29</v>
      </c>
      <c r="Q108" t="s">
        <v>30</v>
      </c>
      <c r="R108" t="s">
        <v>33</v>
      </c>
      <c r="S108">
        <f>2.718281828*Q107</f>
        <v>8.3692641108533104E-6</v>
      </c>
      <c r="T108">
        <f>S108*LN(1+SQRT(1+S108))/(1+S108+SQRT(1+S108))</f>
        <v>2.9005564598153835E-6</v>
      </c>
      <c r="W108" t="s">
        <v>29</v>
      </c>
      <c r="X108" t="s">
        <v>30</v>
      </c>
      <c r="Y108" t="s">
        <v>33</v>
      </c>
      <c r="Z108">
        <f>2.718281828*X107</f>
        <v>7.2185811410260163E-3</v>
      </c>
      <c r="AA108">
        <f>Z108*LN(1+SQRT(1+Z108))/(1+Z108+SQRT(1+Z108))</f>
        <v>2.4947670971405822E-3</v>
      </c>
      <c r="AD108" t="s">
        <v>29</v>
      </c>
      <c r="AE108" t="s">
        <v>30</v>
      </c>
      <c r="AF108" t="s">
        <v>33</v>
      </c>
      <c r="AG108">
        <f>2.718281828*AE107</f>
        <v>4.9801419247233171E-2</v>
      </c>
      <c r="AH108">
        <f>AG108*LN(1+SQRT(1+AG108))/(1+AG108+SQRT(1+AG108))</f>
        <v>1.6934292398976231E-2</v>
      </c>
      <c r="AK108" t="s">
        <v>29</v>
      </c>
      <c r="AL108" t="s">
        <v>30</v>
      </c>
      <c r="AM108" t="s">
        <v>33</v>
      </c>
      <c r="AN108">
        <f>2.718281828*AL107</f>
        <v>0.13080870855622687</v>
      </c>
      <c r="AO108">
        <f>AN108*LN(1+SQRT(1+AN108))/(1+AN108+SQRT(1+AN108))</f>
        <v>4.3182698471413018E-2</v>
      </c>
      <c r="AR108" t="s">
        <v>29</v>
      </c>
      <c r="AS108" t="s">
        <v>30</v>
      </c>
      <c r="AT108" t="s">
        <v>33</v>
      </c>
      <c r="AU108">
        <f>2.718281828*AS107</f>
        <v>0.15867760823760704</v>
      </c>
      <c r="AV108">
        <f>AU108*LN(1+SQRT(1+AU108))/(1+AU108+SQRT(1+AU108))</f>
        <v>5.1871119167852621E-2</v>
      </c>
      <c r="AY108" t="s">
        <v>29</v>
      </c>
      <c r="AZ108" t="s">
        <v>30</v>
      </c>
      <c r="BA108" t="s">
        <v>33</v>
      </c>
      <c r="BB108">
        <f>2.718281828*AZ107</f>
        <v>0.22682544570597482</v>
      </c>
      <c r="BC108">
        <f>BB108*LN(1+SQRT(1+BB108))/(1+BB108+SQRT(1+BB108))</f>
        <v>7.2441994990552594E-2</v>
      </c>
      <c r="BF108" t="s">
        <v>29</v>
      </c>
      <c r="BG108" t="s">
        <v>30</v>
      </c>
      <c r="BH108" t="s">
        <v>33</v>
      </c>
      <c r="BI108">
        <f>2.718281828*BG107</f>
        <v>0.90245703535471766</v>
      </c>
      <c r="BJ108">
        <f>BI108*LN(1+SQRT(1+BI108))/(1+BI108+SQRT(1+BI108))</f>
        <v>0.23836465474660137</v>
      </c>
      <c r="BM108" t="s">
        <v>29</v>
      </c>
      <c r="BN108" t="s">
        <v>30</v>
      </c>
      <c r="BO108" t="s">
        <v>33</v>
      </c>
      <c r="BP108">
        <f>2.718281828*BN107</f>
        <v>6.2261045892915154</v>
      </c>
      <c r="BQ108">
        <f>BP108*LN(1+SQRT(1+BP108))/(1+BP108+SQRT(1+BP108))</f>
        <v>0.8196115132452354</v>
      </c>
    </row>
    <row r="109" spans="1:69" x14ac:dyDescent="0.2">
      <c r="J109" t="s">
        <v>31</v>
      </c>
      <c r="K109">
        <f>J107/2.718281828</f>
        <v>7.2468442041303883E-11</v>
      </c>
      <c r="Q109" t="s">
        <v>31</v>
      </c>
      <c r="R109">
        <f>Q107/2.718281828</f>
        <v>1.1326567293069012E-6</v>
      </c>
      <c r="X109" t="s">
        <v>31</v>
      </c>
      <c r="Y109">
        <f>X107/2.718281828</f>
        <v>9.7692872361718132E-4</v>
      </c>
      <c r="AE109" t="s">
        <v>31</v>
      </c>
      <c r="AF109">
        <f>AE107/2.718281828</f>
        <v>6.7398891816859716E-3</v>
      </c>
      <c r="AL109" t="s">
        <v>31</v>
      </c>
      <c r="AM109">
        <f>AL107/2.718281828</f>
        <v>1.7703033628251624E-2</v>
      </c>
      <c r="AS109" t="s">
        <v>31</v>
      </c>
      <c r="AT109">
        <f>AS107/2.718281828</f>
        <v>2.1474679061397821E-2</v>
      </c>
      <c r="AZ109" t="s">
        <v>31</v>
      </c>
      <c r="BA109">
        <f>AZ107/2.718281828</f>
        <v>3.0697485950256991E-2</v>
      </c>
      <c r="BG109" t="s">
        <v>31</v>
      </c>
      <c r="BH109">
        <f>BG107/2.718281828</f>
        <v>0.12213427852985496</v>
      </c>
      <c r="BN109" t="s">
        <v>31</v>
      </c>
      <c r="BO109">
        <f>BN107/2.718281828</f>
        <v>0.84261162833713066</v>
      </c>
    </row>
    <row r="110" spans="1:69" x14ac:dyDescent="0.2">
      <c r="J110" t="s">
        <v>32</v>
      </c>
      <c r="K110" t="e">
        <f>LN(J107)-LN(LN(J107))</f>
        <v>#NUM!</v>
      </c>
      <c r="Q110" t="s">
        <v>32</v>
      </c>
      <c r="R110" t="e">
        <f>LN(Q107)-LN(LN(Q107))</f>
        <v>#NUM!</v>
      </c>
      <c r="X110" t="s">
        <v>32</v>
      </c>
      <c r="Y110" t="e">
        <f>LN(X107)-LN(LN(X107))</f>
        <v>#NUM!</v>
      </c>
      <c r="AE110" t="s">
        <v>32</v>
      </c>
      <c r="AF110" t="e">
        <f>LN(AE107)-LN(LN(AE107))</f>
        <v>#NUM!</v>
      </c>
      <c r="AL110" t="s">
        <v>32</v>
      </c>
      <c r="AM110" t="e">
        <f>LN(AL107)-LN(LN(AL107))</f>
        <v>#NUM!</v>
      </c>
      <c r="AS110" t="s">
        <v>32</v>
      </c>
      <c r="AT110" t="e">
        <f>LN(AS107)-LN(LN(AS107))</f>
        <v>#NUM!</v>
      </c>
      <c r="AZ110" t="s">
        <v>32</v>
      </c>
      <c r="BA110" t="e">
        <f>LN(AZ107)-LN(LN(AZ107))</f>
        <v>#NUM!</v>
      </c>
      <c r="BG110" t="s">
        <v>32</v>
      </c>
      <c r="BH110" t="e">
        <f>LN(BG107)-LN(LN(BG107))</f>
        <v>#NUM!</v>
      </c>
      <c r="BN110" t="s">
        <v>32</v>
      </c>
      <c r="BO110">
        <f>LN(BN107)-LN(LN(BN107))</f>
        <v>1.0165865575350379</v>
      </c>
    </row>
    <row r="111" spans="1:69" x14ac:dyDescent="0.2">
      <c r="I111" t="s">
        <v>97</v>
      </c>
      <c r="J111">
        <f>IF(J107&lt;0,M108,IF(J107&lt;2.718281828,K109,K110))</f>
        <v>7.2468442041303883E-11</v>
      </c>
      <c r="P111" t="s">
        <v>97</v>
      </c>
      <c r="Q111">
        <f>IF(Q107&lt;0,T108,IF(Q107&lt;2.718281828,R109,R110))</f>
        <v>1.1326567293069012E-6</v>
      </c>
      <c r="W111" t="s">
        <v>97</v>
      </c>
      <c r="X111">
        <f>IF(X107&lt;0,AA108,IF(X107&lt;2.718281828,Y109,Y110))</f>
        <v>9.7692872361718132E-4</v>
      </c>
      <c r="AD111" t="s">
        <v>97</v>
      </c>
      <c r="AE111">
        <f>IF(AE107&lt;0,AH108,IF(AE107&lt;2.718281828,AF109,AF110))</f>
        <v>6.7398891816859716E-3</v>
      </c>
      <c r="AK111" t="s">
        <v>97</v>
      </c>
      <c r="AL111">
        <f>IF(AL107&lt;0,AO108,IF(AL107&lt;2.718281828,AM109,AM110))</f>
        <v>1.7703033628251624E-2</v>
      </c>
      <c r="AR111" t="s">
        <v>97</v>
      </c>
      <c r="AS111">
        <f>IF(AS107&lt;0,AV108,IF(AS107&lt;2.718281828,AT109,AT110))</f>
        <v>2.1474679061397821E-2</v>
      </c>
      <c r="AY111" t="s">
        <v>97</v>
      </c>
      <c r="AZ111">
        <f>IF(AZ107&lt;0,BC108,IF(AZ107&lt;2.718281828,BA109,BA110))</f>
        <v>3.0697485950256991E-2</v>
      </c>
      <c r="BF111" t="s">
        <v>97</v>
      </c>
      <c r="BG111">
        <f>IF(BG107&lt;0,BJ108,IF(BG107&lt;2.718281828,BH109,BH110))</f>
        <v>0.12213427852985496</v>
      </c>
      <c r="BM111" t="s">
        <v>97</v>
      </c>
      <c r="BN111">
        <f>IF(BN107&lt;0,BQ108,IF(BN107&lt;2.718281828,BO109,BO110))</f>
        <v>0.84261162833713066</v>
      </c>
    </row>
    <row r="112" spans="1:69" x14ac:dyDescent="0.2">
      <c r="I112" t="s">
        <v>13</v>
      </c>
      <c r="J112" t="s">
        <v>27</v>
      </c>
      <c r="K112" t="s">
        <v>24</v>
      </c>
      <c r="P112" t="s">
        <v>13</v>
      </c>
      <c r="Q112" t="s">
        <v>27</v>
      </c>
      <c r="R112" t="s">
        <v>24</v>
      </c>
      <c r="W112" t="s">
        <v>13</v>
      </c>
      <c r="X112" t="s">
        <v>27</v>
      </c>
      <c r="Y112" t="s">
        <v>24</v>
      </c>
      <c r="AD112" t="s">
        <v>13</v>
      </c>
      <c r="AE112" t="s">
        <v>27</v>
      </c>
      <c r="AF112" t="s">
        <v>24</v>
      </c>
      <c r="AK112" t="s">
        <v>13</v>
      </c>
      <c r="AL112" t="s">
        <v>27</v>
      </c>
      <c r="AM112" t="s">
        <v>24</v>
      </c>
      <c r="AR112" t="s">
        <v>13</v>
      </c>
      <c r="AS112" t="s">
        <v>27</v>
      </c>
      <c r="AT112" t="s">
        <v>24</v>
      </c>
      <c r="AY112" t="s">
        <v>13</v>
      </c>
      <c r="AZ112" t="s">
        <v>27</v>
      </c>
      <c r="BA112" t="s">
        <v>24</v>
      </c>
      <c r="BF112" t="s">
        <v>13</v>
      </c>
      <c r="BG112" t="s">
        <v>27</v>
      </c>
      <c r="BH112" t="s">
        <v>24</v>
      </c>
      <c r="BM112" t="s">
        <v>13</v>
      </c>
      <c r="BN112" t="s">
        <v>27</v>
      </c>
      <c r="BO112" t="s">
        <v>24</v>
      </c>
    </row>
    <row r="113" spans="9:67" x14ac:dyDescent="0.2">
      <c r="I113">
        <v>0</v>
      </c>
      <c r="J113">
        <f>J111</f>
        <v>7.2468442041303883E-11</v>
      </c>
      <c r="P113">
        <v>0</v>
      </c>
      <c r="Q113">
        <f>Q111</f>
        <v>1.1326567293069012E-6</v>
      </c>
      <c r="W113">
        <v>0</v>
      </c>
      <c r="X113">
        <f>X111</f>
        <v>9.7692872361718132E-4</v>
      </c>
      <c r="AD113">
        <v>0</v>
      </c>
      <c r="AE113">
        <f>AE111</f>
        <v>6.7398891816859716E-3</v>
      </c>
      <c r="AK113">
        <v>0</v>
      </c>
      <c r="AL113">
        <f>AL111</f>
        <v>1.7703033628251624E-2</v>
      </c>
      <c r="AR113">
        <v>0</v>
      </c>
      <c r="AS113">
        <f>AS111</f>
        <v>2.1474679061397821E-2</v>
      </c>
      <c r="AY113">
        <v>0</v>
      </c>
      <c r="AZ113">
        <f>AZ111</f>
        <v>3.0697485950256991E-2</v>
      </c>
      <c r="BF113">
        <v>0</v>
      </c>
      <c r="BG113">
        <f>BG111</f>
        <v>0.12213427852985496</v>
      </c>
      <c r="BM113">
        <v>0</v>
      </c>
      <c r="BN113">
        <f>BN111</f>
        <v>0.84261162833713066</v>
      </c>
    </row>
    <row r="114" spans="9:67" x14ac:dyDescent="0.2">
      <c r="I114">
        <f>I113+1</f>
        <v>1</v>
      </c>
      <c r="J114" s="1">
        <f>J113/(1+J113)*(1+LN(J107/J113))</f>
        <v>1.4493688405986642E-10</v>
      </c>
      <c r="K114">
        <f>J114-J113</f>
        <v>7.2468442018562542E-11</v>
      </c>
      <c r="P114">
        <f>P113+1</f>
        <v>1</v>
      </c>
      <c r="Q114" s="1">
        <f>Q113/(1+Q113)*(1+LN(Q107/Q113))</f>
        <v>2.2653108926029005E-6</v>
      </c>
      <c r="R114">
        <f>Q114-Q113</f>
        <v>1.1326541632959993E-6</v>
      </c>
      <c r="W114">
        <f>W113+1</f>
        <v>1</v>
      </c>
      <c r="X114" s="1">
        <f>X113/(1+X113)*(1+LN(X107/X113))</f>
        <v>1.9519505305290318E-3</v>
      </c>
      <c r="Y114">
        <f>X114-X113</f>
        <v>9.7502180691185045E-4</v>
      </c>
      <c r="AD114">
        <f>AD113+1</f>
        <v>1</v>
      </c>
      <c r="AE114" s="1">
        <f>AE113/(1+AE113)*(1+LN(AE107/AE113))</f>
        <v>1.3389534384289272E-2</v>
      </c>
      <c r="AF114">
        <f>AE114-AE113</f>
        <v>6.6496452026033005E-3</v>
      </c>
      <c r="AK114">
        <f>AK113+1</f>
        <v>1</v>
      </c>
      <c r="AL114" s="1">
        <f>AL113/(1+AL113)*(1+LN(AL107/AL113))</f>
        <v>3.4790175604848275E-2</v>
      </c>
      <c r="AM114">
        <f>AL114-AL113</f>
        <v>1.7087141976596651E-2</v>
      </c>
      <c r="AR114">
        <f>AR113+1</f>
        <v>1</v>
      </c>
      <c r="AS114" s="1">
        <f>AS113/(1+AS113)*(1+LN(AS107/AS113))</f>
        <v>4.2046424644254531E-2</v>
      </c>
      <c r="AT114">
        <f>AS114-AS113</f>
        <v>2.057174558285671E-2</v>
      </c>
      <c r="AY114">
        <f>AY113+1</f>
        <v>1</v>
      </c>
      <c r="AZ114" s="1">
        <f>AZ113/(1+AZ113)*(1+LN(AZ107/AZ113))</f>
        <v>5.9566432180366266E-2</v>
      </c>
      <c r="BA114">
        <f>AZ114-AZ113</f>
        <v>2.8868946230109275E-2</v>
      </c>
      <c r="BF114">
        <f>BF113+1</f>
        <v>1</v>
      </c>
      <c r="BG114" s="1">
        <f>BG113/(1+BG113)*(1+LN(BG107/BG113))</f>
        <v>0.21768210963050608</v>
      </c>
      <c r="BH114">
        <f>BG114-BG113</f>
        <v>9.5547831100651112E-2</v>
      </c>
      <c r="BM114">
        <f>BM113+1</f>
        <v>1</v>
      </c>
      <c r="BN114" s="1">
        <f>BN113/(1+BN113)*(1+LN(BN107/BN113))</f>
        <v>0.91458407762942462</v>
      </c>
      <c r="BO114">
        <f>BN114-BN113</f>
        <v>7.1972449292293961E-2</v>
      </c>
    </row>
    <row r="115" spans="9:67" x14ac:dyDescent="0.2">
      <c r="I115">
        <f t="shared" ref="I115:I122" si="29">I114+1</f>
        <v>2</v>
      </c>
      <c r="J115" s="1">
        <f>J114/(1+J114)*(1+LN(J107/J114))</f>
        <v>1.8941117554530546E-10</v>
      </c>
      <c r="K115">
        <f t="shared" ref="K115:K122" si="30">J115-J114</f>
        <v>4.4474291485439038E-11</v>
      </c>
      <c r="P115">
        <f t="shared" ref="P115:P122" si="31">P114+1</f>
        <v>2</v>
      </c>
      <c r="Q115" s="1">
        <f>Q114/(1+Q114)*(1+LN(Q107/Q114))</f>
        <v>2.9604237862530161E-6</v>
      </c>
      <c r="R115">
        <f t="shared" ref="R115:R122" si="32">Q115-Q114</f>
        <v>6.9511289365011557E-7</v>
      </c>
      <c r="W115">
        <f t="shared" ref="W115:W122" si="33">W114+1</f>
        <v>2</v>
      </c>
      <c r="X115" s="1">
        <f>X114/(1+X114)*(1+LN(X107/X114))</f>
        <v>2.5478447727943837E-3</v>
      </c>
      <c r="Y115">
        <f t="shared" ref="Y115:Y122" si="34">X115-X114</f>
        <v>5.958942422653519E-4</v>
      </c>
      <c r="AD115">
        <f t="shared" ref="AD115:AD122" si="35">AD114+1</f>
        <v>2</v>
      </c>
      <c r="AE115" s="1">
        <f>AE114/(1+AE114)*(1+LN(AE107/AE114))</f>
        <v>1.7355707142762026E-2</v>
      </c>
      <c r="AF115">
        <f t="shared" ref="AF115:AF122" si="36">AE115-AE114</f>
        <v>3.9661727584727538E-3</v>
      </c>
      <c r="AK115">
        <f t="shared" ref="AK115:AK122" si="37">AK114+1</f>
        <v>2</v>
      </c>
      <c r="AL115" s="1">
        <f>AL114/(1+AL114)*(1+LN(AL107/AL114))</f>
        <v>4.4527039135063229E-2</v>
      </c>
      <c r="AM115">
        <f t="shared" ref="AM115:AM122" si="38">AL115-AL114</f>
        <v>9.7368635302149537E-3</v>
      </c>
      <c r="AR115">
        <f t="shared" ref="AR115:AR122" si="39">AR114+1</f>
        <v>2</v>
      </c>
      <c r="AS115" s="1">
        <f>AS114/(1+AS114)*(1+LN(AS107/AS114))</f>
        <v>5.3588652331459055E-2</v>
      </c>
      <c r="AT115">
        <f t="shared" ref="AT115:AT122" si="40">AS115-AS114</f>
        <v>1.1542227687204525E-2</v>
      </c>
      <c r="AY115">
        <f t="shared" ref="AY115:AY122" si="41">AY114+1</f>
        <v>2</v>
      </c>
      <c r="AZ115" s="1">
        <f>AZ114/(1+AZ114)*(1+LN(AZ107/AZ114))</f>
        <v>7.5168099708329814E-2</v>
      </c>
      <c r="BA115">
        <f t="shared" ref="BA115:BA122" si="42">AZ115-AZ114</f>
        <v>1.5601667527963547E-2</v>
      </c>
      <c r="BF115">
        <f t="shared" ref="BF115:BF122" si="43">BF114+1</f>
        <v>2</v>
      </c>
      <c r="BG115" s="1">
        <f>BG114/(1+BG114)*(1+LN(BG107/BG114))</f>
        <v>0.25422277711510927</v>
      </c>
      <c r="BH115">
        <f t="shared" ref="BH115:BH122" si="44">BG115-BG114</f>
        <v>3.654066748460319E-2</v>
      </c>
      <c r="BM115">
        <f t="shared" ref="BM115:BM122" si="45">BM114+1</f>
        <v>2</v>
      </c>
      <c r="BN115" s="1">
        <f>BN114/(1+BN114)*(1+LN(BN107/BN114))</f>
        <v>0.916233395230308</v>
      </c>
      <c r="BO115">
        <f t="shared" ref="BO115:BO122" si="46">BN115-BN114</f>
        <v>1.6493176008833821E-3</v>
      </c>
    </row>
    <row r="116" spans="9:67" x14ac:dyDescent="0.2">
      <c r="I116">
        <f t="shared" si="29"/>
        <v>3</v>
      </c>
      <c r="J116" s="1">
        <f>J115/(1+J115)*(1+LN(J107/J115))</f>
        <v>1.9684196547557677E-10</v>
      </c>
      <c r="K116">
        <f t="shared" si="30"/>
        <v>7.4307899302713087E-12</v>
      </c>
      <c r="P116">
        <f t="shared" si="31"/>
        <v>3</v>
      </c>
      <c r="Q116" s="1">
        <f>Q115/(1+Q115)*(1+LN(Q107/Q115))</f>
        <v>3.0765625591883273E-6</v>
      </c>
      <c r="R116">
        <f t="shared" si="32"/>
        <v>1.1613877293531122E-7</v>
      </c>
      <c r="W116">
        <f t="shared" si="33"/>
        <v>3</v>
      </c>
      <c r="X116" s="1">
        <f>X115/(1+X115)*(1+LN(X107/X115))</f>
        <v>2.6466094067572189E-3</v>
      </c>
      <c r="Y116">
        <f t="shared" si="34"/>
        <v>9.8764633962835236E-5</v>
      </c>
      <c r="AD116">
        <f t="shared" si="35"/>
        <v>3</v>
      </c>
      <c r="AE116" s="1">
        <f>AE115/(1+AE115)*(1+LN(AE107/AE115))</f>
        <v>1.7982927831442636E-2</v>
      </c>
      <c r="AF116">
        <f t="shared" si="36"/>
        <v>6.2722068868061032E-4</v>
      </c>
      <c r="AK116">
        <f t="shared" si="37"/>
        <v>3</v>
      </c>
      <c r="AL116" s="1">
        <f>AL115/(1+AL115)*(1+LN(AL107/AL115))</f>
        <v>4.5938582263735331E-2</v>
      </c>
      <c r="AM116">
        <f t="shared" si="38"/>
        <v>1.411543128672102E-3</v>
      </c>
      <c r="AR116">
        <f t="shared" si="39"/>
        <v>3</v>
      </c>
      <c r="AS116" s="1">
        <f>AS115/(1+AS115)*(1+LN(AS107/AS115))</f>
        <v>5.5213649843378218E-2</v>
      </c>
      <c r="AT116">
        <f t="shared" si="40"/>
        <v>1.6249975119191629E-3</v>
      </c>
      <c r="AY116">
        <f t="shared" si="41"/>
        <v>3</v>
      </c>
      <c r="AZ116" s="1">
        <f>AZ115/(1+AZ115)*(1+LN(AZ107/AZ115))</f>
        <v>7.7215549161336439E-2</v>
      </c>
      <c r="BA116">
        <f t="shared" si="42"/>
        <v>2.0474494530066251E-3</v>
      </c>
      <c r="BF116">
        <f t="shared" si="43"/>
        <v>3</v>
      </c>
      <c r="BG116" s="1">
        <f>BG115/(1+BG115)*(1+LN(BG107/BG115))</f>
        <v>0.25679441981087081</v>
      </c>
      <c r="BH116">
        <f t="shared" si="44"/>
        <v>2.5716426957615446E-3</v>
      </c>
      <c r="BM116">
        <f t="shared" si="45"/>
        <v>3</v>
      </c>
      <c r="BN116" s="1">
        <f>BN115/(1+BN115)*(1+LN(BN107/BN115))</f>
        <v>0.91623417177650879</v>
      </c>
      <c r="BO116">
        <f t="shared" si="46"/>
        <v>7.7654620078693171E-7</v>
      </c>
    </row>
    <row r="117" spans="9:67" x14ac:dyDescent="0.2">
      <c r="I117">
        <f t="shared" si="29"/>
        <v>4</v>
      </c>
      <c r="J117" s="1">
        <f>J116/(1+J116)*(1+LN(J107/J116))</f>
        <v>1.9698959369234071E-10</v>
      </c>
      <c r="K117">
        <f t="shared" si="30"/>
        <v>1.476282167639412E-13</v>
      </c>
      <c r="P117">
        <f t="shared" si="31"/>
        <v>4</v>
      </c>
      <c r="Q117" s="1">
        <f>Q116/(1+Q116)*(1+LN(Q107/Q116))</f>
        <v>3.0788698597714466E-6</v>
      </c>
      <c r="R117">
        <f t="shared" si="32"/>
        <v>2.307300583119264E-9</v>
      </c>
      <c r="W117">
        <f t="shared" si="33"/>
        <v>4</v>
      </c>
      <c r="X117" s="1">
        <f>X116/(1+X116)*(1+LN(X107/X116))</f>
        <v>2.6485428117142074E-3</v>
      </c>
      <c r="Y117">
        <f t="shared" si="34"/>
        <v>1.9334049569884847E-6</v>
      </c>
      <c r="AD117">
        <f t="shared" si="35"/>
        <v>4</v>
      </c>
      <c r="AE117" s="1">
        <f>AE116/(1+AE116)*(1+LN(AE107/AE116))</f>
        <v>1.7994192980025348E-2</v>
      </c>
      <c r="AF117">
        <f t="shared" si="36"/>
        <v>1.1265148582711992E-5</v>
      </c>
      <c r="AK117">
        <f t="shared" si="37"/>
        <v>4</v>
      </c>
      <c r="AL117" s="1">
        <f>AL116/(1+AL116)*(1+LN(AL107/AL116))</f>
        <v>4.5960195646687067E-2</v>
      </c>
      <c r="AM117">
        <f t="shared" si="38"/>
        <v>2.1613382951736482E-5</v>
      </c>
      <c r="AR117">
        <f t="shared" si="39"/>
        <v>4</v>
      </c>
      <c r="AS117" s="1">
        <f>AS116/(1+AS116)*(1+LN(AS107/AS116))</f>
        <v>5.5237231004903388E-2</v>
      </c>
      <c r="AT117">
        <f t="shared" si="40"/>
        <v>2.3581161525169925E-5</v>
      </c>
      <c r="AY117">
        <f t="shared" si="41"/>
        <v>4</v>
      </c>
      <c r="AZ117" s="1">
        <f>AZ116/(1+AZ116)*(1+LN(AZ107/AZ116))</f>
        <v>7.7241666756174818E-2</v>
      </c>
      <c r="BA117">
        <f t="shared" si="42"/>
        <v>2.6117594838379055E-5</v>
      </c>
      <c r="BF117">
        <f t="shared" si="43"/>
        <v>4</v>
      </c>
      <c r="BG117" s="1">
        <f>BG116/(1+BG116)*(1+LN(BG107/BG116))</f>
        <v>0.25680480387005206</v>
      </c>
      <c r="BH117">
        <f t="shared" si="44"/>
        <v>1.0384059181245409E-5</v>
      </c>
      <c r="BM117">
        <f t="shared" si="45"/>
        <v>4</v>
      </c>
      <c r="BN117" s="1">
        <f>BN116/(1+BN116)*(1+LN(BN107/BN116))</f>
        <v>0.91623417177668054</v>
      </c>
      <c r="BO117">
        <f t="shared" si="46"/>
        <v>1.7175150190951172E-13</v>
      </c>
    </row>
    <row r="118" spans="9:67" x14ac:dyDescent="0.2">
      <c r="I118">
        <f t="shared" si="29"/>
        <v>5</v>
      </c>
      <c r="J118" s="1">
        <f>J117/(1+J117)*(1+LN(J107/J117))</f>
        <v>1.9698964906553492E-10</v>
      </c>
      <c r="K118">
        <f t="shared" si="30"/>
        <v>5.5373194203792598E-17</v>
      </c>
      <c r="P118">
        <f t="shared" si="31"/>
        <v>5</v>
      </c>
      <c r="Q118" s="1">
        <f>Q117/(1+Q117)*(1+LN(Q107/Q117))</f>
        <v>3.0788707251772076E-6</v>
      </c>
      <c r="R118">
        <f t="shared" si="32"/>
        <v>8.6540576103627444E-13</v>
      </c>
      <c r="W118">
        <f t="shared" si="33"/>
        <v>5</v>
      </c>
      <c r="X118" s="1">
        <f>X117/(1+X117)*(1+LN(X107/X117))</f>
        <v>2.6485435162171044E-3</v>
      </c>
      <c r="Y118">
        <f t="shared" si="34"/>
        <v>7.0450289699208746E-10</v>
      </c>
      <c r="AD118">
        <f t="shared" si="35"/>
        <v>5</v>
      </c>
      <c r="AE118" s="1">
        <f>AE117/(1+AE117)*(1+LN(AE107/AE117))</f>
        <v>1.7994196446825438E-2</v>
      </c>
      <c r="AF118">
        <f t="shared" si="36"/>
        <v>3.4668000900572871E-9</v>
      </c>
      <c r="AK118">
        <f t="shared" si="37"/>
        <v>5</v>
      </c>
      <c r="AL118" s="1">
        <f>AL117/(1+AL117)*(1+LN(AL107/AL117))</f>
        <v>4.5960200508417148E-2</v>
      </c>
      <c r="AM118">
        <f t="shared" si="38"/>
        <v>4.8617300810183117E-9</v>
      </c>
      <c r="AR118">
        <f t="shared" si="39"/>
        <v>5</v>
      </c>
      <c r="AS118" s="1">
        <f>AS117/(1+AS117)*(1+LN(AS107/AS117))</f>
        <v>5.5237235777619888E-2</v>
      </c>
      <c r="AT118">
        <f t="shared" si="40"/>
        <v>4.7727164997901639E-9</v>
      </c>
      <c r="AY118">
        <f t="shared" si="41"/>
        <v>5</v>
      </c>
      <c r="AZ118" s="1">
        <f>AZ117/(1+AZ117)*(1+LN(AZ107/AZ117))</f>
        <v>7.7241670856963721E-2</v>
      </c>
      <c r="BA118">
        <f t="shared" si="42"/>
        <v>4.1007889028943367E-9</v>
      </c>
      <c r="BF118">
        <f t="shared" si="43"/>
        <v>5</v>
      </c>
      <c r="BG118" s="1">
        <f>BG117/(1+BG117)*(1+LN(BG107/BG117))</f>
        <v>0.25680480403710593</v>
      </c>
      <c r="BH118">
        <f t="shared" si="44"/>
        <v>1.6705387073656652E-10</v>
      </c>
      <c r="BM118">
        <f t="shared" si="45"/>
        <v>5</v>
      </c>
      <c r="BN118" s="1">
        <f>BN117/(1+BN117)*(1+LN(BN107/BN117))</f>
        <v>0.91623417177668054</v>
      </c>
      <c r="BO118">
        <f t="shared" si="46"/>
        <v>0</v>
      </c>
    </row>
    <row r="119" spans="9:67" x14ac:dyDescent="0.2">
      <c r="I119">
        <f t="shared" si="29"/>
        <v>6</v>
      </c>
      <c r="J119" s="1">
        <f>J118/(1+J118)*(1+LN(J107/J118))</f>
        <v>1.9698964906554259E-10</v>
      </c>
      <c r="K119">
        <f t="shared" si="30"/>
        <v>7.6772700602577881E-24</v>
      </c>
      <c r="P119">
        <f t="shared" si="31"/>
        <v>6</v>
      </c>
      <c r="Q119" s="1">
        <f>Q118/(1+Q118)*(1+LN(Q107/Q118))</f>
        <v>3.0788707251773288E-6</v>
      </c>
      <c r="R119">
        <f t="shared" si="32"/>
        <v>1.2112571145736495E-19</v>
      </c>
      <c r="W119">
        <f t="shared" si="33"/>
        <v>6</v>
      </c>
      <c r="X119" s="1">
        <f>X118/(1+X118)*(1+LN(X107/X118))</f>
        <v>2.6485435162171976E-3</v>
      </c>
      <c r="Y119">
        <f t="shared" si="34"/>
        <v>9.3241386833753381E-17</v>
      </c>
      <c r="AD119">
        <f t="shared" si="35"/>
        <v>6</v>
      </c>
      <c r="AE119" s="1">
        <f>AE118/(1+AE118)*(1+LN(AE107/AE118))</f>
        <v>1.7994196446825764E-2</v>
      </c>
      <c r="AF119">
        <f t="shared" si="36"/>
        <v>3.2612801348363973E-16</v>
      </c>
      <c r="AK119">
        <f t="shared" si="37"/>
        <v>6</v>
      </c>
      <c r="AL119" s="1">
        <f>AL118/(1+AL118)*(1+LN(AL107/AL118))</f>
        <v>4.5960200508417391E-2</v>
      </c>
      <c r="AM119">
        <f t="shared" si="38"/>
        <v>2.4286128663675299E-16</v>
      </c>
      <c r="AR119">
        <f t="shared" si="39"/>
        <v>6</v>
      </c>
      <c r="AS119" s="1">
        <f>AS118/(1+AS118)*(1+LN(AS107/AS118))</f>
        <v>5.5237235777620082E-2</v>
      </c>
      <c r="AT119">
        <f t="shared" si="40"/>
        <v>1.9428902930940239E-16</v>
      </c>
      <c r="AY119">
        <f t="shared" si="41"/>
        <v>6</v>
      </c>
      <c r="AZ119" s="1">
        <f>AZ118/(1+AZ118)*(1+LN(AZ107/AZ118))</f>
        <v>7.7241670856963818E-2</v>
      </c>
      <c r="BA119">
        <f t="shared" si="42"/>
        <v>0</v>
      </c>
      <c r="BF119">
        <f t="shared" si="43"/>
        <v>6</v>
      </c>
      <c r="BG119" s="1">
        <f>BG118/(1+BG118)*(1+LN(BG107/BG118))</f>
        <v>0.25680480403710593</v>
      </c>
      <c r="BH119">
        <f t="shared" si="44"/>
        <v>0</v>
      </c>
      <c r="BM119">
        <f t="shared" si="45"/>
        <v>6</v>
      </c>
      <c r="BN119" s="1">
        <f>BN118/(1+BN118)*(1+LN(BN107/BN118))</f>
        <v>0.91623417177668054</v>
      </c>
      <c r="BO119">
        <f t="shared" si="46"/>
        <v>0</v>
      </c>
    </row>
    <row r="120" spans="9:67" x14ac:dyDescent="0.2">
      <c r="I120">
        <f t="shared" si="29"/>
        <v>7</v>
      </c>
      <c r="J120" s="1">
        <f>J119/(1+J119)*(1+LN(J107/J119))</f>
        <v>1.9698964906554262E-10</v>
      </c>
      <c r="K120">
        <f t="shared" si="30"/>
        <v>0</v>
      </c>
      <c r="P120">
        <f t="shared" si="31"/>
        <v>7</v>
      </c>
      <c r="Q120" s="1">
        <f>Q119/(1+Q119)*(1+LN(Q107/Q119))</f>
        <v>3.0788707251773288E-6</v>
      </c>
      <c r="R120">
        <f t="shared" si="32"/>
        <v>0</v>
      </c>
      <c r="W120">
        <f t="shared" si="33"/>
        <v>7</v>
      </c>
      <c r="X120" s="1">
        <f>X119/(1+X119)*(1+LN(X107/X119))</f>
        <v>2.6485435162171976E-3</v>
      </c>
      <c r="Y120">
        <f t="shared" si="34"/>
        <v>0</v>
      </c>
      <c r="AD120">
        <f t="shared" si="35"/>
        <v>7</v>
      </c>
      <c r="AE120" s="1">
        <f>AE119/(1+AE119)*(1+LN(AE107/AE119))</f>
        <v>1.7994196446825768E-2</v>
      </c>
      <c r="AF120">
        <f t="shared" si="36"/>
        <v>0</v>
      </c>
      <c r="AK120">
        <f t="shared" si="37"/>
        <v>7</v>
      </c>
      <c r="AL120" s="1">
        <f>AL119/(1+AL119)*(1+LN(AL107/AL119))</f>
        <v>4.5960200508417391E-2</v>
      </c>
      <c r="AM120">
        <f t="shared" si="38"/>
        <v>0</v>
      </c>
      <c r="AR120">
        <f t="shared" si="39"/>
        <v>7</v>
      </c>
      <c r="AS120" s="1">
        <f>AS119/(1+AS119)*(1+LN(AS107/AS119))</f>
        <v>5.5237235777620082E-2</v>
      </c>
      <c r="AT120">
        <f t="shared" si="40"/>
        <v>0</v>
      </c>
      <c r="AY120">
        <f t="shared" si="41"/>
        <v>7</v>
      </c>
      <c r="AZ120" s="1">
        <f>AZ119/(1+AZ119)*(1+LN(AZ107/AZ119))</f>
        <v>7.7241670856963818E-2</v>
      </c>
      <c r="BA120">
        <f t="shared" si="42"/>
        <v>0</v>
      </c>
      <c r="BF120">
        <f t="shared" si="43"/>
        <v>7</v>
      </c>
      <c r="BG120" s="1">
        <f>BG119/(1+BG119)*(1+LN(BG107/BG119))</f>
        <v>0.25680480403710593</v>
      </c>
      <c r="BH120">
        <f t="shared" si="44"/>
        <v>0</v>
      </c>
      <c r="BM120">
        <f t="shared" si="45"/>
        <v>7</v>
      </c>
      <c r="BN120" s="1">
        <f>BN119/(1+BN119)*(1+LN(BN107/BN119))</f>
        <v>0.91623417177668054</v>
      </c>
      <c r="BO120">
        <f t="shared" si="46"/>
        <v>0</v>
      </c>
    </row>
    <row r="121" spans="9:67" x14ac:dyDescent="0.2">
      <c r="I121">
        <f t="shared" si="29"/>
        <v>8</v>
      </c>
      <c r="J121" s="1">
        <f>J120/(1+J120)*(1+LN(J107/J120))</f>
        <v>1.9698964906554262E-10</v>
      </c>
      <c r="K121">
        <f t="shared" si="30"/>
        <v>0</v>
      </c>
      <c r="P121">
        <f t="shared" si="31"/>
        <v>8</v>
      </c>
      <c r="Q121" s="1">
        <f>Q120/(1+Q120)*(1+LN(Q107/Q120))</f>
        <v>3.0788707251773288E-6</v>
      </c>
      <c r="R121">
        <f t="shared" si="32"/>
        <v>0</v>
      </c>
      <c r="W121">
        <f t="shared" si="33"/>
        <v>8</v>
      </c>
      <c r="X121" s="1">
        <f>X120/(1+X120)*(1+LN(X107/X120))</f>
        <v>2.6485435162171976E-3</v>
      </c>
      <c r="Y121">
        <f t="shared" si="34"/>
        <v>0</v>
      </c>
      <c r="AD121">
        <f t="shared" si="35"/>
        <v>8</v>
      </c>
      <c r="AE121" s="1">
        <f>AE120/(1+AE120)*(1+LN(AE107/AE120))</f>
        <v>1.7994196446825768E-2</v>
      </c>
      <c r="AF121">
        <f t="shared" si="36"/>
        <v>0</v>
      </c>
      <c r="AK121">
        <f t="shared" si="37"/>
        <v>8</v>
      </c>
      <c r="AL121" s="1">
        <f>AL120/(1+AL120)*(1+LN(AL107/AL120))</f>
        <v>4.5960200508417391E-2</v>
      </c>
      <c r="AM121">
        <f t="shared" si="38"/>
        <v>0</v>
      </c>
      <c r="AR121">
        <f t="shared" si="39"/>
        <v>8</v>
      </c>
      <c r="AS121" s="1">
        <f>AS120/(1+AS120)*(1+LN(AS107/AS120))</f>
        <v>5.5237235777620082E-2</v>
      </c>
      <c r="AT121">
        <f t="shared" si="40"/>
        <v>0</v>
      </c>
      <c r="AY121">
        <f t="shared" si="41"/>
        <v>8</v>
      </c>
      <c r="AZ121" s="1">
        <f>AZ120/(1+AZ120)*(1+LN(AZ107/AZ120))</f>
        <v>7.7241670856963818E-2</v>
      </c>
      <c r="BA121">
        <f t="shared" si="42"/>
        <v>0</v>
      </c>
      <c r="BF121">
        <f t="shared" si="43"/>
        <v>8</v>
      </c>
      <c r="BG121" s="1">
        <f>BG120/(1+BG120)*(1+LN(BG107/BG120))</f>
        <v>0.25680480403710593</v>
      </c>
      <c r="BH121">
        <f t="shared" si="44"/>
        <v>0</v>
      </c>
      <c r="BM121">
        <f t="shared" si="45"/>
        <v>8</v>
      </c>
      <c r="BN121" s="1">
        <f>BN120/(1+BN120)*(1+LN(BN107/BN120))</f>
        <v>0.91623417177668054</v>
      </c>
      <c r="BO121">
        <f t="shared" si="46"/>
        <v>0</v>
      </c>
    </row>
    <row r="122" spans="9:67" x14ac:dyDescent="0.2">
      <c r="I122">
        <f t="shared" si="29"/>
        <v>9</v>
      </c>
      <c r="J122" s="1">
        <f>J121/(1+J121)*(1+LN(J107/J121))</f>
        <v>1.9698964906554262E-10</v>
      </c>
      <c r="K122">
        <f t="shared" si="30"/>
        <v>0</v>
      </c>
      <c r="P122">
        <f t="shared" si="31"/>
        <v>9</v>
      </c>
      <c r="Q122" s="1">
        <f>Q121/(1+Q121)*(1+LN(Q107/Q121))</f>
        <v>3.0788707251773288E-6</v>
      </c>
      <c r="R122">
        <f t="shared" si="32"/>
        <v>0</v>
      </c>
      <c r="W122">
        <f t="shared" si="33"/>
        <v>9</v>
      </c>
      <c r="X122" s="1">
        <f>X121/(1+X121)*(1+LN(X107/X121))</f>
        <v>2.6485435162171976E-3</v>
      </c>
      <c r="Y122">
        <f t="shared" si="34"/>
        <v>0</v>
      </c>
      <c r="AD122">
        <f t="shared" si="35"/>
        <v>9</v>
      </c>
      <c r="AE122" s="1">
        <f>AE121/(1+AE121)*(1+LN(AE107/AE121))</f>
        <v>1.7994196446825768E-2</v>
      </c>
      <c r="AF122">
        <f t="shared" si="36"/>
        <v>0</v>
      </c>
      <c r="AK122">
        <f t="shared" si="37"/>
        <v>9</v>
      </c>
      <c r="AL122" s="1">
        <f>AL121/(1+AL121)*(1+LN(AL107/AL121))</f>
        <v>4.5960200508417391E-2</v>
      </c>
      <c r="AM122">
        <f t="shared" si="38"/>
        <v>0</v>
      </c>
      <c r="AR122">
        <f t="shared" si="39"/>
        <v>9</v>
      </c>
      <c r="AS122" s="1">
        <f>AS121/(1+AS121)*(1+LN(AS107/AS121))</f>
        <v>5.5237235777620082E-2</v>
      </c>
      <c r="AT122">
        <f t="shared" si="40"/>
        <v>0</v>
      </c>
      <c r="AY122">
        <f t="shared" si="41"/>
        <v>9</v>
      </c>
      <c r="AZ122" s="1">
        <f>AZ121/(1+AZ121)*(1+LN(AZ107/AZ121))</f>
        <v>7.7241670856963818E-2</v>
      </c>
      <c r="BA122">
        <f t="shared" si="42"/>
        <v>0</v>
      </c>
      <c r="BF122">
        <f t="shared" si="43"/>
        <v>9</v>
      </c>
      <c r="BG122" s="1">
        <f>BG121/(1+BG121)*(1+LN(BG107/BG121))</f>
        <v>0.25680480403710593</v>
      </c>
      <c r="BH122">
        <f t="shared" si="44"/>
        <v>0</v>
      </c>
      <c r="BM122">
        <f t="shared" si="45"/>
        <v>9</v>
      </c>
      <c r="BN122" s="1">
        <f>BN121/(1+BN121)*(1+LN(BN107/BN121))</f>
        <v>0.91623417177668054</v>
      </c>
      <c r="BO122">
        <f t="shared" si="46"/>
        <v>0</v>
      </c>
    </row>
    <row r="123" spans="9:67" x14ac:dyDescent="0.2">
      <c r="I123" t="s">
        <v>98</v>
      </c>
      <c r="J123" s="1">
        <f>J122</f>
        <v>1.9698964906554262E-10</v>
      </c>
      <c r="P123" t="s">
        <v>98</v>
      </c>
      <c r="Q123" s="1">
        <f>Q122</f>
        <v>3.0788707251773288E-6</v>
      </c>
      <c r="W123" t="s">
        <v>98</v>
      </c>
      <c r="X123" s="1">
        <f>X122</f>
        <v>2.6485435162171976E-3</v>
      </c>
      <c r="AD123" t="s">
        <v>98</v>
      </c>
      <c r="AE123" s="1">
        <f>AE122</f>
        <v>1.7994196446825768E-2</v>
      </c>
      <c r="AK123" t="s">
        <v>98</v>
      </c>
      <c r="AL123" s="1">
        <f>AL122</f>
        <v>4.5960200508417391E-2</v>
      </c>
      <c r="AR123" t="s">
        <v>98</v>
      </c>
      <c r="AS123" s="1">
        <f>AS122</f>
        <v>5.5237235777620082E-2</v>
      </c>
      <c r="AY123" t="s">
        <v>98</v>
      </c>
      <c r="AZ123" s="1">
        <f>AZ122</f>
        <v>7.7241670856963818E-2</v>
      </c>
      <c r="BF123" t="s">
        <v>98</v>
      </c>
      <c r="BG123" s="1">
        <f>BG122</f>
        <v>0.25680480403710593</v>
      </c>
      <c r="BM123" t="s">
        <v>98</v>
      </c>
      <c r="BN123" s="1">
        <f>BN122</f>
        <v>0.91623417177668054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Cell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Harvey, Jason L. (JSC-ER7)[CACI NSS, INC]</cp:lastModifiedBy>
  <dcterms:created xsi:type="dcterms:W3CDTF">2020-06-15T11:53:21Z</dcterms:created>
  <dcterms:modified xsi:type="dcterms:W3CDTF">2024-06-14T18:02:53Z</dcterms:modified>
</cp:coreProperties>
</file>