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0640" windowHeight="11160" activeTab="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5621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5" i="7" l="1"/>
  <c r="J3" i="13" l="1"/>
  <c r="H3" i="13"/>
  <c r="M37" i="10" l="1"/>
  <c r="N37" i="10"/>
  <c r="O37" i="10"/>
  <c r="O38" i="10" s="1"/>
  <c r="O39" i="10" s="1"/>
  <c r="P37" i="10"/>
  <c r="Q37" i="10"/>
  <c r="R37" i="10"/>
  <c r="S37" i="10"/>
  <c r="T37" i="10"/>
  <c r="U37" i="10"/>
  <c r="L37" i="10"/>
  <c r="D9" i="9"/>
  <c r="D10" i="9" s="1"/>
  <c r="D11" i="9" s="1"/>
  <c r="D22" i="9" l="1"/>
  <c r="D18" i="5" l="1"/>
  <c r="L10" i="8"/>
  <c r="M10" i="8"/>
  <c r="N10" i="8"/>
  <c r="O10" i="8"/>
  <c r="P10" i="8"/>
  <c r="Q10" i="8"/>
  <c r="K10" i="8"/>
  <c r="J5" i="7" l="1"/>
  <c r="K5" i="7"/>
  <c r="L5" i="7"/>
  <c r="M5" i="7"/>
  <c r="N5" i="7"/>
  <c r="O5" i="7"/>
  <c r="P5" i="7"/>
  <c r="I5" i="7"/>
  <c r="H5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<sst xmlns="http://schemas.openxmlformats.org/spreadsheetml/2006/main" count="26107" uniqueCount="9094">
  <si>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</si>
  <si>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</si>
  <si>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</si>
  <si>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</si>
  <si>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</si>
  <si>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</si>
  <si>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</si>
  <si>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</si>
  <si>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</si>
  <si>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</si>
  <si>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</si>
  <si>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</si>
  <si>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</si>
  <si>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</si>
  <si>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</si>
  <si>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</si>
  <si>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</si>
  <si>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</si>
  <si>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</si>
  <si>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</si>
  <si>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</si>
  <si>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</si>
  <si>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</si>
  <si>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</si>
  <si>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</si>
  <si>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</si>
  <si>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</si>
  <si>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</si>
  <si>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</si>
  <si>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</si>
  <si>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</si>
  <si>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</si>
  <si>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</si>
  <si>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</si>
  <si>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</si>
  <si>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</si>
  <si>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</si>
  <si>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</si>
  <si>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</si>
  <si>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</si>
  <si>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</si>
  <si>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</si>
  <si>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</si>
  <si>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</si>
  <si>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</si>
  <si>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</si>
  <si>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</si>
  <si>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</si>
  <si>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</si>
  <si>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</si>
  <si>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</si>
  <si>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</si>
  <si>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</si>
  <si>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</si>
  <si>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</si>
  <si>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</si>
  <si>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</si>
  <si>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</si>
  <si>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</si>
  <si>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</si>
  <si>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</si>
  <si>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</si>
  <si>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</si>
  <si>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</si>
  <si>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</si>
  <si>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</si>
  <si>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</si>
  <si>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</si>
  <si>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</si>
  <si>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</si>
  <si>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</si>
  <si>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</si>
  <si>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</si>
  <si>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</si>
  <si>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</si>
  <si>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</si>
  <si>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</si>
  <si>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</si>
  <si>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</si>
  <si>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</si>
  <si>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</si>
  <si>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</si>
  <si>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</si>
  <si>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</si>
  <si>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</si>
  <si>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</si>
  <si>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</si>
  <si>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</si>
  <si>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</si>
  <si>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</si>
  <si>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</si>
  <si>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</si>
  <si>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</si>
  <si>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</si>
  <si>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</si>
  <si>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</si>
  <si>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</si>
  <si>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</si>
  <si>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</si>
  <si>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</si>
  <si>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</si>
  <si>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</si>
  <si>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</si>
  <si>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</si>
  <si>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</si>
  <si>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</si>
  <si>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</si>
  <si>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</si>
  <si>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</si>
  <si>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</si>
  <si>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</si>
  <si>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</si>
  <si>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</si>
  <si>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</si>
  <si>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</si>
  <si>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</si>
  <si>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</si>
  <si>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</si>
  <si>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</si>
  <si>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</si>
  <si>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</si>
  <si>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</si>
  <si>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</si>
  <si>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</si>
  <si>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</si>
  <si>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</si>
  <si>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</si>
  <si>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</si>
  <si>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</si>
  <si>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</si>
  <si>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</si>
  <si>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</si>
  <si>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</si>
  <si>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</si>
  <si>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</si>
  <si>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</si>
  <si>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</si>
  <si>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</si>
  <si>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</si>
  <si>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</si>
  <si>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</si>
  <si>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</si>
  <si>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</si>
  <si>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</si>
  <si>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</si>
  <si>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</si>
  <si>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</si>
  <si>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</si>
  <si>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</si>
  <si>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</si>
  <si>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</si>
  <si>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</si>
  <si>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</si>
  <si>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</si>
  <si>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</si>
  <si>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</si>
  <si>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</si>
  <si>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</si>
  <si>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</si>
  <si>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</si>
  <si>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</si>
  <si>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</si>
  <si>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</si>
  <si>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</si>
  <si>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</si>
  <si>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</si>
  <si>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</si>
  <si>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</si>
  <si>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</si>
  <si>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</si>
  <si>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</si>
  <si>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</si>
  <si>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</si>
  <si>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</si>
  <si>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</si>
  <si>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</si>
  <si>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</si>
  <si>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</si>
  <si>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</si>
  <si>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</si>
  <si>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</si>
  <si>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</si>
  <si>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</si>
  <si>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</si>
  <si>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</si>
  <si>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</si>
  <si>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</si>
  <si>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</si>
  <si>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</si>
  <si>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</si>
  <si>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</si>
  <si>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</si>
  <si>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</si>
  <si>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</si>
  <si>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</si>
  <si>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</si>
  <si>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</si>
  <si>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</si>
  <si>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</si>
  <si>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</si>
  <si>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</si>
  <si>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</si>
  <si>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</si>
  <si>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</si>
  <si>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</si>
  <si>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</si>
  <si>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</si>
  <si>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</si>
  <si>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</si>
  <si>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</si>
  <si>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</si>
  <si>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</si>
  <si>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</si>
  <si>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</si>
  <si>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</si>
  <si>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</si>
  <si>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</si>
  <si>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</si>
  <si>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</si>
  <si>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</si>
  <si>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</si>
  <si>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</si>
  <si>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</si>
  <si>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</si>
  <si>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</si>
  <si>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</si>
  <si>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</si>
  <si>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</si>
  <si>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</si>
  <si>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</si>
  <si>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</si>
  <si>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</si>
  <si>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</si>
  <si>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</si>
  <si>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</si>
  <si>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</si>
  <si>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</si>
  <si>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</si>
  <si>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</si>
  <si>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</si>
  <si>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</si>
  <si>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</si>
  <si>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</si>
  <si>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</si>
  <si>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</si>
  <si>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</si>
  <si>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</si>
  <si>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</si>
  <si>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</si>
  <si>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</si>
  <si>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</si>
  <si>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</si>
  <si>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</si>
  <si>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</si>
  <si>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</si>
  <si>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</si>
  <si>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</si>
  <si>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</si>
  <si>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</si>
  <si>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</si>
  <si>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</si>
  <si>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</si>
  <si>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</si>
  <si>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</si>
  <si>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</si>
  <si>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</si>
  <si>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</si>
  <si>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</si>
  <si>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</si>
  <si>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</si>
  <si>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</si>
  <si>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</si>
  <si>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</si>
  <si>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</si>
  <si>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</si>
  <si>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</si>
  <si>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</si>
  <si>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</si>
  <si>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</si>
  <si>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</si>
  <si>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</si>
  <si>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</si>
  <si>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</si>
  <si>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</si>
  <si>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</si>
  <si>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</si>
  <si>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</si>
  <si>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</si>
  <si>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</si>
  <si>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</si>
  <si>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</si>
  <si>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</si>
  <si>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</si>
  <si>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</si>
  <si>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</si>
  <si>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</si>
  <si>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</si>
  <si>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</si>
  <si>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</si>
  <si>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</si>
  <si>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</si>
  <si>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</si>
  <si>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</si>
  <si>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</si>
  <si>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</si>
  <si>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</si>
  <si>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</si>
  <si>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</si>
  <si>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</si>
  <si>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</si>
  <si>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</si>
  <si>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</si>
  <si>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</si>
  <si>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</si>
  <si>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</si>
  <si>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</si>
  <si>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</si>
  <si>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</si>
  <si>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</si>
  <si>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</si>
  <si>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</si>
  <si>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</si>
  <si>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</si>
  <si>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</si>
  <si>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</si>
  <si>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</si>
  <si>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</si>
  <si>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</si>
  <si>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</si>
  <si>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</si>
  <si>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</si>
  <si>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</si>
  <si>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</si>
  <si>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</si>
  <si>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</si>
  <si>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</si>
  <si>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</si>
  <si>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</si>
  <si>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</si>
  <si>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</si>
  <si>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</si>
  <si>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</si>
  <si>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</si>
  <si>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</si>
  <si>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</si>
  <si>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</si>
  <si>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</si>
  <si>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</si>
  <si>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</si>
  <si>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</si>
  <si>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</si>
  <si>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</si>
  <si>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</si>
  <si>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</si>
  <si>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</si>
  <si>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</si>
  <si>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</si>
  <si>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</si>
  <si>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</si>
  <si>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</si>
  <si>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</si>
  <si>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</si>
  <si>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</si>
  <si>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</si>
  <si>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</si>
  <si>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</si>
  <si>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</si>
  <si>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</si>
  <si>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</si>
  <si>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</si>
  <si>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</si>
  <si>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</si>
  <si>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</si>
  <si>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</si>
  <si>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</si>
  <si>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</si>
  <si>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</si>
  <si>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</si>
  <si>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</si>
  <si>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</si>
  <si>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</si>
  <si>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</si>
  <si>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</si>
  <si>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</si>
  <si>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</si>
  <si>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</si>
  <si>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</si>
  <si>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</si>
  <si>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</si>
  <si>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</si>
  <si>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</si>
  <si>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</si>
  <si>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</si>
  <si>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</si>
  <si>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</si>
  <si>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</si>
  <si>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</si>
  <si>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</si>
  <si>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</si>
  <si>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</si>
  <si>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</si>
  <si>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</si>
  <si>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</si>
  <si>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</si>
  <si>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</si>
  <si>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</si>
  <si>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</si>
  <si>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</si>
  <si>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</si>
  <si>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</si>
  <si>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</si>
  <si>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</si>
  <si>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</si>
  <si>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</si>
  <si>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</si>
  <si>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</si>
  <si>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</si>
  <si>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</si>
  <si>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</si>
  <si>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</si>
  <si>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</si>
  <si>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</si>
  <si>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</si>
  <si>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</si>
  <si>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</si>
  <si>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</si>
  <si>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</si>
  <si>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</si>
  <si>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</si>
  <si>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</si>
  <si>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</si>
  <si>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</si>
  <si>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</si>
  <si>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</si>
  <si>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</si>
  <si>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</si>
  <si>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</si>
  <si>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</si>
  <si>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</si>
  <si>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</si>
  <si>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</si>
  <si>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</si>
  <si>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</si>
  <si>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</si>
  <si>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</si>
  <si>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</si>
  <si>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</si>
  <si>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</si>
  <si>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</si>
  <si>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</si>
  <si>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</si>
  <si>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</si>
  <si>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</si>
  <si>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</si>
  <si>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</si>
  <si>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</si>
  <si>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</si>
  <si>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</si>
  <si>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</si>
  <si>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</si>
  <si>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</si>
  <si>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</si>
  <si>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</si>
  <si>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</si>
  <si>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</si>
  <si>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</si>
  <si>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</si>
  <si>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</si>
  <si>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</si>
  <si>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</si>
  <si>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</si>
  <si>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</si>
  <si>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</si>
  <si>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</si>
  <si>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</si>
  <si>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</si>
  <si>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</si>
  <si>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</si>
  <si>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</si>
  <si>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</si>
  <si>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</si>
  <si>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</si>
  <si>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</si>
  <si>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</si>
  <si>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</si>
  <si>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</si>
  <si>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</si>
  <si>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</si>
  <si>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</si>
  <si>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</si>
  <si>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</si>
  <si>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</si>
  <si>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</si>
  <si>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</si>
  <si>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</si>
  <si>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</si>
  <si>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</si>
  <si>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</si>
  <si>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</si>
  <si>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</si>
  <si>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</si>
  <si>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</si>
  <si>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</si>
  <si>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</si>
  <si>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</si>
  <si>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</si>
  <si>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</si>
  <si>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</si>
  <si>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</si>
  <si>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</si>
  <si>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</si>
  <si>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</si>
  <si>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</si>
  <si>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</si>
  <si>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</si>
  <si>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</si>
  <si>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</si>
  <si>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</si>
  <si>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</si>
  <si>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</si>
  <si>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</si>
  <si>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</si>
  <si>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</si>
  <si>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</si>
  <si>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</si>
  <si>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</si>
  <si>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</si>
  <si>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</si>
  <si>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</si>
  <si>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</si>
  <si>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</si>
  <si>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</si>
  <si>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</si>
  <si>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</si>
  <si>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</si>
  <si>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</si>
  <si>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</si>
  <si>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</si>
  <si>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</si>
  <si>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</si>
  <si>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</si>
  <si>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</si>
  <si>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</si>
  <si>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</si>
  <si>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</si>
  <si>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</si>
  <si>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</si>
  <si>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</si>
  <si>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</si>
  <si>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</si>
  <si>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</si>
  <si>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</si>
  <si>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</si>
  <si>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</si>
  <si>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</si>
  <si>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</si>
  <si>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</si>
  <si>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</si>
  <si>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</si>
  <si>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</si>
  <si>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</si>
  <si>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</si>
  <si>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</si>
  <si>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</si>
  <si>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</si>
  <si>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</si>
  <si>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</si>
  <si>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</si>
  <si>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</si>
  <si>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</si>
  <si>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</si>
  <si>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</si>
  <si>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</si>
  <si>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</si>
  <si>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</si>
  <si>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</si>
  <si>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</si>
  <si>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</si>
  <si>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</si>
  <si>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</si>
  <si>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</si>
  <si>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</si>
  <si>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</si>
  <si>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</si>
  <si>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</si>
  <si>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</si>
  <si>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</si>
  <si>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</si>
  <si>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</si>
  <si>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</si>
  <si>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</si>
  <si>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</si>
  <si>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</si>
  <si>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</si>
  <si>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</si>
  <si>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</si>
  <si>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</si>
  <si>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</si>
  <si>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</si>
  <si>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</si>
  <si>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</si>
  <si>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</si>
  <si>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</si>
  <si>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</si>
  <si>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</si>
  <si>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</si>
  <si>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</si>
  <si>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</si>
  <si>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</si>
  <si>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</si>
  <si>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</si>
  <si>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</si>
  <si>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</si>
  <si>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</si>
  <si>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</si>
  <si>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</si>
  <si>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</si>
  <si>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</si>
  <si>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</si>
  <si>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</si>
  <si>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</si>
  <si>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</si>
  <si>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</si>
  <si>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</si>
  <si>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</si>
  <si>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</si>
  <si>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</si>
  <si>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</si>
  <si>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</si>
  <si>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</si>
  <si>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</si>
  <si>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</si>
  <si>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</si>
  <si>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</si>
  <si>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</si>
  <si>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</si>
  <si>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</si>
  <si>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</si>
  <si>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</si>
  <si>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</si>
  <si>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</si>
  <si>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</si>
  <si>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</si>
  <si>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</si>
  <si>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</si>
  <si>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</si>
  <si>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</si>
  <si>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</si>
  <si>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</si>
  <si>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</si>
  <si>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</si>
  <si>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</si>
  <si>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</si>
  <si>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</si>
  <si>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</si>
  <si>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</si>
  <si>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</si>
  <si>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</si>
  <si>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</si>
  <si>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</si>
  <si>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</si>
  <si>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</si>
  <si>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</si>
  <si>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</si>
  <si>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</si>
  <si>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</si>
  <si>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</si>
  <si>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</si>
  <si>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</si>
  <si>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</si>
  <si>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</si>
  <si>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</si>
  <si>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</si>
  <si>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</si>
  <si>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</si>
  <si>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</si>
  <si>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</si>
  <si>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</si>
  <si>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</si>
  <si>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</si>
  <si>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</si>
  <si>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</si>
  <si>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</si>
  <si>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</si>
  <si>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</si>
  <si>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</si>
  <si>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</si>
  <si>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</si>
  <si>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</si>
  <si>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</si>
  <si>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</si>
  <si>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</si>
  <si>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</si>
  <si>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</si>
  <si>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</si>
  <si>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</si>
  <si>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</si>
  <si>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</si>
  <si>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</si>
  <si>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</si>
  <si>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</si>
  <si>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</si>
  <si>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</si>
  <si>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</si>
  <si>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</si>
  <si>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</si>
  <si>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</si>
  <si>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</si>
  <si>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</si>
  <si>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</si>
  <si>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</si>
  <si>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</si>
  <si>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</si>
  <si>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</si>
  <si>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</si>
  <si>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</si>
  <si>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</si>
  <si>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</si>
  <si>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</si>
  <si>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</si>
  <si>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</si>
  <si>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</si>
  <si>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</si>
  <si>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</si>
  <si>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</si>
  <si>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</si>
  <si>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</si>
  <si>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</si>
  <si>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</si>
  <si>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</si>
  <si>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</si>
  <si>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</si>
  <si>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</si>
  <si>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</si>
  <si>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</si>
  <si>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</si>
  <si>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</si>
  <si>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</si>
  <si>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</si>
  <si>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</si>
  <si>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</si>
  <si>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</si>
  <si>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</si>
  <si>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</si>
  <si>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</si>
  <si>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</si>
  <si>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</si>
  <si>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</si>
  <si>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</si>
  <si>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</si>
  <si>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</si>
  <si>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</si>
  <si>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</si>
  <si>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</si>
  <si>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</si>
  <si>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</si>
  <si>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</si>
  <si>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</si>
  <si>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</si>
  <si>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</si>
  <si>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</si>
  <si>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</si>
  <si>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</si>
  <si>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</si>
  <si>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</si>
  <si>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</si>
  <si>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</si>
  <si>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</si>
  <si>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</si>
  <si>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</si>
  <si>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</si>
  <si>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</si>
  <si>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</si>
  <si>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</si>
  <si>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</si>
  <si>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</si>
  <si>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</si>
  <si>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</si>
  <si>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</si>
  <si>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</si>
  <si>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</si>
  <si>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</si>
  <si>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</si>
  <si>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</si>
  <si>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</si>
  <si>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</si>
  <si>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</si>
  <si>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</si>
  <si>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</si>
  <si>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</si>
  <si>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</si>
  <si>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</si>
  <si>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</si>
  <si>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</si>
  <si>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</si>
  <si>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</si>
  <si>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</si>
  <si>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</si>
  <si>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</si>
  <si>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</si>
  <si>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</si>
  <si>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</si>
  <si>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</si>
  <si>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</si>
  <si>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</si>
  <si>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</si>
  <si>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</si>
  <si>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</si>
  <si>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</si>
  <si>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</si>
  <si>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</si>
  <si>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</si>
  <si>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</si>
  <si>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</si>
  <si>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</si>
  <si>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</si>
  <si>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</si>
  <si>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</si>
  <si>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</si>
  <si>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</si>
  <si>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</si>
  <si>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</si>
  <si>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</si>
  <si>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</si>
  <si>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</si>
  <si>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</si>
  <si>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</si>
  <si>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</si>
  <si>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</si>
  <si>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</si>
  <si>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</si>
  <si>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</si>
  <si>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</si>
  <si>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</si>
  <si>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</si>
  <si>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</si>
  <si>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</si>
  <si>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</si>
  <si>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</si>
  <si>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</si>
  <si>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</si>
  <si>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</si>
  <si>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</si>
  <si>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</si>
  <si>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</si>
  <si>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</si>
  <si>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</si>
  <si>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</si>
  <si>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</si>
  <si>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</si>
  <si>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</si>
  <si>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</si>
  <si>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</si>
  <si>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</si>
  <si>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</si>
  <si>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</si>
  <si>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</si>
  <si>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</si>
  <si>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</si>
  <si>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</si>
  <si>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</si>
  <si>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</si>
  <si>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</si>
  <si>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</si>
  <si>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</si>
  <si>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</si>
  <si>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</si>
  <si>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</si>
  <si>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</si>
  <si>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</si>
  <si>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</si>
  <si>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</si>
  <si>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</si>
  <si>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</si>
  <si>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</si>
  <si>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</si>
  <si>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</si>
  <si>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</si>
  <si>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</si>
  <si>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</si>
  <si>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</si>
  <si>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</si>
  <si>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</si>
  <si>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</si>
  <si>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</si>
  <si>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</si>
  <si>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</si>
  <si>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</si>
  <si>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</si>
  <si>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</si>
  <si>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</si>
  <si>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</si>
  <si>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</si>
  <si>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</si>
  <si>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</si>
  <si>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</si>
  <si>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</si>
  <si>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</si>
  <si>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</si>
  <si>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</si>
  <si>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</si>
  <si>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</si>
  <si>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</si>
  <si>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</si>
  <si>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</si>
  <si>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</si>
  <si>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</si>
  <si>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</si>
  <si>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</si>
  <si>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</si>
  <si>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</si>
  <si>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</si>
  <si>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</si>
  <si>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</si>
  <si>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</si>
  <si>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</si>
  <si>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</si>
  <si>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</si>
  <si>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</si>
  <si>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</si>
  <si>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</si>
  <si>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</si>
  <si>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</si>
  <si>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</si>
  <si>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</si>
  <si>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</si>
  <si>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</si>
  <si>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</si>
  <si>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</si>
  <si>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</si>
  <si>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</si>
  <si>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</si>
  <si>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</si>
  <si>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</si>
  <si>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</si>
  <si>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</si>
  <si>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</si>
  <si>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</si>
  <si>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</si>
  <si>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</si>
  <si>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</si>
  <si>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</si>
  <si>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</si>
  <si>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</si>
  <si>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</si>
  <si>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</si>
  <si>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</si>
  <si>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</si>
  <si>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</si>
  <si>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</si>
  <si>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</si>
  <si>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</si>
  <si>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</si>
  <si>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</si>
  <si>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</si>
  <si>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</si>
  <si>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</si>
  <si>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</si>
  <si>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</si>
  <si>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</si>
  <si>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</si>
  <si>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</si>
  <si>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</si>
  <si>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</si>
  <si>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</si>
  <si>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</si>
  <si>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</si>
  <si>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</si>
  <si>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</si>
  <si>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</si>
  <si>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</si>
  <si>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</si>
  <si>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</si>
  <si>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</si>
  <si>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</si>
  <si>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</si>
  <si>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</si>
  <si>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</si>
  <si>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</si>
  <si>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</si>
  <si>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</si>
  <si>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</si>
  <si>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</si>
  <si>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</si>
  <si>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</si>
  <si>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</si>
  <si>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</si>
  <si>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</si>
  <si>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</si>
  <si>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</si>
  <si>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</si>
  <si>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</si>
  <si>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</si>
  <si>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</si>
  <si>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</si>
  <si>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</si>
  <si>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</si>
  <si>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</si>
  <si>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</si>
  <si>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</si>
  <si>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</si>
  <si>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</si>
  <si>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</si>
  <si>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</si>
  <si>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</si>
  <si>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</si>
  <si>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</si>
  <si>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</si>
  <si>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</si>
  <si>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</si>
  <si>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</si>
  <si>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</si>
  <si>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</si>
  <si>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</si>
  <si>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</si>
  <si>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</si>
  <si>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</si>
  <si>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</si>
  <si>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</si>
  <si>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</si>
  <si>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</si>
  <si>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</si>
  <si>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</si>
  <si>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</si>
  <si>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</si>
  <si>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</si>
  <si>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</si>
  <si>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</si>
  <si>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</si>
  <si>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</si>
  <si>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</si>
  <si>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</si>
  <si>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</si>
  <si>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</si>
  <si>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</si>
  <si>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</si>
  <si>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</si>
  <si>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</si>
  <si>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</si>
  <si>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</si>
  <si>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</si>
  <si>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</si>
  <si>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</si>
  <si>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</si>
  <si>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</si>
  <si>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</si>
  <si>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</si>
  <si>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</si>
  <si>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</si>
  <si>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</si>
  <si>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</si>
  <si>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</si>
  <si>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</si>
  <si>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</si>
  <si>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</si>
  <si>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</si>
  <si>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</si>
  <si>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</si>
  <si>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</si>
  <si>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</si>
  <si>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</si>
  <si>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</si>
  <si>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</si>
  <si>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</si>
  <si>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</si>
  <si>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</si>
  <si>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</si>
  <si>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</si>
  <si>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</si>
  <si>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</si>
  <si>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</si>
  <si>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</si>
  <si>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</si>
  <si>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</si>
  <si>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</si>
  <si>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</si>
  <si>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</si>
  <si>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</si>
  <si>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</si>
  <si>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</si>
  <si>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</si>
  <si>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</si>
  <si>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</si>
  <si>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</si>
  <si>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</si>
  <si>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</si>
  <si>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</si>
  <si>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</si>
  <si>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</si>
  <si>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</si>
  <si>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</si>
  <si>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</si>
  <si>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</si>
  <si>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</si>
  <si>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</si>
  <si>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</si>
  <si>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</si>
  <si>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</si>
  <si>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</si>
  <si>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</si>
  <si>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</si>
  <si>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</si>
  <si>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</si>
  <si>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</si>
  <si>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</si>
  <si>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</si>
  <si>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</si>
  <si>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</si>
  <si>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</si>
  <si>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</si>
  <si>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</si>
  <si>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</si>
  <si>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</si>
  <si>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</si>
  <si>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</si>
  <si>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</si>
  <si>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</si>
  <si>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</si>
  <si>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</si>
  <si>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</si>
  <si>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</si>
  <si>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</si>
  <si>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</si>
  <si>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</si>
  <si>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</si>
  <si>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</si>
  <si>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</si>
  <si>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</si>
  <si>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</si>
  <si>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</si>
  <si>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</si>
  <si>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</si>
  <si>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</si>
  <si>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</si>
  <si>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</si>
  <si>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</si>
  <si>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</si>
  <si>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</si>
  <si>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</si>
  <si>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</si>
  <si>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</si>
  <si>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</si>
  <si>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</si>
  <si>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</si>
  <si>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</si>
  <si>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</si>
  <si>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</si>
  <si>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</si>
  <si>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</si>
  <si>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</si>
  <si>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</si>
  <si>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</si>
  <si>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</si>
  <si>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</si>
  <si>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</si>
  <si>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</si>
  <si>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</si>
  <si>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</si>
  <si>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</si>
  <si>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</si>
  <si>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</si>
  <si>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</si>
  <si>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</si>
  <si>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</si>
  <si>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</si>
  <si>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</si>
  <si>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</si>
  <si>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</si>
  <si>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</si>
  <si>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</si>
  <si>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</si>
  <si>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</si>
  <si>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</si>
  <si>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</si>
  <si>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</si>
  <si>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</si>
  <si>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</si>
  <si>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</si>
  <si>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</si>
  <si>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</si>
  <si>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</si>
  <si>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</si>
  <si>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</si>
  <si>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</si>
  <si>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</si>
  <si>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</si>
  <si>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</si>
  <si>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</si>
  <si>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</si>
  <si>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</si>
  <si>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</si>
  <si>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</si>
  <si>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</si>
  <si>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</si>
  <si>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</si>
  <si>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</si>
  <si>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</si>
  <si>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</si>
  <si>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</si>
  <si>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</si>
  <si>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</si>
  <si>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</si>
  <si>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</si>
  <si>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</si>
  <si>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</si>
  <si>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</si>
  <si>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</si>
  <si>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</si>
  <si>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</si>
  <si>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</si>
  <si>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</si>
  <si>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</si>
  <si>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</si>
  <si>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</si>
  <si>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</si>
  <si>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</si>
  <si>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</si>
  <si>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</si>
  <si>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</si>
  <si>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</si>
  <si>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</si>
  <si>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</si>
  <si>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</si>
  <si>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</si>
  <si>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</si>
  <si>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</si>
  <si>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</si>
  <si>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</si>
  <si>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</si>
  <si>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</si>
  <si>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</si>
  <si>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</si>
  <si>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</si>
  <si>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</si>
  <si>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</si>
  <si>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</si>
  <si>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</si>
  <si>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</si>
  <si>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</si>
  <si>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</si>
  <si>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</si>
  <si>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</si>
  <si>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</si>
  <si>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</si>
  <si>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</si>
  <si>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</si>
  <si>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</si>
  <si>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</si>
  <si>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</si>
  <si>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</si>
  <si>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</si>
  <si>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</si>
  <si>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</si>
  <si>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</si>
  <si>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</si>
  <si>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</si>
  <si>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</si>
  <si>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</si>
  <si>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</si>
  <si>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</si>
  <si>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</si>
  <si>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</si>
  <si>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</si>
  <si>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</si>
  <si>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</si>
  <si>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</si>
  <si>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</si>
  <si>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</si>
  <si>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</si>
  <si>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</si>
  <si>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</si>
  <si>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</si>
  <si>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</si>
  <si>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</si>
  <si>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</si>
  <si>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</si>
  <si>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</si>
  <si>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</si>
  <si>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</si>
  <si>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</si>
  <si>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</si>
  <si>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</si>
  <si>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</si>
  <si>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</si>
  <si>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</si>
  <si>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</si>
  <si>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</si>
  <si>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</si>
  <si>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</si>
  <si>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</si>
  <si>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</si>
  <si>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</si>
  <si>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</si>
  <si>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</si>
  <si>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</si>
  <si>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</si>
  <si>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</si>
  <si>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</si>
  <si>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</si>
  <si>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</si>
  <si>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</si>
  <si>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</si>
  <si>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</si>
  <si>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</si>
  <si>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</si>
  <si>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</si>
  <si>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</si>
  <si>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</si>
  <si>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</si>
  <si>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</si>
  <si>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</si>
  <si>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</si>
  <si>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</si>
  <si>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</si>
  <si>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</si>
  <si>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</si>
  <si>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</si>
  <si>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</si>
  <si>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</si>
  <si>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</si>
  <si>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</si>
  <si>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</si>
  <si>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</si>
  <si>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</si>
  <si>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</si>
  <si>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</si>
  <si>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</si>
  <si>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</si>
  <si>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</si>
  <si>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</si>
  <si>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</si>
  <si>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</si>
  <si>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</si>
  <si>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</si>
  <si>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</si>
  <si>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</si>
  <si>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</si>
  <si>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</si>
  <si>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</si>
  <si>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</si>
  <si>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</si>
  <si>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</si>
  <si>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</si>
  <si>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</si>
  <si>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</si>
  <si>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</si>
  <si>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</si>
  <si>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</si>
  <si>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</si>
  <si>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</si>
  <si>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</si>
  <si>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</si>
  <si>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</si>
  <si>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</si>
  <si>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</si>
  <si>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</si>
  <si>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</si>
  <si>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</si>
  <si>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</si>
  <si>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</si>
  <si>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</si>
  <si>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</si>
  <si>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</si>
  <si>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</si>
  <si>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</si>
  <si>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</si>
  <si>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</si>
  <si>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</si>
  <si>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</si>
  <si>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</si>
  <si>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</si>
  <si>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</si>
  <si>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</si>
  <si>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</si>
  <si>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</si>
  <si>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</si>
  <si>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</si>
  <si>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</si>
  <si>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</si>
  <si>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</si>
  <si>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</si>
  <si>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</si>
  <si>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</si>
  <si>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</si>
  <si>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</si>
  <si>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</si>
  <si>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</si>
  <si>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</si>
  <si>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</si>
  <si>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</si>
  <si>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</si>
  <si>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</si>
  <si>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</si>
  <si>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</si>
  <si>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</si>
  <si>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</si>
  <si>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</si>
  <si>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</si>
  <si>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</si>
  <si>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</si>
  <si>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</si>
  <si>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</si>
  <si>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</si>
  <si>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</si>
  <si>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</si>
  <si>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</si>
  <si>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</si>
  <si>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</si>
  <si>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</si>
  <si>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</si>
  <si>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</si>
  <si>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</si>
  <si>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</si>
  <si>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</si>
  <si>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</si>
  <si>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</si>
  <si>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</si>
  <si>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</si>
  <si>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</si>
  <si>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</si>
  <si>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</si>
  <si>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</si>
  <si>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</si>
  <si>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</si>
  <si>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</si>
  <si>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</si>
  <si>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</si>
  <si>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</si>
  <si>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</si>
  <si>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</si>
  <si>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</si>
  <si>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</si>
  <si>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</si>
  <si>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</si>
  <si>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</si>
  <si>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</si>
  <si>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</si>
  <si>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</si>
  <si>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</si>
  <si>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</si>
  <si>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</si>
  <si>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</si>
  <si>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</si>
  <si>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</si>
  <si>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</si>
  <si>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</si>
  <si>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</si>
  <si>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</si>
  <si>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</si>
  <si>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</si>
  <si>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</si>
  <si>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</si>
  <si>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</si>
  <si>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</si>
  <si>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</si>
  <si>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</si>
  <si>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</si>
  <si>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</si>
  <si>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</si>
  <si>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</si>
  <si>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</si>
  <si>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</si>
  <si>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</si>
  <si>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</si>
  <si>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</si>
  <si>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</si>
  <si>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</si>
  <si>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</si>
  <si>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</si>
  <si>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</si>
  <si>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</si>
  <si>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</si>
  <si>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</si>
  <si>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</si>
  <si>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</si>
  <si>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</si>
  <si>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</si>
  <si>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</si>
  <si>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</si>
  <si>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</si>
  <si>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</si>
  <si>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</si>
  <si>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</si>
  <si>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</si>
  <si>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</si>
  <si>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</si>
  <si>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</si>
  <si>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</si>
  <si>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</si>
  <si>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</si>
  <si>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</si>
  <si>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</si>
  <si>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</si>
  <si>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</si>
  <si>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</si>
  <si>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</si>
  <si>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</si>
  <si>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</si>
  <si>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</si>
  <si>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</si>
  <si>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</si>
  <si>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</si>
  <si>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</si>
  <si>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</si>
  <si>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</si>
  <si>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</si>
  <si>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</si>
  <si>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</si>
  <si>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</si>
  <si>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</si>
  <si>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</si>
  <si>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</si>
  <si>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</si>
  <si>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</si>
  <si>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</si>
  <si>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</si>
  <si>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</si>
  <si>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</si>
  <si>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</si>
  <si>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</si>
  <si>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</si>
  <si>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</si>
  <si>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</si>
  <si>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</si>
  <si>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</si>
  <si>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</si>
  <si>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</si>
  <si>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</si>
  <si>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</si>
  <si>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</si>
  <si>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</si>
  <si>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</si>
  <si>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</si>
  <si>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</si>
  <si>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</si>
  <si>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</si>
  <si>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</si>
  <si>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</si>
  <si>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</si>
  <si>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</si>
  <si>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</si>
  <si>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</si>
  <si>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</si>
  <si>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</si>
  <si>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</si>
  <si>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</si>
  <si>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</si>
  <si>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</si>
  <si>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</si>
  <si>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</si>
  <si>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</si>
  <si>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</si>
  <si>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</si>
  <si>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</si>
  <si>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</si>
  <si>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</si>
  <si>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</si>
  <si>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</si>
  <si>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</si>
  <si>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</si>
  <si>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</si>
  <si>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</si>
  <si>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</si>
  <si>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</si>
  <si>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</si>
  <si>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</si>
  <si>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</si>
  <si>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</si>
  <si>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</si>
  <si>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</si>
  <si>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</si>
  <si>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</si>
  <si>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</si>
  <si>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</si>
  <si>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</si>
  <si>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</si>
  <si>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</si>
  <si>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</si>
  <si>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</si>
  <si>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</si>
  <si>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</si>
  <si>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</si>
  <si>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</si>
  <si>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</si>
  <si>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</si>
  <si>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</si>
  <si>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</si>
  <si>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</si>
  <si>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</si>
  <si>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</si>
  <si>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</si>
  <si>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</si>
  <si>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</si>
  <si>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</si>
  <si>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</si>
  <si>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</si>
  <si>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</si>
  <si>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</si>
  <si>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</si>
  <si>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</si>
  <si>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</si>
  <si>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</si>
  <si>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</si>
  <si>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</si>
  <si>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</si>
  <si>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</si>
  <si>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</si>
  <si>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</si>
  <si>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</si>
  <si>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</si>
  <si>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</si>
  <si>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</si>
  <si>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</si>
  <si>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</si>
  <si>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</si>
  <si>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</si>
  <si>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</si>
  <si>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</si>
  <si>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</si>
  <si>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</si>
  <si>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</si>
  <si>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</si>
  <si>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</si>
  <si>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</si>
  <si>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</si>
  <si>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</si>
  <si>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</si>
  <si>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</si>
  <si>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</si>
  <si>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</si>
  <si>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</si>
  <si>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</si>
  <si>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</si>
  <si>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</si>
  <si>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</si>
  <si>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</si>
  <si>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</si>
  <si>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</si>
  <si>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</si>
  <si>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</si>
  <si>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</si>
  <si>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</si>
  <si>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</si>
  <si>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</si>
  <si>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</si>
  <si>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</si>
  <si>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</si>
  <si>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</si>
  <si>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</si>
  <si>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</si>
  <si>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</si>
  <si>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</si>
  <si>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</si>
  <si>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</si>
  <si>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</si>
  <si>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</si>
  <si>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</si>
  <si>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</si>
  <si>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</si>
  <si>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</si>
  <si>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</si>
  <si>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</si>
  <si>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</si>
  <si>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</si>
  <si>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</si>
  <si>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</si>
  <si>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</si>
  <si>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</si>
  <si>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</si>
  <si>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</si>
  <si>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</si>
  <si>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</si>
  <si>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</si>
  <si>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</si>
  <si>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</si>
  <si>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</si>
  <si>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</si>
  <si>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</si>
  <si>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</si>
  <si>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</si>
  <si>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</si>
  <si>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</si>
  <si>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</si>
  <si>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</si>
  <si>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</si>
  <si>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</si>
  <si>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</si>
  <si>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</si>
  <si>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</si>
  <si>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</si>
  <si>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</si>
  <si>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</si>
  <si>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</si>
  <si>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</si>
  <si>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</si>
  <si>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</si>
  <si>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</si>
  <si>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</si>
  <si>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</si>
  <si>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</si>
  <si>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</si>
  <si>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</si>
  <si>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</si>
  <si>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</si>
  <si>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</si>
  <si>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</si>
  <si>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</si>
  <si>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</si>
  <si>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</si>
  <si>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</si>
  <si>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</si>
  <si>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</si>
  <si>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</si>
  <si>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</si>
  <si>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</si>
  <si>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</si>
  <si>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</si>
  <si>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</si>
  <si>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</si>
  <si>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</si>
  <si>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</si>
  <si>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</si>
  <si>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</si>
  <si>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</si>
  <si>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</si>
  <si>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</si>
  <si>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</si>
  <si>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</si>
  <si>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</si>
  <si>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</si>
  <si>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</si>
  <si>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</si>
  <si>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</si>
  <si>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</si>
  <si>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</si>
  <si>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</si>
  <si>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</si>
  <si>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</si>
  <si>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</si>
  <si>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</si>
  <si>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</si>
  <si>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</si>
  <si>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</si>
  <si>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</si>
  <si>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</si>
  <si>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</si>
  <si>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</si>
  <si>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</si>
  <si>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</si>
  <si>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</si>
  <si>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</si>
  <si>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</si>
  <si>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</si>
  <si>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</si>
  <si>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</si>
  <si>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</si>
  <si>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</si>
  <si>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</si>
  <si>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</si>
  <si>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</si>
  <si>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</si>
  <si>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</si>
  <si>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</si>
  <si>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</si>
  <si>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</si>
  <si>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</si>
  <si>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</si>
  <si>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</si>
  <si>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</si>
  <si>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</si>
  <si>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</si>
  <si>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</si>
  <si>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</si>
  <si>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</si>
  <si>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</si>
  <si>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</si>
  <si>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</si>
  <si>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</si>
  <si>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</si>
  <si>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</si>
  <si>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</si>
  <si>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</si>
  <si>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</si>
  <si>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</si>
  <si>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</si>
  <si>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</si>
  <si>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</si>
  <si>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</si>
  <si>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</si>
  <si>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</si>
  <si>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</si>
  <si>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</si>
  <si>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</si>
  <si>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</si>
  <si>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</si>
  <si>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</si>
  <si>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</si>
  <si>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</si>
  <si>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</si>
  <si>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</si>
  <si>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</si>
  <si>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</si>
  <si>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</si>
  <si>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</si>
  <si>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</si>
  <si>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</si>
  <si>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</si>
  <si>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</si>
  <si>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</si>
  <si>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</si>
  <si>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</si>
  <si>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</si>
  <si>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</si>
  <si>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</si>
  <si>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</si>
  <si>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</si>
  <si>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</si>
  <si>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</si>
  <si>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</si>
  <si>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</si>
  <si>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</si>
  <si>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</si>
  <si>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</si>
  <si>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</si>
  <si>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</si>
  <si>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</si>
  <si>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</si>
  <si>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</si>
  <si>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</si>
  <si>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</si>
  <si>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</si>
  <si>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</si>
  <si>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</si>
  <si>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</si>
  <si>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</si>
  <si>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</si>
  <si>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</si>
  <si>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</si>
  <si>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</si>
  <si>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</si>
  <si>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</si>
  <si>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</si>
  <si>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</si>
  <si>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</si>
  <si>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</si>
  <si>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</si>
  <si>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</si>
  <si>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</si>
  <si>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</si>
  <si>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</si>
  <si>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</si>
  <si>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</si>
  <si>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</si>
  <si>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</si>
  <si>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</si>
  <si>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</si>
  <si>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</si>
  <si>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</si>
  <si>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</si>
  <si>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</si>
  <si>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</si>
  <si>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</si>
  <si>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</si>
  <si>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</si>
  <si>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</si>
  <si>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</si>
  <si>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</si>
  <si>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</si>
  <si>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</si>
  <si>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</si>
  <si>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</si>
  <si>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</si>
  <si>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</si>
  <si>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</si>
  <si>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</si>
  <si>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</si>
  <si>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</si>
  <si>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</si>
  <si>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</si>
  <si>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</si>
  <si>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</si>
  <si>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</si>
  <si>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</si>
  <si>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</si>
  <si>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</si>
  <si>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</si>
  <si>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</si>
  <si>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</si>
  <si>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</si>
  <si>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</si>
  <si>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</si>
  <si>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</si>
  <si>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</si>
  <si>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</si>
  <si>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</si>
  <si>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</si>
  <si>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</si>
  <si>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</si>
  <si>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</si>
  <si>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</si>
  <si>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</si>
  <si>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</si>
  <si>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</si>
  <si>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</si>
  <si>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</si>
  <si>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</si>
  <si>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</si>
  <si>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</si>
  <si>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</si>
  <si>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</si>
  <si>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</si>
  <si>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</si>
  <si>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</si>
  <si>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</si>
  <si>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</si>
  <si>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</si>
  <si>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</si>
  <si>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</si>
  <si>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</si>
  <si>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</si>
  <si>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</si>
  <si>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</si>
  <si>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</si>
  <si>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</si>
  <si>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</si>
  <si>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</si>
  <si>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</si>
  <si>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</si>
  <si>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</si>
  <si>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</si>
  <si>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</si>
  <si>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</si>
  <si>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</si>
  <si>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</si>
  <si>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</si>
  <si>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</si>
  <si>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</si>
  <si>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</si>
  <si>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</si>
  <si>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</si>
  <si>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</si>
  <si>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</si>
  <si>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</si>
  <si>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</si>
  <si>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</si>
  <si>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</si>
  <si>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</si>
  <si>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</si>
  <si>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</si>
  <si>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</si>
  <si>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</si>
  <si>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</si>
  <si>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</si>
  <si>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</si>
  <si>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</si>
  <si>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</si>
  <si>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</si>
  <si>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</si>
  <si>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</si>
  <si>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</si>
  <si>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</si>
  <si>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</si>
  <si>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</si>
  <si>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</si>
  <si>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</si>
  <si>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</si>
  <si>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</si>
  <si>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</si>
  <si>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</si>
  <si>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</si>
  <si>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</si>
  <si>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</si>
  <si>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</si>
  <si>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</si>
  <si>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</si>
  <si>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</si>
  <si>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</si>
  <si>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</si>
  <si>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</si>
  <si>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</si>
  <si>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</si>
  <si>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</si>
  <si>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</si>
  <si>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</si>
  <si>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</si>
  <si>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</si>
  <si>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</si>
  <si>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</si>
  <si>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</si>
  <si>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</si>
  <si>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</si>
  <si>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</si>
  <si>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</si>
  <si>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</si>
  <si>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</si>
  <si>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</si>
  <si>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</si>
  <si>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</si>
  <si>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</si>
  <si>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</si>
  <si>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</si>
  <si>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</si>
  <si>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</si>
  <si>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</si>
  <si>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</si>
  <si>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</si>
  <si>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</si>
  <si>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</si>
  <si>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</si>
  <si>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</si>
  <si>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</si>
  <si>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</si>
  <si>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</si>
  <si>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</si>
  <si>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</si>
  <si>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</si>
  <si>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</si>
  <si>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</si>
  <si>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</si>
  <si>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</si>
  <si>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</si>
  <si>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</si>
  <si>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</si>
  <si>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</si>
  <si>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</si>
  <si>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</si>
  <si>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</si>
  <si>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</si>
  <si>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</si>
  <si>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</si>
  <si>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</si>
  <si>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</si>
  <si>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</si>
  <si>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</si>
  <si>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</si>
  <si>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</si>
  <si>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</si>
  <si>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</si>
  <si>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</si>
  <si>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</si>
  <si>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</si>
  <si>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</si>
  <si>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</si>
  <si>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</si>
  <si>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</si>
  <si>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</si>
  <si>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</si>
  <si>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</si>
  <si>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</si>
  <si>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</si>
  <si>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</si>
  <si>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</si>
  <si>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</si>
  <si>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</si>
  <si>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</si>
  <si>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</si>
  <si>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</si>
  <si>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</si>
  <si>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</si>
  <si>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</si>
  <si>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</si>
  <si>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</si>
  <si>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</si>
  <si>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</si>
  <si>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</si>
  <si>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</si>
  <si>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</si>
  <si>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</si>
  <si>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</si>
  <si>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</si>
  <si>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</si>
  <si>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</si>
  <si>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</si>
  <si>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</si>
  <si>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</si>
  <si>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</si>
  <si>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</si>
  <si>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</si>
  <si>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</si>
  <si>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</si>
  <si>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</si>
  <si>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</si>
  <si>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</si>
  <si>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</si>
  <si>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</si>
  <si>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</si>
  <si>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</si>
  <si>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</si>
  <si>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</si>
  <si>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</si>
  <si>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</si>
  <si>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</si>
  <si>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</si>
  <si>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</si>
  <si>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</si>
  <si>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</si>
  <si>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</si>
  <si>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</si>
  <si>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</si>
  <si>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</si>
  <si>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</si>
  <si>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</si>
  <si>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</si>
  <si>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</si>
  <si>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</si>
  <si>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</si>
  <si>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</si>
  <si>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</si>
  <si>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</si>
  <si>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</si>
  <si>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</si>
  <si>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</si>
  <si>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</si>
  <si>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</si>
  <si>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</si>
  <si>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</si>
  <si>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</si>
  <si>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</si>
  <si>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</si>
  <si>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</si>
  <si>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</si>
  <si>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</si>
  <si>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</si>
  <si>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</si>
  <si>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</si>
  <si>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</si>
  <si>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</si>
  <si>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</si>
  <si>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</si>
  <si>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</si>
  <si>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</si>
  <si>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</si>
  <si>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</si>
  <si>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</si>
  <si>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</si>
  <si>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</si>
  <si>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</si>
  <si>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</si>
  <si>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</si>
  <si>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</si>
  <si>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</si>
  <si>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</si>
  <si>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</si>
  <si>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</si>
  <si>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</si>
  <si>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</si>
  <si>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</si>
  <si>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</si>
  <si>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</si>
  <si>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</si>
  <si>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</si>
  <si>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</si>
  <si>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</si>
  <si>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</si>
  <si>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</si>
  <si>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</si>
  <si>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</si>
  <si>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</si>
  <si>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</si>
  <si>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</si>
  <si>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</si>
  <si>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</si>
  <si>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</si>
  <si>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</si>
  <si>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</si>
  <si>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</si>
  <si>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</si>
  <si>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</si>
  <si>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</si>
  <si>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</si>
  <si>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</si>
  <si>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</si>
  <si>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</si>
  <si>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</si>
  <si>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</si>
  <si>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</si>
  <si>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</si>
  <si>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</si>
  <si>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</si>
  <si>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</si>
  <si>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</si>
  <si>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</si>
  <si>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</si>
  <si>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</si>
  <si>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</si>
  <si>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</si>
  <si>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</si>
  <si>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</si>
  <si>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</si>
  <si>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</si>
  <si>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</si>
  <si>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</si>
  <si>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</si>
  <si>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</si>
  <si>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</si>
  <si>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</si>
  <si>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</si>
  <si>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</si>
  <si>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</si>
  <si>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</si>
  <si>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</si>
  <si>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</si>
  <si>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</si>
  <si>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</si>
  <si>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</si>
  <si>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</si>
  <si>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</si>
  <si>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</si>
  <si>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</si>
  <si>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</si>
  <si>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</si>
  <si>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</si>
  <si>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</si>
  <si>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</si>
  <si>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</si>
  <si>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</si>
  <si>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</si>
  <si>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</si>
  <si>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</si>
  <si>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</si>
  <si>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</si>
  <si>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</si>
  <si>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</si>
  <si>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</si>
  <si>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</si>
  <si>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</si>
  <si>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</si>
  <si>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</si>
  <si>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</si>
  <si>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</si>
  <si>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</si>
  <si>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</si>
  <si>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</si>
  <si>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</si>
  <si>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</si>
  <si>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</si>
  <si>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</si>
  <si>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</si>
  <si>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</si>
  <si>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</si>
  <si>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</si>
  <si>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</si>
  <si>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</si>
  <si>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</si>
  <si>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</si>
  <si>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</si>
  <si>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</si>
  <si>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</si>
  <si>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</si>
  <si>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</si>
  <si>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</si>
  <si>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</si>
  <si>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</si>
  <si>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</si>
  <si>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</si>
  <si>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</si>
  <si>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</si>
  <si>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</si>
  <si>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</si>
  <si>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</si>
  <si>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</si>
  <si>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</si>
  <si>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</si>
  <si>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</si>
  <si>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</si>
  <si>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</si>
  <si>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</si>
  <si>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</si>
  <si>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</si>
  <si>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</si>
  <si>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</si>
  <si>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</si>
  <si>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</si>
  <si>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</si>
  <si>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</si>
  <si>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</si>
  <si>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</si>
  <si>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</si>
  <si>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</si>
  <si>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</si>
  <si>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</si>
  <si>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</si>
  <si>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</si>
  <si>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</si>
  <si>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</si>
  <si>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</si>
  <si>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</si>
  <si>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</si>
  <si>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</si>
  <si>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</si>
  <si>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</si>
  <si>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</si>
  <si>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</si>
  <si>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</si>
  <si>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</si>
  <si>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</si>
  <si>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</si>
  <si>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</si>
  <si>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</si>
  <si>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</si>
  <si>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</si>
  <si>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</si>
  <si>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</si>
  <si>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</si>
  <si>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</si>
  <si>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</si>
  <si>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</si>
  <si>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</si>
  <si>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</si>
  <si>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</si>
  <si>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</si>
  <si>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</si>
  <si>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</si>
  <si>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</si>
  <si>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</si>
  <si>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</si>
  <si>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</si>
  <si>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</si>
  <si>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</si>
  <si>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</si>
  <si>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</si>
  <si>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</si>
  <si>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</si>
  <si>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</si>
  <si>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</si>
  <si>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</si>
  <si>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</si>
  <si>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</si>
  <si>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</si>
  <si>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</si>
  <si>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</si>
  <si>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</si>
  <si>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</si>
  <si>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</si>
  <si>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</si>
  <si>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</si>
  <si>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</si>
  <si>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</si>
  <si>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</si>
  <si>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</si>
  <si>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</si>
  <si>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</si>
  <si>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</si>
  <si>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</si>
  <si>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</si>
  <si>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</si>
  <si>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</si>
  <si>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</si>
  <si>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</si>
  <si>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</si>
  <si>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</si>
  <si>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</si>
  <si>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</si>
  <si>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</si>
  <si>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</si>
  <si>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</si>
  <si>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</si>
  <si>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</si>
  <si>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</si>
  <si>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</si>
  <si>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</si>
  <si>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</si>
  <si>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</si>
  <si>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</si>
  <si>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</si>
  <si>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</si>
  <si>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</si>
  <si>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</si>
  <si>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</si>
  <si>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</si>
  <si>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</si>
  <si>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</si>
  <si>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</si>
  <si>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</si>
  <si>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</si>
  <si>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</si>
  <si>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</si>
  <si>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</si>
  <si>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</si>
  <si>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</si>
  <si>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</si>
  <si>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</si>
  <si>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</si>
  <si>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</si>
  <si>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</si>
  <si>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</si>
  <si>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</si>
  <si>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</si>
  <si>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</si>
  <si>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</si>
  <si>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</si>
  <si>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</si>
  <si>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</si>
  <si>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</si>
  <si>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</si>
  <si>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</si>
  <si>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</si>
  <si>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</si>
  <si>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</si>
  <si>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</si>
  <si>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</si>
  <si>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</si>
  <si>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</si>
  <si>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</si>
  <si>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</si>
  <si>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</si>
  <si>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</si>
  <si>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</si>
  <si>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</si>
  <si>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</si>
  <si>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</si>
  <si>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</si>
  <si>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</si>
  <si>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</si>
  <si>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</si>
  <si>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</si>
  <si>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</si>
  <si>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</si>
  <si>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</si>
  <si>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</si>
  <si>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</si>
  <si>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</si>
  <si>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</si>
  <si>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</si>
  <si>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</si>
  <si>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</si>
  <si>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</si>
  <si>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</si>
  <si>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</si>
  <si>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</si>
  <si>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</si>
  <si>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</si>
  <si>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</si>
  <si>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</si>
  <si>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</si>
  <si>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</si>
  <si>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</si>
  <si>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</si>
  <si>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</si>
  <si>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</si>
  <si>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</si>
  <si>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</si>
  <si>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</si>
  <si>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</si>
  <si>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</si>
  <si>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</si>
  <si>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</si>
  <si>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</si>
  <si>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</si>
  <si>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</si>
  <si>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</si>
  <si>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</si>
  <si>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</si>
  <si>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</si>
  <si>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</si>
  <si>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</si>
  <si>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</si>
  <si>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</si>
  <si>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</si>
  <si>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</si>
  <si>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</si>
  <si>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</si>
  <si>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</si>
  <si>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</si>
  <si>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</si>
  <si>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</si>
  <si>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</si>
  <si>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</si>
  <si>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</si>
  <si>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</si>
  <si>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</si>
  <si>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</si>
  <si>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</si>
  <si>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</si>
  <si>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</si>
  <si>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</si>
  <si>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</si>
  <si>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</si>
  <si>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</si>
  <si>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</si>
  <si>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</si>
  <si>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</si>
  <si>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</si>
  <si>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</si>
  <si>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</si>
  <si>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</si>
  <si>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</si>
  <si>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</si>
  <si>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</si>
  <si>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</si>
  <si>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</si>
  <si>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</si>
  <si>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</si>
  <si>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</si>
  <si>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</si>
  <si>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</si>
  <si>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</si>
  <si>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</si>
  <si>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</si>
  <si>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</si>
  <si>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</si>
  <si>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</si>
  <si>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</si>
  <si>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</si>
  <si>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</si>
  <si>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</si>
  <si>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</si>
  <si>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</si>
  <si>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</si>
  <si>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</si>
  <si>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</si>
  <si>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</si>
  <si>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</si>
  <si>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</si>
  <si>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</si>
  <si>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</si>
  <si>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</si>
  <si>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</si>
  <si>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</si>
  <si>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</si>
  <si>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</si>
  <si>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</si>
  <si>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</si>
  <si>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</si>
  <si>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</si>
  <si>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</si>
  <si>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</si>
  <si>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</si>
  <si>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</si>
  <si>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</si>
  <si>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</si>
  <si>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</si>
  <si>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</si>
  <si>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</si>
  <si>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</si>
  <si>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</si>
  <si>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</si>
  <si>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</si>
  <si>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</si>
  <si>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</si>
  <si>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</si>
  <si>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</si>
  <si>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</si>
  <si>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</si>
  <si>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</si>
  <si>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</si>
  <si>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</si>
  <si>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</si>
  <si>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</si>
  <si>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</si>
  <si>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</si>
  <si>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</si>
  <si>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</si>
  <si>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</si>
  <si>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</si>
  <si>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</si>
  <si>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</si>
  <si>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</si>
  <si>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</si>
  <si>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</si>
  <si>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</si>
  <si>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</si>
  <si>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</si>
  <si>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</si>
  <si>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</si>
  <si>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</si>
  <si>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</si>
  <si>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</si>
  <si>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</si>
  <si>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</si>
  <si>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</si>
  <si>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</si>
  <si>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</si>
  <si>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</si>
  <si>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</si>
  <si>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</si>
  <si>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</si>
  <si>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</si>
  <si>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</si>
  <si>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</si>
  <si>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</si>
  <si>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</si>
  <si>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</si>
  <si>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</si>
  <si>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</si>
  <si>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</si>
  <si>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</si>
  <si>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</si>
  <si>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</si>
  <si>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</si>
  <si>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</si>
  <si>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</si>
  <si>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</si>
  <si>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</si>
  <si>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</si>
  <si>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</si>
  <si>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</si>
  <si>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</si>
  <si>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</si>
  <si>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</si>
  <si>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</si>
  <si>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</si>
  <si>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</si>
  <si>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</si>
  <si>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</si>
  <si>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</si>
  <si>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</si>
  <si>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</si>
  <si>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</si>
  <si>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</si>
  <si>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</si>
  <si>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</si>
  <si>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</si>
  <si>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</si>
  <si>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</si>
  <si>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</si>
  <si>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</si>
  <si>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</si>
  <si>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</si>
  <si>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</si>
  <si>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</si>
  <si>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</si>
  <si>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</si>
  <si>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</si>
  <si>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</si>
  <si>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</si>
  <si>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</si>
  <si>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</si>
  <si>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</si>
  <si>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</si>
  <si>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</si>
  <si>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</si>
  <si>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</si>
  <si>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</si>
  <si>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</si>
  <si>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</si>
  <si>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</si>
  <si>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</si>
  <si>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</si>
  <si>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</si>
  <si>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</si>
  <si>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</si>
  <si>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</si>
  <si>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</si>
  <si>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</si>
  <si>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</si>
  <si>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</si>
  <si>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</si>
  <si>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</si>
  <si>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</si>
  <si>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</si>
  <si>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</si>
  <si>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</si>
  <si>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</si>
  <si>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</si>
  <si>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</si>
  <si>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</si>
  <si>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</si>
  <si>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</si>
  <si>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</si>
  <si>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</si>
  <si>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</si>
  <si>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</si>
  <si>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</si>
  <si>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</si>
  <si>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</si>
  <si>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</si>
  <si>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</si>
  <si>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</si>
  <si>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</si>
  <si>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</si>
  <si>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</si>
  <si>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</si>
  <si>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</si>
  <si>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</si>
  <si>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</si>
  <si>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</si>
  <si>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</si>
  <si>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</si>
  <si>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</si>
  <si>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</si>
  <si>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</si>
  <si>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</si>
  <si>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</si>
  <si>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</si>
  <si>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</si>
  <si>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</si>
  <si>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</si>
  <si>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</si>
  <si>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</si>
  <si>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</si>
  <si>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</si>
  <si>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</si>
  <si>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</si>
  <si>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</si>
  <si>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</si>
  <si>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</si>
  <si>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</si>
  <si>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</si>
  <si>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</si>
  <si>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</si>
  <si>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</si>
  <si>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</si>
  <si>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</si>
  <si>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</si>
  <si>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</si>
  <si>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</si>
  <si>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</si>
  <si>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</si>
  <si>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</si>
  <si>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</si>
  <si>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</si>
  <si>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</si>
  <si>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</si>
  <si>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</si>
  <si>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</si>
  <si>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</si>
  <si>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</si>
  <si>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</si>
  <si>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</si>
  <si>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</si>
  <si>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</si>
  <si>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</si>
  <si>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</si>
  <si>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</si>
  <si>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</si>
  <si>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</si>
  <si>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</si>
  <si>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</si>
  <si>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</si>
  <si>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</si>
  <si>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</si>
  <si>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</si>
  <si>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</si>
  <si>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</si>
  <si>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</si>
  <si>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</si>
  <si>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</si>
  <si>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</si>
  <si>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</si>
  <si>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</si>
  <si>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</si>
  <si>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</si>
  <si>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</si>
  <si>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</si>
  <si>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</si>
  <si>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</si>
  <si>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</si>
  <si>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</si>
  <si>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</si>
  <si>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</si>
  <si>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</si>
  <si>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</si>
  <si>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</si>
  <si>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</si>
  <si>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</si>
  <si>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</si>
  <si>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</si>
  <si>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</si>
  <si>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</si>
  <si>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</si>
  <si>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</si>
  <si>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</si>
  <si>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</si>
  <si>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</si>
  <si>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</si>
  <si>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</si>
  <si>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</si>
  <si>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</si>
  <si>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</si>
  <si>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</si>
  <si>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</si>
  <si>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</si>
  <si>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</si>
  <si>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</si>
  <si>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</si>
  <si>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</si>
  <si>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</si>
  <si>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</si>
  <si>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</si>
  <si>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</si>
  <si>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</si>
  <si>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</si>
  <si>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</si>
  <si>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</si>
  <si>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</si>
  <si>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</si>
  <si>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</si>
  <si>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</si>
  <si>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</si>
  <si>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</si>
  <si>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</si>
  <si>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</si>
  <si>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</si>
  <si>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</si>
  <si>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</si>
  <si>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</si>
  <si>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</si>
  <si>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</si>
  <si>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</si>
  <si>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</si>
  <si>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</si>
  <si>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</si>
  <si>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</si>
  <si>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</si>
  <si>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</si>
  <si>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</si>
  <si>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</si>
  <si>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</si>
  <si>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</si>
  <si>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</si>
  <si>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</si>
  <si>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</si>
  <si>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</si>
  <si>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</si>
  <si>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</si>
  <si>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</si>
  <si>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</si>
  <si>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</si>
  <si>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</si>
  <si>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</si>
  <si>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</si>
  <si>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</si>
  <si>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</si>
  <si>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</si>
  <si>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</si>
  <si>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</si>
  <si>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</si>
  <si>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</si>
  <si>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</si>
  <si>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</si>
  <si>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</si>
  <si>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</si>
  <si>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</si>
  <si>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</si>
  <si>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</si>
  <si>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</si>
  <si>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</si>
  <si>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</si>
  <si>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</si>
  <si>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</si>
  <si>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</si>
  <si>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</si>
  <si>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</si>
  <si>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</si>
  <si>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</si>
  <si>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</si>
  <si>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</si>
  <si>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</si>
  <si>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</si>
  <si>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</si>
  <si>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</si>
  <si>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</si>
  <si>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</si>
  <si>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</si>
  <si>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</si>
  <si>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</si>
  <si>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</si>
  <si>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</si>
  <si>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</si>
  <si>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</si>
  <si>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</si>
  <si>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</si>
  <si>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</si>
  <si>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</si>
  <si>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</si>
  <si>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</si>
  <si>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</si>
  <si>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</si>
  <si>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</si>
  <si>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</si>
  <si>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</si>
  <si>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</si>
  <si>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</si>
  <si>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</si>
  <si>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</si>
  <si>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</si>
  <si>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</si>
  <si>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</si>
  <si>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</si>
  <si>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</si>
  <si>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</si>
  <si>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</si>
  <si>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</si>
  <si>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</si>
  <si>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</si>
  <si>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</si>
  <si>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</si>
  <si>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</si>
  <si>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</si>
  <si>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</si>
  <si>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</si>
  <si>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</si>
  <si>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</si>
  <si>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</si>
  <si>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</si>
  <si>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</si>
  <si>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</si>
  <si>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</si>
  <si>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</si>
  <si>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</si>
  <si>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</si>
  <si>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</si>
  <si>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</si>
  <si>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</si>
  <si>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</si>
  <si>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</si>
  <si>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</si>
  <si>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</si>
  <si>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</si>
  <si>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</si>
  <si>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</si>
  <si>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</si>
  <si>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</si>
  <si>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</si>
  <si>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</si>
  <si>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</si>
  <si>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</si>
  <si>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</si>
  <si>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</si>
  <si>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</si>
  <si>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</si>
  <si>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</si>
  <si>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</si>
  <si>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</si>
  <si>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</si>
  <si>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</si>
  <si>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</si>
  <si>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</si>
  <si>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</si>
  <si>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</si>
  <si>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</si>
  <si>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</si>
  <si>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</si>
  <si>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</si>
  <si>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</si>
  <si>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</si>
  <si>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</si>
  <si>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</si>
  <si>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</si>
  <si>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</si>
  <si>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</si>
  <si>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</si>
  <si>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</si>
  <si>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</si>
  <si>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</si>
  <si>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</si>
  <si>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</si>
  <si>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</si>
  <si>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</si>
  <si>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</si>
  <si>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</si>
  <si>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</si>
  <si>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</si>
  <si>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</si>
  <si>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</si>
  <si>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</si>
  <si>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</si>
  <si>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</si>
  <si>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</si>
  <si>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</si>
  <si>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</si>
  <si>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</si>
  <si>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</si>
  <si>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</si>
  <si>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</si>
  <si>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</si>
  <si>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</si>
  <si>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</si>
  <si>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</si>
  <si>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</si>
  <si>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</si>
  <si>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</si>
  <si>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</si>
  <si>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</si>
  <si>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</si>
  <si>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</si>
  <si>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</si>
  <si>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</si>
  <si>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</si>
  <si>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</si>
  <si>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</si>
  <si>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</si>
  <si>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</si>
  <si>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</si>
  <si>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</si>
  <si>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</si>
  <si>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</si>
  <si>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</si>
  <si>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</si>
  <si>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</si>
  <si>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</si>
  <si>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</si>
  <si>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</si>
  <si>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</si>
  <si>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</si>
  <si>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</si>
  <si>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</si>
  <si>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</si>
  <si>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</si>
  <si>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</si>
  <si>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</si>
  <si>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</si>
  <si>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</si>
  <si>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</si>
  <si>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</si>
  <si>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</si>
  <si>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</si>
  <si>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</si>
  <si>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</si>
  <si>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</si>
  <si>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</si>
  <si>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</si>
  <si>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</si>
  <si>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</si>
  <si>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</si>
  <si>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</si>
  <si>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</si>
  <si>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</si>
  <si>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</si>
  <si>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</si>
  <si>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</si>
  <si>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</si>
  <si>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</si>
  <si>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</si>
  <si>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</si>
  <si>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</si>
  <si>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</si>
  <si>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</si>
  <si>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</si>
  <si>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</si>
  <si>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</si>
  <si>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</si>
  <si>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</si>
  <si>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</si>
  <si>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</si>
  <si>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</si>
  <si>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</si>
  <si>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</si>
  <si>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</si>
  <si>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</si>
  <si>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</si>
  <si>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</si>
  <si>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</si>
  <si>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</si>
  <si>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</si>
  <si>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</si>
  <si>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</si>
  <si>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</si>
  <si>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</si>
  <si>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</si>
  <si>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</si>
  <si>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</si>
  <si>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</si>
  <si>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</si>
  <si>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</si>
  <si>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</si>
  <si>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</si>
  <si>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</si>
  <si>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</si>
  <si>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</si>
  <si>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</si>
  <si>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</si>
  <si>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</si>
  <si>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</si>
  <si>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</si>
  <si>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</si>
  <si>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</si>
  <si>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</si>
  <si>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</si>
  <si>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</si>
  <si>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</si>
  <si>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</si>
  <si>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</si>
  <si>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</si>
  <si>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</si>
  <si>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</si>
  <si>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</si>
  <si>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</si>
  <si>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</si>
  <si>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</si>
  <si>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</si>
  <si>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</si>
  <si>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</si>
  <si>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</si>
  <si>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</si>
  <si>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</si>
  <si>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</si>
  <si>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</si>
  <si>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</si>
  <si>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</si>
  <si>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</si>
  <si>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</si>
  <si>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</si>
  <si>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</si>
  <si>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</si>
  <si>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</si>
  <si>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</si>
  <si>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</si>
  <si>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</si>
  <si>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</si>
  <si>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</si>
  <si>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</si>
  <si>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</si>
  <si>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</si>
  <si>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</si>
  <si>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</si>
  <si>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</si>
  <si>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</si>
  <si>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</si>
  <si>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</si>
  <si>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</si>
  <si>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</si>
  <si>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</si>
  <si>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</si>
  <si>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</si>
  <si>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</si>
  <si>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</si>
  <si>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</si>
  <si>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</si>
  <si>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</si>
  <si>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</si>
  <si>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</si>
  <si>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</si>
  <si>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</si>
  <si>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</si>
  <si>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</si>
  <si>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</si>
  <si>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</si>
  <si>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</si>
  <si>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</si>
  <si>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</si>
  <si>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</si>
  <si>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</si>
  <si>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</si>
  <si>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</si>
  <si>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</si>
  <si>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</si>
  <si>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</si>
  <si>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</si>
  <si>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</si>
  <si>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</si>
  <si>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</si>
  <si>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</si>
  <si>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</si>
  <si>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</si>
  <si>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</si>
  <si>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</si>
  <si>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</si>
  <si>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</si>
  <si>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</si>
  <si>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</si>
  <si>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</si>
  <si>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</si>
  <si>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</si>
  <si>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</si>
  <si>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</si>
  <si>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</si>
  <si>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</si>
  <si>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</si>
  <si>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</si>
  <si>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</si>
  <si>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</si>
  <si>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</si>
  <si>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</si>
  <si>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</si>
  <si>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</si>
  <si>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</si>
  <si>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</si>
  <si>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</si>
  <si>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</si>
  <si>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</si>
  <si>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</si>
  <si>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</si>
  <si>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</si>
  <si>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</si>
  <si>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</si>
  <si>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</si>
  <si>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</si>
  <si>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</si>
  <si>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</si>
  <si>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</si>
  <si>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</si>
  <si>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</si>
  <si>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</si>
  <si>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</si>
  <si>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</si>
  <si>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</si>
  <si>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</si>
  <si>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</si>
  <si>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</si>
  <si>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</si>
  <si>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</si>
  <si>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</si>
  <si>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</si>
  <si>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</si>
  <si>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</si>
  <si>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</si>
  <si>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</si>
  <si>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</si>
  <si>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</si>
  <si>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</si>
  <si>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</si>
  <si>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</si>
  <si>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</si>
  <si>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</si>
  <si>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</si>
  <si>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</si>
  <si>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</si>
  <si>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</si>
  <si>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</si>
  <si>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</si>
  <si>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</si>
  <si>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</si>
  <si>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</si>
  <si>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</si>
  <si>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</si>
  <si>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</si>
  <si>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</si>
  <si>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</si>
  <si>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</si>
  <si>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</si>
  <si>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</si>
  <si>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</si>
  <si>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</si>
  <si>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</si>
  <si>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</si>
  <si>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</si>
  <si>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</si>
  <si>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</si>
  <si>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</si>
  <si>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</si>
  <si>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</si>
  <si>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</si>
  <si>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</si>
  <si>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</si>
  <si>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</si>
  <si>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</si>
  <si>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</si>
  <si>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</si>
  <si>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</si>
  <si>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</si>
  <si>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</si>
  <si>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</si>
  <si>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</si>
  <si>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</si>
  <si>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</si>
  <si>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</si>
  <si>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</si>
  <si>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</si>
  <si>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</si>
  <si>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</si>
  <si>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</si>
  <si>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</si>
  <si>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</si>
  <si>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</si>
  <si>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</si>
  <si>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</si>
  <si>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</si>
  <si>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</si>
  <si>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</si>
  <si>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</si>
  <si>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</si>
  <si>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</si>
  <si>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</si>
  <si>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</si>
  <si>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</si>
  <si>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</si>
  <si>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</si>
  <si>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</si>
  <si>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</si>
  <si>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</si>
  <si>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</si>
  <si>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</si>
  <si>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</si>
  <si>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</si>
  <si>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</si>
  <si>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</si>
  <si>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</si>
  <si>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</si>
  <si>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</si>
  <si>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</si>
  <si>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</si>
  <si>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</si>
  <si>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</si>
  <si>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</si>
  <si>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</si>
  <si>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</si>
  <si>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</si>
  <si>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</si>
  <si>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</si>
  <si>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</si>
  <si>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</si>
  <si>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</si>
  <si>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</si>
  <si>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</si>
  <si>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</si>
  <si>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</si>
  <si>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</si>
  <si>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</si>
  <si>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</si>
  <si>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</si>
  <si>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</si>
  <si>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</si>
  <si>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</si>
  <si>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</si>
  <si>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</si>
  <si>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</si>
  <si>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</si>
  <si>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</si>
  <si>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</si>
  <si>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</si>
  <si>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</si>
  <si>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</si>
  <si>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</si>
  <si>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</si>
  <si>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</si>
  <si>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</si>
  <si>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</si>
  <si>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</si>
  <si>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</si>
  <si>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</si>
  <si>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</si>
  <si>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</si>
  <si>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</si>
  <si>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</si>
  <si>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</si>
  <si>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</si>
  <si>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</si>
  <si>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</si>
  <si>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</si>
  <si>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</si>
  <si>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</si>
  <si>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</si>
  <si>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</si>
  <si>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</si>
  <si>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</si>
  <si>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</si>
  <si>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</si>
  <si>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</si>
  <si>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</si>
  <si>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</si>
  <si>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</si>
  <si>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</si>
  <si>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</si>
  <si>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</si>
  <si>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</si>
  <si>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</si>
  <si>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</si>
  <si>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</si>
  <si>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</si>
  <si>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</si>
  <si>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</si>
  <si>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</si>
  <si>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</si>
  <si>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</si>
  <si>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</si>
  <si>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</si>
  <si>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</si>
  <si>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</si>
  <si>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</si>
  <si>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</si>
  <si>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</si>
  <si>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</si>
  <si>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</si>
  <si>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</si>
  <si>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</si>
  <si>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</si>
  <si>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</si>
  <si>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</si>
  <si>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</si>
  <si>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</si>
  <si>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</si>
  <si>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</si>
  <si>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</si>
  <si>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</si>
  <si>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</si>
  <si>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</si>
  <si>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</si>
  <si>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</si>
  <si>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</si>
  <si>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</si>
  <si>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</si>
  <si>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</si>
  <si>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</si>
  <si>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</si>
  <si>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</si>
  <si>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</si>
  <si>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</si>
  <si>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</si>
  <si>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</si>
  <si>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</si>
  <si>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</si>
  <si>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</si>
  <si>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</si>
  <si>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</si>
  <si>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</si>
  <si>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</si>
  <si>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</si>
  <si>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</si>
  <si>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</si>
  <si>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</si>
  <si>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</si>
  <si>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</si>
  <si>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</si>
  <si>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</si>
  <si>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</si>
  <si>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</si>
  <si>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</si>
  <si>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</si>
  <si>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</si>
  <si>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</si>
  <si>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</si>
  <si>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</si>
  <si>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</si>
  <si>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</si>
  <si>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</si>
  <si>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</si>
  <si>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</si>
  <si>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</si>
  <si>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</si>
  <si>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</si>
  <si>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</si>
  <si>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</si>
  <si>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</si>
  <si>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</si>
  <si>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</si>
  <si>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</si>
  <si>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</si>
  <si>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</si>
  <si>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</si>
  <si>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</si>
  <si>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</si>
  <si>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</si>
  <si>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</si>
  <si>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</si>
  <si>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</si>
  <si>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</si>
  <si>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</si>
  <si>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</si>
  <si>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</si>
  <si>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</si>
  <si>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</si>
  <si>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</si>
  <si>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</si>
  <si>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</si>
  <si>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</si>
  <si>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</si>
  <si>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</si>
  <si>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</si>
  <si>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</si>
  <si>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</si>
  <si>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</si>
  <si>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</si>
  <si>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</si>
  <si>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</si>
  <si>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</si>
  <si>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</si>
  <si>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</si>
  <si>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</si>
  <si>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</si>
  <si>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</si>
  <si>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</si>
  <si>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</si>
  <si>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</si>
  <si>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</si>
  <si>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</si>
  <si>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</si>
  <si>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</si>
  <si>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</si>
  <si>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</si>
  <si>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</si>
  <si>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</si>
  <si>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</si>
  <si>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</si>
  <si>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</si>
  <si>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</si>
  <si>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</si>
  <si>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</si>
  <si>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</si>
  <si>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</si>
  <si>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</si>
  <si>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</si>
  <si>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</si>
  <si>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</si>
  <si>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</si>
  <si>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</si>
  <si>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</si>
  <si>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</si>
  <si>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</si>
  <si>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</si>
  <si>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</si>
  <si>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</si>
  <si>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</si>
  <si>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</si>
  <si>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</si>
  <si>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</si>
  <si>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</si>
  <si>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</si>
  <si>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</si>
  <si>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</si>
  <si>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</si>
  <si>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</si>
  <si>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</si>
  <si>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</si>
  <si>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</si>
  <si>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</si>
  <si>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</si>
  <si>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</si>
  <si>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</si>
  <si>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</si>
  <si>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</si>
  <si>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</si>
  <si>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</si>
  <si>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</si>
  <si>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</si>
  <si>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</si>
  <si>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</si>
  <si>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</si>
  <si>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</si>
  <si>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</si>
  <si>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</si>
  <si>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</si>
  <si>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</si>
  <si>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</si>
  <si>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</si>
  <si>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</si>
  <si>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</si>
  <si>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</si>
  <si>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</si>
  <si>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</si>
  <si>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</si>
  <si>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</si>
  <si>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</si>
  <si>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</si>
  <si>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</si>
  <si>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</si>
  <si>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</si>
  <si>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</si>
  <si>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</si>
  <si>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</si>
  <si>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</si>
  <si>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</si>
  <si>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</si>
  <si>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</si>
  <si>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</si>
  <si>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</si>
  <si>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</si>
  <si>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</si>
  <si>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</si>
  <si>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</si>
  <si>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</si>
  <si>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</si>
  <si>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</si>
  <si>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</si>
  <si>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</si>
  <si>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</si>
  <si>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</si>
  <si>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</si>
  <si>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</si>
  <si>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</si>
  <si>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</si>
  <si>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</si>
  <si>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</si>
  <si>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</si>
  <si>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</si>
  <si>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</si>
  <si>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</si>
  <si>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</si>
  <si>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</si>
  <si>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</si>
  <si>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</si>
  <si>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</si>
  <si>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</si>
  <si>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</si>
  <si>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</si>
  <si>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</si>
  <si>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</si>
  <si>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</si>
  <si>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</si>
  <si>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</si>
  <si>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</si>
  <si>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</si>
  <si>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</si>
  <si>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</si>
  <si>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</si>
  <si>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</si>
  <si>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</si>
  <si>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</si>
  <si>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</si>
  <si>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</si>
  <si>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</si>
  <si>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</si>
  <si>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</si>
  <si>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</si>
  <si>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</si>
  <si>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</si>
  <si>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</si>
  <si>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</si>
  <si>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</si>
  <si>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</si>
  <si>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</si>
  <si>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</si>
  <si>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</si>
  <si>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</si>
  <si>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</si>
  <si>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</si>
  <si>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</si>
  <si>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</si>
  <si>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</si>
  <si>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</si>
  <si>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</si>
  <si>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</si>
  <si>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</si>
  <si>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</si>
  <si>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</si>
  <si>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</si>
  <si>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</si>
  <si>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</si>
  <si>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</si>
  <si>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</si>
  <si>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</si>
  <si>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</si>
  <si>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</si>
  <si>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</si>
  <si>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</si>
  <si>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</si>
  <si>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</si>
  <si>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</si>
  <si>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</si>
  <si>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</si>
  <si>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</si>
  <si>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</si>
  <si>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</si>
  <si>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</si>
  <si>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</si>
  <si>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</si>
  <si>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</si>
  <si>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</si>
  <si>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</si>
  <si>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</si>
  <si>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</si>
  <si>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</si>
  <si>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</si>
  <si>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</si>
  <si>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</si>
  <si>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</si>
  <si>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</si>
  <si>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</si>
  <si>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</si>
  <si>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</si>
  <si>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</si>
  <si>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</si>
  <si>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</si>
  <si>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</si>
  <si>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</si>
  <si>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</si>
  <si>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</si>
  <si>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</si>
  <si>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</si>
  <si>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</si>
  <si>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</si>
  <si>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</si>
  <si>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</si>
  <si>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</si>
  <si>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</si>
  <si>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</si>
  <si>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</si>
  <si>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</si>
  <si>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</si>
  <si>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</si>
  <si>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</si>
  <si>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</si>
  <si>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</si>
  <si>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</si>
  <si>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</si>
  <si>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</si>
  <si>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</si>
  <si>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</si>
  <si>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</si>
  <si>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</si>
  <si>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</si>
  <si>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</si>
  <si>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</si>
  <si>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</si>
  <si>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</si>
  <si>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</si>
  <si>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</si>
  <si>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</si>
  <si>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</si>
  <si>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</si>
  <si>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</si>
  <si>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</si>
  <si>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</si>
  <si>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</si>
  <si>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</si>
  <si>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</si>
  <si>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</si>
  <si>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</si>
  <si>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</si>
  <si>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</si>
  <si>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</si>
  <si>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</si>
  <si>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</si>
  <si>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</si>
  <si>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</si>
  <si>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</si>
  <si>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</si>
  <si>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</si>
  <si>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</si>
  <si>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</si>
  <si>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</si>
  <si>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</si>
  <si>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</si>
  <si>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</si>
  <si>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</si>
  <si>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</si>
  <si>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</si>
  <si>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</si>
  <si>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</si>
  <si>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</si>
  <si>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</si>
  <si>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</si>
  <si>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</si>
  <si>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</si>
  <si>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</si>
  <si>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</si>
  <si>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</si>
  <si>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</si>
  <si>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</si>
  <si>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</si>
  <si>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</si>
  <si>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</si>
  <si>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</si>
  <si>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</si>
  <si>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</si>
  <si>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</si>
  <si>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</si>
  <si>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</si>
  <si>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</si>
  <si>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</si>
  <si>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</si>
  <si>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</si>
  <si>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</si>
  <si>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</si>
  <si>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</si>
  <si>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</si>
  <si>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</si>
  <si>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</si>
  <si>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</si>
  <si>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</si>
  <si>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</si>
  <si>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</si>
  <si>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</si>
  <si>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</si>
  <si>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</si>
  <si>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</si>
  <si>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</si>
  <si>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</si>
  <si>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</si>
  <si>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</si>
  <si>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</si>
  <si>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</si>
  <si>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</si>
  <si>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</si>
  <si>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</si>
  <si>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</si>
  <si>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</si>
  <si>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</si>
  <si>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</si>
  <si>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</si>
  <si>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</si>
  <si>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</si>
  <si>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</si>
  <si>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</si>
  <si>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</si>
  <si>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</si>
  <si>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</si>
  <si>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</si>
  <si>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</si>
  <si>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</si>
  <si>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</si>
  <si>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</si>
  <si>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</si>
  <si>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</si>
  <si>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</si>
  <si>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</si>
  <si>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</si>
  <si>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</si>
  <si>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</si>
  <si>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</si>
  <si>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</si>
  <si>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</si>
  <si>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</si>
  <si>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</si>
  <si>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</si>
  <si>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</si>
  <si>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</si>
  <si>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</si>
  <si>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</si>
  <si>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</si>
  <si>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</si>
  <si>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</si>
  <si>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</si>
  <si>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</si>
  <si>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</si>
  <si>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</si>
  <si>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</si>
  <si>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</si>
  <si>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</si>
  <si>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</si>
  <si>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</si>
  <si>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</si>
  <si>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</si>
  <si>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</si>
  <si>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</si>
  <si>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</si>
  <si>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</si>
  <si>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</si>
  <si>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</si>
  <si>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</si>
  <si>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</si>
  <si>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</si>
  <si>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</si>
  <si>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</si>
  <si>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</si>
  <si>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</si>
  <si>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</si>
  <si>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</si>
  <si>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</si>
  <si>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</si>
  <si>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</si>
  <si>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</si>
  <si>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</si>
  <si>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</si>
  <si>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</si>
  <si>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</si>
  <si>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</si>
  <si>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</si>
  <si>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</si>
  <si>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</si>
  <si>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</si>
  <si>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</si>
  <si>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</si>
  <si>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</si>
  <si>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</si>
  <si>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</si>
  <si>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</si>
  <si>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</si>
  <si>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</si>
  <si>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</si>
  <si>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</si>
  <si>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</si>
  <si>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</si>
  <si>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</si>
  <si>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</si>
  <si>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</si>
  <si>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</si>
  <si>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</si>
  <si>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</si>
  <si>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</si>
  <si>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</si>
  <si>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</si>
  <si>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</si>
  <si>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</si>
  <si>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</si>
  <si>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</si>
  <si>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</si>
  <si>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</si>
  <si>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</si>
  <si>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</si>
  <si>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</si>
  <si>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</si>
  <si>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</si>
  <si>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</si>
  <si>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</si>
  <si>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</si>
  <si>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</si>
  <si>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</si>
  <si>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</si>
  <si>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</si>
  <si>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</si>
  <si>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</si>
  <si>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</si>
  <si>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</si>
  <si>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</si>
  <si>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</si>
  <si>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</si>
  <si>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</si>
  <si>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</si>
  <si>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</si>
  <si>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</si>
  <si>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</si>
  <si>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</si>
  <si>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</si>
  <si>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</si>
  <si>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</si>
  <si>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</si>
  <si>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</si>
  <si>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</si>
  <si>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</si>
  <si>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</si>
  <si>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</si>
  <si>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</si>
  <si>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</si>
  <si>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</si>
  <si>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</si>
  <si>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</si>
  <si>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</si>
  <si>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</si>
  <si>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</si>
  <si>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</si>
  <si>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</si>
  <si>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</si>
  <si>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</si>
  <si>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</si>
  <si>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</si>
  <si>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</si>
  <si>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</si>
  <si>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</si>
  <si>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</si>
  <si>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</si>
  <si>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</si>
  <si>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</si>
  <si>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</si>
  <si>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</si>
  <si>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</si>
  <si>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</si>
  <si>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</si>
  <si>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</si>
  <si>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</si>
  <si>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</si>
  <si>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</si>
  <si>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</si>
  <si>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</si>
  <si>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</si>
  <si>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</si>
  <si>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</si>
  <si>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</si>
  <si>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</si>
  <si>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</si>
  <si>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</si>
  <si>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</si>
  <si>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</si>
  <si>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</si>
  <si>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</si>
  <si>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</si>
  <si>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</si>
  <si>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</si>
  <si>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</si>
  <si>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</si>
  <si>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</si>
  <si>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</si>
  <si>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</si>
  <si>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</si>
  <si>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</si>
  <si>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</si>
  <si>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</si>
  <si>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</si>
  <si>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</si>
  <si>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</si>
  <si>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</si>
  <si>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</si>
  <si>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</si>
  <si>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</si>
  <si>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</si>
  <si>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</si>
  <si>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</si>
  <si>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</si>
  <si>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</si>
  <si>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</si>
  <si>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</si>
  <si>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</si>
  <si>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</si>
  <si>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</si>
  <si>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</si>
  <si>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</si>
  <si>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</si>
  <si>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</si>
  <si>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</si>
  <si>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</si>
  <si>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</si>
  <si>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</si>
  <si>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</si>
  <si>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</si>
  <si>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</si>
  <si>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</si>
  <si>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</si>
  <si>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</si>
  <si>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</si>
  <si>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</si>
  <si>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</si>
  <si>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</si>
  <si>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</si>
  <si>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</si>
  <si>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</si>
  <si>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</si>
  <si>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</si>
  <si>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</si>
  <si>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</si>
  <si>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</si>
  <si>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</si>
  <si>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</si>
  <si>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</si>
  <si>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</si>
  <si>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</si>
  <si>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</si>
  <si>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</si>
  <si>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</si>
  <si>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</si>
  <si>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</si>
  <si>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</si>
  <si>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</si>
  <si>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</si>
  <si>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</si>
  <si>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</si>
  <si>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</si>
  <si>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</si>
  <si>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</si>
  <si>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</si>
  <si>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</si>
  <si>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</si>
  <si>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</si>
  <si>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</si>
  <si>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</si>
  <si>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</si>
  <si>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</si>
  <si>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</si>
  <si>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</si>
  <si>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</si>
  <si>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</si>
  <si>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</si>
  <si>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</si>
  <si>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</si>
  <si>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</si>
  <si>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</si>
  <si>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</si>
  <si>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</si>
  <si>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</si>
  <si>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</si>
  <si>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</si>
  <si>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</si>
  <si>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</si>
  <si>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</si>
  <si>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</si>
  <si>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</si>
  <si>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</si>
  <si>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</si>
  <si>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</si>
  <si>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</si>
  <si>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</si>
  <si>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</si>
  <si>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</si>
  <si>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</si>
  <si>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</si>
  <si>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</si>
  <si>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</si>
  <si>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</si>
  <si>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</si>
  <si>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</si>
  <si>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</si>
  <si>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</si>
  <si>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</si>
  <si>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</si>
  <si>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</si>
  <si>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</si>
  <si>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</si>
  <si>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</si>
  <si>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</si>
  <si>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</si>
  <si>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</si>
  <si>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</si>
  <si>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</si>
  <si>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</si>
  <si>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</si>
  <si>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</si>
  <si>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</si>
  <si>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</si>
  <si>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</si>
  <si>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</si>
  <si>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</si>
  <si>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</si>
  <si>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</si>
  <si>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</si>
  <si>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</si>
  <si>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</si>
  <si>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</si>
  <si>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</si>
  <si>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</si>
  <si>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</si>
  <si>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</si>
  <si>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</si>
  <si>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</si>
  <si>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</si>
  <si>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</si>
  <si>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</si>
  <si>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</si>
  <si>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</si>
  <si>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</si>
  <si>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</si>
  <si>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</si>
  <si>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</si>
  <si>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</si>
  <si>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</si>
  <si>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</si>
  <si>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</si>
  <si>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</si>
  <si>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</si>
  <si>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</si>
  <si>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</si>
  <si>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</si>
  <si>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</si>
  <si>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</si>
  <si>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</si>
  <si>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</si>
  <si>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</si>
  <si>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</si>
  <si>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</si>
  <si>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</si>
  <si>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</si>
  <si>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</si>
  <si>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</si>
  <si>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</si>
  <si>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</si>
  <si>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</si>
  <si>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</si>
  <si>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</si>
  <si>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</si>
  <si>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</si>
  <si>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</si>
  <si>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</si>
  <si>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</si>
  <si>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</si>
  <si>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</si>
  <si>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</si>
  <si>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</si>
  <si>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</si>
  <si>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</si>
  <si>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</si>
  <si>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</si>
  <si>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</si>
  <si>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</si>
  <si>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</si>
  <si>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</si>
  <si>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</si>
  <si>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</si>
  <si>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</si>
  <si>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</si>
  <si>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</si>
  <si>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</si>
  <si>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</si>
  <si>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</si>
  <si>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</si>
  <si>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</si>
  <si>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</si>
  <si>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</si>
  <si>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</si>
  <si>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</si>
  <si>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</si>
  <si>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</si>
  <si>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</si>
  <si>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</si>
  <si>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</si>
  <si>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</si>
  <si>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</si>
  <si>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</si>
  <si>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</si>
  <si>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</si>
  <si>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</si>
  <si>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</si>
  <si>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</si>
  <si>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</si>
  <si>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</si>
  <si>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</si>
  <si>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</si>
  <si>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</si>
  <si>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</si>
  <si>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</si>
  <si>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</si>
  <si>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</si>
  <si>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</si>
  <si>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</si>
  <si>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</si>
  <si>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</si>
  <si>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</si>
  <si>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</si>
  <si>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</si>
  <si>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</si>
  <si>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</si>
  <si>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</si>
  <si>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</si>
  <si>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</si>
  <si>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</si>
  <si>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</si>
  <si>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</si>
  <si>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</si>
  <si>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</si>
  <si>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</si>
  <si>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</si>
  <si>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</si>
  <si>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</si>
  <si>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</si>
  <si>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</si>
  <si>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</si>
  <si>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</si>
  <si>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</si>
  <si>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</si>
  <si>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</si>
  <si>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</si>
  <si>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</si>
  <si>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</si>
  <si>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</si>
  <si>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</si>
  <si>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</si>
  <si>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</si>
  <si>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</si>
  <si>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</si>
  <si>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</si>
  <si>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</si>
  <si>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</si>
  <si>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</si>
  <si>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</si>
  <si>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</si>
  <si>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</si>
  <si>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</si>
  <si>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</si>
  <si>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</si>
  <si>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</si>
  <si>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</si>
  <si>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</si>
  <si>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</si>
  <si>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</si>
  <si>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</si>
  <si>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</si>
  <si>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</si>
  <si>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</si>
  <si>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</si>
  <si>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</si>
  <si>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</si>
  <si>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</si>
  <si>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</si>
  <si>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</si>
  <si>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</si>
  <si>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</si>
  <si>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</si>
  <si>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</si>
  <si>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</si>
  <si>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</si>
  <si>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</si>
  <si>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</si>
  <si>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</si>
  <si>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</si>
  <si>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</si>
  <si>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</si>
  <si>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</si>
  <si>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</si>
  <si>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</si>
  <si>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</si>
  <si>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</si>
  <si>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</si>
  <si>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</si>
  <si>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</si>
  <si>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</si>
  <si>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</si>
  <si>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</si>
  <si>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</si>
  <si>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</si>
  <si>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</si>
  <si>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</si>
  <si>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</si>
  <si>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</si>
  <si>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</si>
  <si>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</si>
  <si>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</si>
  <si>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</si>
  <si>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</si>
  <si>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</si>
  <si>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</si>
  <si>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</si>
  <si>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</si>
  <si>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</si>
  <si>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</si>
  <si>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</si>
  <si>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</si>
  <si>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</si>
  <si>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</si>
  <si>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</si>
  <si>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</si>
  <si>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</si>
  <si>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</si>
  <si>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</si>
  <si>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</si>
  <si>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</si>
  <si>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</si>
  <si>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</si>
  <si>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</si>
  <si>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</si>
  <si>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</si>
  <si>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</si>
  <si>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</si>
  <si>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</si>
  <si>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</si>
  <si>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</si>
  <si>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</si>
  <si>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</si>
  <si>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</si>
  <si>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</si>
  <si>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</si>
  <si>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</si>
  <si>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</si>
  <si>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</si>
  <si>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</si>
  <si>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</si>
  <si>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</si>
  <si>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</si>
  <si>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</si>
  <si>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</si>
  <si>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</si>
  <si>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</si>
  <si>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</si>
  <si>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</si>
  <si>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</si>
  <si>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</si>
  <si>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</si>
  <si>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</si>
  <si>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</si>
  <si>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</si>
  <si>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</si>
  <si>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</si>
  <si>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</si>
  <si>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</si>
  <si>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</si>
  <si>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</si>
  <si>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</si>
  <si>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</si>
  <si>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</si>
  <si>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</si>
  <si>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</si>
  <si>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</si>
  <si>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</si>
  <si>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</si>
  <si>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</si>
  <si>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</si>
  <si>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</si>
  <si>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</si>
  <si>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</si>
  <si>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</si>
  <si>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</si>
  <si>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</si>
  <si>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</si>
  <si>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</si>
  <si>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</si>
  <si>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</si>
  <si>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</si>
  <si>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</si>
  <si>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</si>
  <si>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</si>
  <si>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</si>
  <si>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</si>
  <si>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</si>
  <si>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</si>
  <si>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</si>
  <si>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</si>
  <si>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</si>
  <si>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</si>
  <si>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</si>
  <si>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</si>
  <si>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</si>
  <si>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</si>
  <si>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</si>
  <si>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</si>
  <si>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</si>
  <si>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</si>
  <si>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</si>
  <si>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</si>
  <si>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</si>
  <si>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</si>
  <si>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</si>
  <si>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</si>
  <si>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</si>
  <si>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</si>
  <si>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</si>
  <si>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</si>
  <si>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</si>
  <si>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</si>
  <si>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</si>
  <si>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</si>
  <si>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</si>
  <si>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</si>
  <si>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</si>
  <si>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</si>
  <si>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</si>
  <si>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</si>
  <si>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</si>
  <si>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</si>
  <si>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</si>
  <si>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</si>
  <si>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</si>
  <si>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</si>
  <si>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</si>
  <si>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</si>
  <si>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</si>
  <si>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</si>
  <si>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</si>
  <si>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</si>
  <si>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</si>
  <si>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</si>
  <si>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</si>
  <si>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</si>
  <si>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</si>
  <si>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</si>
  <si>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</si>
  <si>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</si>
  <si>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</si>
  <si>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</si>
  <si>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</si>
  <si>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</si>
  <si>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</si>
  <si>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</si>
  <si>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</si>
  <si>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</si>
  <si>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</si>
  <si>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</si>
  <si>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</si>
  <si>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</si>
  <si>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</si>
  <si>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</si>
  <si>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</si>
  <si>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</si>
  <si>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</si>
  <si>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</si>
  <si>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</si>
  <si>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</si>
  <si>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</si>
  <si>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</si>
  <si>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</si>
  <si>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</si>
  <si>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</si>
  <si>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</si>
  <si>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</si>
  <si>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</si>
  <si>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</si>
  <si>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</si>
  <si>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</si>
  <si>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</si>
  <si>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</si>
  <si>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</si>
  <si>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</si>
  <si>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</si>
  <si>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</si>
  <si>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</si>
  <si>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</si>
  <si>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</si>
  <si>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</si>
  <si>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</si>
  <si>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</si>
  <si>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</si>
  <si>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</si>
  <si>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</si>
  <si>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</si>
  <si>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</si>
  <si>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</si>
  <si>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</si>
  <si>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</si>
  <si>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</si>
  <si>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</si>
  <si>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</si>
  <si>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</si>
  <si>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</si>
  <si>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</si>
  <si>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</si>
  <si>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</si>
  <si>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</si>
  <si>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</si>
  <si>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</si>
  <si>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</si>
  <si>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</si>
  <si>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</si>
  <si>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</si>
  <si>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</si>
  <si>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</si>
  <si>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</si>
  <si>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</si>
  <si>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</si>
  <si>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</si>
  <si>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</si>
  <si>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</si>
  <si>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</si>
  <si>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</si>
  <si>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</si>
  <si>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</si>
  <si>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</si>
  <si>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</si>
  <si>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</si>
  <si>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</si>
  <si>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</si>
  <si>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</si>
  <si>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</si>
  <si>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</si>
  <si>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</si>
  <si>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</si>
  <si>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</si>
  <si>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</si>
  <si>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</si>
  <si>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</si>
  <si>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</si>
  <si>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</si>
  <si>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</si>
  <si>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</si>
  <si>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</si>
  <si>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</si>
  <si>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</si>
  <si>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</si>
  <si>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</si>
  <si>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</si>
  <si>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</si>
  <si>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</si>
  <si>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</si>
  <si>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</si>
  <si>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</si>
  <si>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</si>
  <si>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</si>
  <si>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</si>
  <si>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</si>
  <si>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</si>
  <si>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</si>
  <si>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</si>
  <si>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</si>
  <si>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</si>
  <si>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</si>
  <si>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</si>
  <si>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</si>
  <si>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</si>
  <si>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</si>
  <si>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</si>
  <si>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</si>
  <si>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</si>
  <si>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</si>
  <si>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</si>
  <si>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</si>
  <si>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</si>
  <si>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</si>
  <si>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</si>
  <si>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</si>
  <si>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</si>
  <si>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</si>
  <si>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</si>
  <si>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</si>
  <si>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</si>
  <si>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</si>
  <si>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</si>
  <si>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</si>
  <si>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</si>
  <si>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</si>
  <si>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</si>
  <si>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</si>
  <si>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</si>
  <si>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</si>
  <si>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</si>
  <si>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</si>
  <si>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</si>
  <si>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</si>
  <si>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</si>
  <si>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</si>
  <si>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</si>
  <si>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</si>
  <si>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</si>
  <si>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</si>
  <si>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</si>
  <si>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</si>
  <si>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</si>
  <si>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</si>
  <si>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</si>
  <si>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</si>
  <si>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</si>
  <si>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</si>
  <si>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</si>
  <si>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</si>
  <si>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</si>
  <si>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</si>
  <si>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</si>
  <si>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</si>
  <si>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</si>
  <si>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</si>
  <si>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</si>
  <si>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</si>
  <si>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</si>
  <si>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</si>
  <si>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</si>
  <si>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</si>
  <si>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</si>
  <si>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</si>
  <si>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</si>
  <si>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</si>
  <si>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</si>
  <si>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</si>
  <si>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</si>
  <si>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</si>
  <si>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</si>
  <si>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</si>
  <si>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</si>
  <si>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</si>
  <si>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</si>
  <si>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</si>
  <si>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</si>
  <si>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</si>
  <si>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</si>
  <si>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</si>
  <si>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</si>
  <si>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</si>
  <si>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</si>
  <si>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</si>
  <si>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</si>
  <si>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</si>
  <si>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</si>
  <si>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</si>
  <si>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</si>
  <si>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</si>
  <si>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</si>
  <si>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</si>
  <si>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</si>
  <si>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</si>
  <si>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</si>
  <si>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</si>
  <si>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</si>
  <si>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</si>
  <si>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</si>
  <si>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</si>
  <si>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</si>
  <si>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</si>
  <si>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</si>
  <si>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</si>
  <si>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</si>
  <si>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</si>
  <si>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</si>
  <si>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</si>
  <si>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</si>
  <si>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</si>
  <si>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</si>
  <si>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</si>
  <si>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</si>
  <si>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</si>
  <si>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</si>
  <si>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</si>
  <si>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</si>
  <si>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</si>
  <si>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</si>
  <si>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</si>
  <si>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</si>
  <si>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</si>
  <si>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</si>
  <si>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</si>
  <si>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</si>
  <si>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</si>
  <si>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</si>
  <si>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</si>
  <si>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</si>
  <si>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</si>
  <si>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</si>
  <si>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</si>
  <si>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</si>
  <si>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</si>
  <si>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</si>
  <si>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</si>
  <si>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</si>
  <si>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</si>
  <si>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</si>
  <si>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</si>
  <si>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</si>
  <si>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</si>
  <si>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</si>
  <si>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</si>
  <si>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</si>
  <si>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</si>
  <si>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</si>
  <si>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</si>
  <si>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</si>
  <si>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</si>
  <si>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</si>
  <si>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</si>
  <si>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</si>
  <si>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</si>
  <si>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</si>
  <si>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</si>
  <si>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</si>
  <si>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</si>
  <si>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</si>
  <si>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</si>
  <si>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</si>
  <si>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</si>
  <si>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</si>
  <si>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</si>
  <si>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</si>
  <si>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</si>
  <si>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</si>
  <si>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</si>
  <si>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</si>
  <si>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</si>
  <si>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</si>
  <si>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</si>
  <si>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</si>
  <si>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</si>
  <si>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</si>
  <si>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</si>
  <si>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</si>
  <si>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</si>
  <si>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</si>
  <si>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</si>
  <si>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</si>
  <si>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</si>
  <si>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</si>
  <si>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</si>
  <si>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</si>
  <si>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</si>
  <si>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</si>
  <si>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</si>
  <si>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</si>
  <si>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</si>
  <si>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</si>
  <si>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</si>
  <si>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</si>
  <si>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</si>
  <si>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</si>
  <si>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</si>
  <si>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</si>
  <si>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</si>
  <si>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</si>
  <si>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</si>
  <si>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</si>
  <si>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</si>
  <si>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</si>
  <si>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</si>
  <si>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</si>
  <si>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</si>
  <si>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</si>
  <si>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</si>
  <si>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</si>
  <si>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</si>
  <si>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</si>
  <si>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</si>
  <si>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</si>
  <si>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</si>
  <si>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</si>
  <si>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</si>
  <si>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</si>
  <si>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</si>
  <si>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</si>
  <si>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</si>
  <si>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</si>
  <si>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</si>
  <si>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</si>
  <si>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</si>
  <si>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</si>
  <si>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</si>
  <si>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</si>
  <si>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</si>
  <si>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</si>
  <si>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</si>
  <si>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</si>
  <si>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</si>
  <si>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</si>
  <si>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</si>
  <si>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</si>
  <si>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</si>
  <si>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</si>
  <si>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</si>
  <si>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</si>
  <si>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</si>
  <si>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</si>
  <si>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</si>
  <si>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</si>
  <si>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</si>
  <si>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</si>
  <si>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</si>
  <si>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</si>
  <si>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</si>
  <si>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</si>
  <si>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</si>
  <si>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</si>
  <si>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</si>
  <si>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</si>
  <si>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</si>
  <si>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</si>
  <si>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</si>
  <si>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</si>
  <si>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</si>
  <si>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</si>
  <si>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</si>
  <si>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</si>
  <si>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</si>
  <si>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</si>
  <si>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</si>
  <si>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</si>
  <si>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</si>
  <si>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</si>
  <si>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</si>
  <si>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</si>
  <si>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</si>
  <si>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</si>
  <si>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</si>
  <si>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</si>
  <si>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</si>
  <si>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</si>
  <si>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</si>
  <si>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</si>
  <si>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</si>
  <si>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</si>
  <si>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</si>
  <si>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</si>
  <si>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</si>
  <si>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</si>
  <si>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</si>
  <si>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</si>
  <si>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</si>
  <si>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</si>
  <si>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</si>
  <si>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</si>
  <si>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</si>
  <si>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</si>
  <si>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</si>
  <si>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</si>
  <si>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</si>
  <si>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</si>
  <si>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</si>
  <si>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</si>
  <si>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</si>
  <si>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</si>
  <si>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</si>
  <si>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</si>
  <si>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</si>
  <si>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</si>
  <si>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</si>
  <si>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</si>
  <si>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</si>
  <si>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</si>
  <si>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</si>
  <si>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</si>
  <si>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</si>
  <si>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</si>
  <si>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</si>
  <si>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</si>
  <si>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</si>
  <si>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</si>
  <si>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</si>
  <si>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</si>
  <si>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</si>
  <si>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</si>
  <si>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</si>
  <si>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</si>
  <si>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</si>
  <si>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</si>
  <si>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</si>
  <si>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</si>
  <si>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</si>
  <si>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</si>
  <si>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</si>
  <si>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</si>
  <si>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</si>
  <si>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</si>
  <si>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</si>
  <si>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</si>
  <si>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</si>
  <si>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</si>
  <si>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</si>
  <si>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</si>
  <si>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</si>
  <si>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</si>
  <si>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</si>
  <si>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</si>
  <si>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</si>
  <si>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</si>
  <si>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</si>
  <si>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</si>
  <si>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</si>
  <si>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</si>
  <si>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</si>
  <si>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</si>
  <si>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</si>
  <si>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</si>
  <si>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</si>
  <si>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</si>
  <si>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</si>
  <si>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</si>
  <si>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</si>
  <si>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</si>
  <si>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</si>
  <si>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</si>
  <si>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</si>
  <si>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</si>
  <si>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</si>
  <si>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</si>
  <si>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</si>
  <si>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</si>
  <si>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</si>
  <si>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</si>
  <si>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</si>
  <si>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</si>
  <si>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</si>
  <si>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</si>
  <si>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</si>
  <si>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</si>
  <si>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</si>
  <si>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</si>
  <si>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</si>
  <si>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</si>
  <si>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</si>
  <si>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</si>
  <si>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</si>
  <si>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</si>
  <si>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</si>
  <si>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</si>
  <si>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</si>
  <si>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</si>
  <si>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</si>
  <si>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</si>
  <si>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</si>
  <si>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</si>
  <si>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</si>
  <si>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</si>
  <si>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</si>
  <si>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</si>
  <si>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</si>
  <si>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</si>
  <si>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</si>
  <si>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</si>
  <si>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</si>
  <si>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</si>
  <si>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</si>
  <si>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</si>
  <si>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</si>
  <si>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</si>
  <si>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</si>
  <si>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</si>
  <si>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</si>
  <si>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</si>
  <si>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</si>
  <si>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</si>
  <si>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</si>
  <si>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</si>
  <si>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</si>
  <si>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</si>
  <si>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</si>
  <si>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</si>
  <si>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</si>
  <si>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</si>
  <si>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</si>
  <si>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</si>
  <si>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</si>
  <si>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</si>
  <si>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</si>
  <si>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</si>
  <si>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</si>
  <si>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</si>
  <si>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</si>
  <si>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</si>
  <si>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</si>
  <si>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</si>
  <si>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</si>
  <si>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</si>
  <si>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</si>
  <si>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</si>
  <si>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</si>
  <si>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</si>
  <si>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</si>
  <si>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</si>
  <si>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</si>
  <si>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</si>
  <si>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</si>
  <si>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</si>
  <si>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</si>
  <si>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</si>
  <si>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</si>
  <si>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</si>
  <si>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</si>
  <si>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</si>
  <si>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</si>
  <si>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</si>
  <si>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</si>
  <si>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</si>
  <si>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</si>
  <si>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</si>
  <si>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</si>
  <si>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</si>
  <si>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</si>
  <si>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</si>
  <si>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</si>
  <si>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</si>
  <si>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</si>
  <si>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</si>
  <si>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</si>
  <si>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</si>
  <si>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</si>
  <si>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</si>
  <si>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</si>
  <si>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</si>
  <si>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</si>
  <si>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</si>
  <si>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</si>
  <si>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</si>
  <si>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</si>
  <si>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</si>
  <si>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</si>
  <si>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</si>
  <si>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</si>
  <si>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</si>
  <si>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</si>
  <si>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</si>
  <si>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</si>
  <si>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</si>
  <si>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</si>
  <si>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</si>
  <si>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</si>
  <si>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</si>
  <si>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</si>
  <si>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</si>
  <si>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</si>
  <si>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</si>
  <si>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</si>
  <si>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</si>
  <si>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</si>
  <si>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</si>
  <si>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</si>
  <si>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</si>
  <si>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</si>
  <si>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</si>
  <si>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</si>
  <si>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</si>
  <si>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</si>
  <si>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</si>
  <si>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</si>
  <si>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</si>
  <si>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</si>
  <si>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</si>
  <si>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</si>
  <si>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</si>
  <si>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</si>
  <si>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</si>
  <si>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</si>
  <si>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</si>
  <si>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</si>
  <si>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</si>
  <si>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</si>
  <si>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</si>
  <si>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</si>
  <si>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</si>
  <si>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</si>
  <si>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</si>
  <si>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</si>
  <si>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</si>
  <si>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</si>
  <si>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</si>
  <si>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</si>
  <si>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</si>
  <si>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</si>
  <si>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</si>
  <si>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</si>
  <si>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</si>
  <si>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</si>
  <si>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</si>
  <si>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</si>
  <si>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</si>
  <si>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</si>
  <si>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</si>
  <si>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</si>
  <si>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</si>
  <si>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</si>
  <si>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</si>
  <si>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</si>
  <si>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</si>
  <si>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</si>
  <si>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</si>
  <si>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</si>
  <si>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</si>
  <si>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</si>
  <si>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</si>
  <si>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</si>
  <si>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</si>
  <si>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</si>
  <si>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</si>
  <si>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</si>
  <si>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</si>
  <si>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</si>
  <si>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</si>
  <si>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</si>
  <si>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</si>
  <si>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</si>
  <si>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</si>
  <si>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</si>
  <si>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</si>
  <si>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</si>
  <si>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</si>
  <si>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</si>
  <si>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</si>
  <si>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</si>
  <si>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</si>
  <si>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</si>
  <si>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</si>
  <si>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</si>
  <si>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</si>
  <si>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</si>
  <si>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</si>
  <si>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</si>
  <si>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</si>
  <si>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</si>
  <si>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</si>
  <si>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</si>
  <si>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</si>
  <si>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</si>
  <si>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</si>
  <si>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</si>
  <si>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</si>
  <si>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</si>
  <si>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</si>
  <si>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</si>
  <si>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</si>
  <si>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</si>
  <si>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</si>
  <si>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</si>
  <si>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</si>
  <si>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</si>
  <si>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</si>
  <si>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</si>
  <si>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</si>
  <si>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</si>
  <si>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</si>
  <si>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</si>
  <si>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</si>
  <si>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</si>
  <si>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</si>
  <si>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</si>
  <si>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</si>
  <si>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</si>
  <si>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</si>
  <si>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</si>
  <si>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</si>
  <si>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</si>
  <si>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</si>
  <si>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</si>
  <si>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</si>
  <si>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</si>
  <si>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</si>
  <si>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</si>
  <si>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</si>
  <si>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</si>
  <si>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</si>
  <si>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</si>
  <si>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</si>
  <si>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</si>
  <si>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</si>
  <si>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</si>
  <si>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</si>
  <si>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</si>
  <si>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</si>
  <si>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</si>
  <si>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</si>
  <si>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</si>
  <si>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</si>
  <si>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</si>
  <si>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</si>
  <si>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</si>
  <si>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</si>
  <si>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</si>
  <si>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</si>
  <si>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</si>
  <si>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</si>
  <si>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</si>
  <si>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</si>
  <si>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</si>
  <si>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</si>
  <si>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</si>
  <si>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</si>
  <si>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</si>
  <si>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</si>
  <si>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</si>
  <si>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</si>
  <si>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</si>
  <si>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</si>
  <si>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</si>
  <si>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</si>
  <si>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</si>
  <si>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</si>
  <si>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</si>
  <si>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</si>
  <si>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</si>
  <si>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</si>
  <si>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</si>
  <si>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</si>
  <si>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</si>
  <si>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</si>
  <si>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</si>
  <si>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</si>
  <si>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</si>
  <si>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</si>
  <si>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</si>
  <si>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</si>
  <si>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</si>
  <si>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</si>
  <si>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</si>
  <si>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</si>
  <si>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</si>
  <si>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</si>
  <si>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</si>
  <si>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</si>
  <si>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</si>
  <si>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</si>
  <si>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</si>
  <si>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</si>
  <si>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</si>
  <si>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</si>
  <si>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</si>
  <si>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</si>
  <si>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</si>
  <si>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</si>
  <si>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</si>
  <si>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</si>
  <si>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</si>
  <si>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</si>
  <si>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</si>
  <si>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</si>
  <si>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</si>
  <si>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</si>
  <si>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</si>
  <si>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</si>
  <si>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</si>
  <si>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</si>
  <si>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</si>
  <si>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</si>
  <si>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</si>
  <si>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</si>
  <si>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</si>
  <si>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</si>
  <si>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</si>
  <si>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</si>
  <si>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</si>
  <si>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</si>
  <si>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</si>
  <si>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</si>
  <si>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</si>
  <si>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</si>
  <si>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</si>
  <si>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</si>
  <si>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</si>
  <si>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</si>
  <si>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</si>
  <si>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</si>
  <si>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</si>
  <si>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</si>
  <si>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</si>
  <si>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</si>
  <si>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</si>
  <si>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</si>
  <si>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</si>
  <si>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</si>
  <si>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</si>
  <si>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</si>
  <si>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</si>
  <si>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</si>
  <si>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</si>
  <si>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</si>
  <si>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</si>
  <si>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</si>
  <si>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</si>
  <si>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</si>
  <si>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</si>
  <si>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</si>
  <si>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</si>
  <si>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</si>
  <si>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</si>
  <si>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</si>
  <si>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</si>
  <si>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</si>
  <si>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</si>
  <si>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</si>
  <si>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</si>
  <si>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</si>
  <si>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</si>
  <si>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</si>
  <si>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</si>
  <si>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</si>
  <si>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</si>
  <si>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</si>
  <si>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</si>
  <si>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</si>
  <si>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</si>
  <si>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</si>
  <si>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</si>
  <si>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</si>
  <si>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</si>
  <si>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</si>
  <si>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</si>
  <si>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</si>
  <si>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</si>
  <si>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</si>
  <si>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</si>
  <si>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</si>
  <si>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</si>
  <si>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</si>
  <si>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</si>
  <si>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</si>
  <si>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</si>
  <si>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</si>
  <si>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</si>
  <si>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</si>
  <si>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</si>
  <si>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</si>
  <si>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</si>
  <si>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</si>
  <si>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</si>
  <si>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</si>
  <si>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</si>
  <si>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</si>
  <si>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</si>
  <si>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</si>
  <si>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</si>
  <si>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</si>
  <si>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</si>
  <si>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</si>
  <si>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</si>
  <si>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</si>
  <si>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</si>
  <si>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</si>
  <si>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</si>
  <si>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</si>
  <si>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</si>
  <si>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</si>
  <si>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</si>
  <si>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</si>
  <si>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</si>
  <si>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</si>
  <si>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</si>
  <si>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</si>
  <si>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</si>
  <si>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</si>
  <si>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</si>
  <si>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</si>
  <si>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</si>
  <si>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</si>
  <si>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</si>
  <si>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</si>
  <si>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</si>
  <si>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</si>
  <si>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</si>
  <si>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</si>
  <si>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</si>
  <si>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</si>
  <si>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</si>
  <si>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</si>
  <si>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</si>
  <si>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</si>
  <si>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</si>
  <si>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</si>
  <si>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</si>
  <si>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</si>
  <si>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</si>
  <si>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</si>
  <si>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</si>
  <si>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</si>
  <si>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</si>
  <si>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</si>
  <si>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</si>
  <si>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</si>
  <si>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</si>
  <si>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</si>
  <si>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</si>
  <si>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</si>
  <si>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</si>
  <si>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</si>
  <si>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</si>
  <si>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</si>
  <si>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</si>
  <si>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</si>
  <si>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</si>
  <si>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</si>
  <si>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</si>
  <si>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</si>
  <si>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</si>
  <si>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</si>
  <si>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</si>
  <si>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</si>
  <si>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</si>
  <si>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</si>
  <si>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</si>
  <si>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</si>
  <si>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</si>
  <si>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</si>
  <si>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</si>
  <si>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</si>
  <si>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</si>
  <si>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</si>
  <si>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</si>
  <si>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</si>
  <si>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</si>
  <si>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</si>
  <si>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</si>
  <si>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</si>
  <si>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</si>
  <si>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</si>
  <si>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</si>
  <si>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</si>
  <si>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</si>
  <si>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</si>
  <si>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</si>
  <si>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</si>
  <si>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</si>
  <si>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</si>
  <si>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</si>
  <si>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</si>
  <si>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</si>
  <si>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</si>
  <si>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</si>
  <si>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</si>
  <si>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</si>
  <si>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</si>
  <si>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</si>
  <si>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</si>
  <si>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</si>
  <si>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</si>
  <si>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</si>
  <si>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</si>
  <si>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</si>
  <si>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</si>
  <si>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</si>
  <si>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</si>
  <si>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</si>
  <si>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</si>
  <si>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</si>
  <si>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</si>
  <si>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</si>
  <si>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</si>
  <si>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</si>
  <si>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</si>
  <si>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</si>
  <si>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</si>
  <si>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</si>
  <si>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</si>
  <si>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</si>
  <si>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</si>
  <si>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</si>
  <si>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</si>
  <si>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</si>
  <si>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</si>
  <si>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</si>
  <si>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</si>
  <si>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</si>
  <si>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</si>
  <si>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</si>
  <si>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</si>
  <si>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</si>
  <si>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</si>
  <si>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</si>
  <si>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</si>
  <si>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</si>
  <si>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</si>
  <si>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</si>
  <si>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</si>
  <si>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</si>
  <si>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</si>
  <si>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</si>
  <si>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</si>
  <si>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</si>
  <si>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</si>
  <si>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</si>
  <si>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</si>
  <si>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</si>
  <si>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</si>
  <si>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</si>
  <si>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</si>
  <si>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</si>
  <si>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</si>
  <si>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</si>
  <si>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</si>
  <si>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</si>
  <si>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</si>
  <si>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</si>
  <si>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</si>
  <si>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</si>
  <si>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</si>
  <si>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</si>
  <si>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</si>
  <si>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</si>
  <si>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</si>
  <si>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</si>
  <si>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</si>
  <si>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</si>
  <si>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</si>
  <si>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</si>
  <si>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</si>
  <si>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</si>
  <si>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</si>
  <si>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</si>
  <si>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</si>
  <si>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</si>
  <si>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</si>
  <si>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</si>
  <si>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</si>
  <si>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</si>
  <si>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</si>
  <si>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</si>
  <si>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</si>
  <si>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</si>
  <si>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</si>
  <si>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</si>
  <si>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</si>
  <si>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</si>
  <si>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</si>
  <si>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</si>
  <si>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</si>
  <si>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</si>
  <si>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</si>
  <si>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</si>
  <si>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</si>
  <si>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</si>
  <si>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</si>
  <si>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</si>
  <si>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</si>
  <si>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</si>
  <si>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</si>
  <si>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</si>
  <si>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</si>
  <si>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</si>
  <si>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</si>
  <si>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</si>
  <si>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</si>
  <si>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</si>
  <si>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</si>
  <si>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</si>
  <si>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</si>
  <si>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</si>
  <si>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</si>
  <si>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</si>
  <si>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</si>
  <si>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</si>
  <si>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</si>
  <si>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</si>
  <si>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</si>
  <si>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</si>
  <si>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</si>
  <si>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</si>
  <si>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</si>
  <si>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</si>
  <si>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</si>
  <si>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</si>
  <si>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</si>
  <si>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</si>
  <si>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</si>
  <si>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</si>
  <si>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</si>
  <si>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</si>
  <si>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</si>
  <si>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</si>
  <si>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</si>
  <si>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</si>
  <si>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</si>
  <si>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</si>
  <si>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</si>
  <si>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</si>
  <si>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</si>
  <si>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</si>
  <si>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</si>
  <si>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</si>
  <si>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</si>
  <si>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</si>
  <si>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</si>
  <si>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</si>
  <si>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</si>
  <si>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</si>
  <si>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</si>
  <si>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</si>
  <si>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</si>
  <si>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</si>
  <si>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</si>
  <si>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</si>
  <si>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</si>
  <si>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</si>
  <si>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</si>
  <si>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</si>
  <si>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</si>
  <si>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</si>
  <si>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</si>
  <si>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</si>
  <si>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</si>
  <si>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</si>
  <si>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</si>
  <si>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</si>
  <si>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</si>
  <si>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</si>
  <si>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</si>
  <si>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</si>
  <si>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</si>
  <si>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</si>
  <si>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</si>
  <si>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</si>
  <si>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</si>
  <si>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</si>
  <si>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</si>
  <si>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</si>
  <si>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</si>
  <si>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</si>
  <si>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</si>
  <si>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</si>
  <si>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</si>
  <si>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</si>
  <si>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</si>
  <si>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</si>
  <si>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</si>
  <si>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</si>
  <si>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</si>
  <si>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</si>
  <si>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</si>
  <si>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</si>
  <si>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</si>
  <si>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</si>
  <si>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</si>
  <si>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</si>
  <si>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</si>
  <si>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</si>
  <si>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</si>
  <si>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</si>
  <si>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</si>
  <si>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</si>
  <si>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</si>
  <si>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</si>
  <si>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</si>
  <si>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</si>
  <si>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</si>
  <si>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</si>
  <si>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</si>
  <si>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</si>
  <si>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</si>
  <si>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</si>
  <si>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</si>
  <si>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</si>
  <si>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</si>
  <si>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</si>
  <si>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</si>
  <si>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</si>
  <si>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</si>
  <si>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</si>
  <si>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</si>
  <si>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</si>
  <si>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</si>
  <si>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</si>
  <si>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</si>
  <si>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</si>
  <si>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</si>
  <si>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</si>
  <si>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</si>
  <si>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</si>
  <si>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</si>
  <si>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</si>
  <si>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</si>
  <si>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</si>
  <si>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</si>
  <si>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</si>
  <si>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</si>
  <si>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</si>
  <si>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</si>
  <si>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</si>
  <si>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</si>
  <si>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</si>
  <si>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</si>
  <si>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</si>
  <si>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</si>
  <si>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</si>
  <si>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</si>
  <si>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</si>
  <si>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</si>
  <si>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</si>
  <si>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</si>
  <si>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</si>
  <si>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</si>
  <si>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</si>
  <si>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</si>
  <si>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</si>
  <si>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</si>
  <si>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</si>
  <si>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</si>
  <si>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</si>
  <si>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</si>
  <si>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</si>
  <si>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</si>
  <si>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</si>
  <si>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</si>
  <si>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</si>
  <si>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</si>
  <si>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</si>
  <si>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</si>
  <si>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</si>
  <si>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</si>
  <si>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</si>
  <si>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</si>
  <si>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</si>
  <si>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</si>
  <si>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</si>
  <si>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</si>
  <si>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</si>
  <si>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</si>
  <si>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</si>
  <si>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</si>
  <si>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</si>
  <si>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</si>
  <si>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</si>
  <si>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</si>
  <si>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</si>
  <si>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</si>
  <si>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</si>
  <si>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</si>
  <si>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</si>
  <si>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</si>
  <si>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</si>
  <si>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</si>
  <si>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</si>
  <si>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</si>
  <si>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</si>
  <si>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</si>
  <si>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</si>
  <si>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</si>
  <si>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</si>
  <si>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</si>
  <si>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</si>
  <si>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</si>
  <si>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</si>
  <si>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</si>
  <si>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</si>
  <si>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</si>
  <si>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</si>
  <si>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</si>
  <si>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</si>
  <si>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</si>
  <si>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</si>
  <si>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</si>
  <si>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</si>
  <si>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</si>
  <si>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</si>
  <si>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</si>
  <si>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</si>
  <si>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</si>
  <si>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</si>
  <si>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</si>
  <si>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</si>
  <si>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</si>
  <si>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</si>
  <si>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</si>
  <si>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</si>
  <si>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</si>
  <si>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</si>
  <si>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</si>
  <si>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</si>
  <si>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</si>
  <si>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</si>
  <si>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</si>
  <si>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</si>
  <si>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</si>
  <si>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</si>
  <si>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</si>
  <si>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</si>
  <si>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</si>
  <si>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</si>
  <si>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</si>
  <si>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</si>
  <si>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</si>
  <si>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</si>
  <si>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</si>
  <si>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</si>
  <si>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</si>
  <si>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</si>
  <si>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</si>
  <si>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</si>
  <si>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</si>
  <si>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</si>
  <si>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</si>
  <si>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</si>
  <si>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</si>
  <si>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</si>
  <si>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</si>
  <si>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</si>
  <si>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</si>
  <si>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</si>
  <si>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</si>
  <si>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</si>
  <si>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</si>
  <si>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</si>
  <si>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</si>
  <si>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</si>
  <si>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</si>
  <si>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</si>
  <si>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</si>
  <si>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</si>
  <si>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</si>
  <si>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</si>
  <si>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</si>
  <si>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</si>
  <si>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</si>
  <si>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</si>
  <si>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</si>
  <si>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</si>
  <si>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</si>
  <si>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</si>
  <si>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</si>
  <si>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</si>
  <si>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</si>
  <si>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</si>
  <si>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</si>
  <si>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</si>
  <si>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</si>
  <si>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</si>
  <si>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</si>
  <si>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</si>
  <si>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</si>
  <si>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</si>
  <si>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</si>
  <si>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</si>
  <si>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</si>
  <si>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</si>
  <si>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</si>
  <si>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</si>
  <si>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</si>
  <si>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</si>
  <si>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</si>
  <si>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</si>
  <si>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</si>
  <si>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</si>
  <si>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</si>
  <si>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</si>
  <si>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</si>
  <si>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</si>
  <si>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</si>
  <si>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</si>
  <si>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</si>
  <si>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</si>
  <si>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</si>
  <si>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</si>
  <si>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</si>
  <si>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</si>
  <si>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</si>
  <si>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</si>
  <si>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</si>
  <si>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</si>
  <si>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</si>
  <si>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</si>
  <si>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</si>
  <si>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</si>
  <si>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</si>
  <si>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</si>
  <si>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</si>
  <si>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</si>
  <si>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</si>
  <si>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</si>
  <si>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</si>
  <si>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</si>
  <si>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</si>
  <si>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</si>
  <si>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</si>
  <si>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</si>
  <si>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</si>
  <si>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</si>
  <si>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</si>
  <si>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</si>
  <si>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</si>
  <si>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</si>
  <si>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</si>
  <si>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</si>
  <si>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</si>
  <si>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</si>
  <si>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</si>
  <si>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</si>
  <si>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</si>
  <si>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</si>
  <si>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</si>
  <si>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</si>
  <si>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</si>
  <si>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</si>
  <si>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</si>
  <si>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</si>
  <si>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</si>
  <si>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</si>
  <si>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</si>
  <si>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</si>
  <si>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</si>
  <si>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</si>
  <si>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</si>
  <si>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</si>
  <si>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</si>
  <si>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</si>
  <si>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</si>
  <si>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</si>
  <si>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</si>
  <si>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</si>
  <si>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</si>
  <si>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</si>
  <si>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</si>
  <si>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</si>
  <si>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</si>
  <si>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</si>
  <si>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</si>
  <si>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</si>
  <si>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</si>
  <si>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</si>
  <si>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</si>
  <si>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</si>
  <si>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</si>
  <si>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</si>
  <si>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</si>
  <si>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</si>
  <si>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</si>
  <si>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</si>
  <si>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</si>
  <si>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</si>
  <si>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</si>
  <si>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</si>
  <si>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</si>
  <si>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</si>
  <si>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</si>
  <si>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</si>
  <si>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</si>
  <si>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</si>
  <si>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</si>
  <si>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</si>
  <si>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</si>
  <si>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</si>
  <si>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</si>
  <si>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</si>
  <si>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</si>
  <si>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</si>
  <si>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</si>
  <si>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</si>
  <si>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</si>
  <si>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</si>
  <si>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</si>
  <si>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</si>
  <si>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</si>
  <si>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</si>
  <si>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</si>
  <si>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</si>
  <si>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</si>
  <si>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</si>
  <si>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</si>
  <si>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</si>
  <si>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</si>
  <si>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</si>
  <si>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</si>
  <si>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</si>
  <si>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</si>
  <si>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</si>
  <si>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</si>
  <si>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</si>
  <si>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</si>
  <si>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</si>
  <si>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</si>
  <si>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</si>
  <si>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</si>
  <si>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</si>
  <si>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</si>
  <si>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</si>
  <si>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</si>
  <si>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</si>
  <si>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</si>
  <si>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</si>
  <si>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</si>
  <si>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</si>
  <si>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</si>
  <si>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</si>
  <si>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</si>
  <si>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</si>
  <si>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</si>
  <si>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</si>
  <si>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</si>
  <si>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</si>
  <si>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</si>
  <si>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</si>
  <si>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</si>
  <si>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</si>
  <si>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</si>
  <si>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</si>
  <si>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</si>
  <si>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</si>
  <si>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</si>
  <si>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</si>
  <si>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</si>
  <si>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</si>
  <si>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</si>
  <si>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</si>
  <si>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</si>
  <si>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</si>
  <si>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</si>
  <si>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</si>
  <si>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</si>
  <si>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</si>
  <si>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</si>
  <si>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</si>
  <si>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</si>
  <si>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</si>
  <si>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</si>
  <si>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</si>
  <si>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</si>
  <si>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</si>
  <si>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</si>
  <si>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</si>
  <si>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</si>
  <si>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</si>
  <si>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</si>
  <si>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</si>
  <si>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</si>
  <si>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</si>
  <si>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</si>
  <si>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</si>
  <si>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</si>
  <si>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</si>
  <si>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</si>
  <si>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</si>
  <si>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</si>
  <si>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</si>
  <si>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</si>
  <si>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</si>
  <si>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</si>
  <si>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</si>
  <si>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</si>
  <si>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</si>
  <si>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</si>
  <si>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</si>
  <si>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</si>
  <si>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</si>
  <si>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</si>
  <si>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</si>
  <si>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</si>
  <si>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</si>
  <si>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</si>
  <si>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</si>
  <si>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</si>
  <si>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</si>
  <si>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</si>
  <si>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</si>
  <si>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</si>
  <si>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</si>
  <si>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</si>
  <si>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</si>
  <si>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</si>
  <si>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</si>
  <si>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</si>
  <si>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</si>
  <si>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</si>
  <si>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</si>
  <si>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</si>
  <si>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</si>
  <si>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</si>
  <si>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</si>
  <si>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</si>
  <si>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</si>
  <si>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</si>
  <si>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</si>
  <si>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</si>
  <si>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</si>
  <si>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</si>
  <si>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</si>
  <si>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</si>
  <si>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</si>
  <si>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</si>
  <si>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</si>
  <si>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</si>
  <si>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</si>
  <si>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</si>
  <si>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</si>
  <si>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</si>
  <si>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</si>
  <si>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</si>
  <si>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</si>
  <si>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</si>
  <si>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</si>
  <si>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</si>
  <si>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</si>
  <si>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</si>
  <si>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</si>
  <si>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</si>
  <si>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</si>
  <si>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</si>
  <si>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</si>
  <si>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</si>
  <si>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</si>
  <si>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</si>
  <si>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</si>
  <si>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</si>
  <si>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</si>
  <si>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</si>
  <si>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</si>
  <si>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</si>
  <si>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</si>
  <si>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</si>
  <si>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</si>
  <si>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</si>
  <si>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</si>
  <si>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</si>
  <si>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</si>
  <si>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</si>
  <si>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</si>
  <si>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</si>
  <si>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</si>
  <si>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</si>
  <si>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</si>
  <si>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</si>
  <si>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</si>
  <si>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</si>
  <si>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</si>
  <si>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</si>
  <si>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</si>
  <si>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</si>
  <si>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</si>
  <si>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</si>
  <si>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</si>
  <si>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</si>
  <si>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</si>
  <si>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</si>
  <si>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</si>
  <si>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</si>
  <si>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</si>
  <si>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</si>
  <si>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</si>
  <si>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</si>
  <si>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</si>
  <si>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</si>
  <si>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</si>
  <si>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</si>
  <si>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</si>
  <si>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</si>
  <si>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</si>
  <si>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</si>
  <si>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</si>
  <si>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</si>
  <si>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</si>
  <si>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</si>
  <si>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</si>
  <si>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</si>
  <si>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</si>
  <si>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</si>
  <si>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</si>
  <si>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</si>
  <si>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</si>
  <si>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</si>
  <si>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</si>
  <si>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</si>
  <si>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</si>
  <si>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</si>
  <si>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</si>
  <si>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</si>
  <si>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</si>
  <si>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</si>
  <si>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</si>
  <si>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</si>
  <si>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</si>
  <si>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</si>
  <si>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</si>
  <si>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</si>
  <si>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</si>
  <si>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</si>
  <si>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</si>
  <si>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</si>
  <si>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</si>
  <si>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</si>
  <si>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</si>
  <si>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</si>
  <si>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</si>
  <si>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</si>
  <si>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</si>
  <si>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</si>
  <si>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</si>
  <si>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</si>
  <si>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</si>
  <si>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</si>
  <si>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</si>
  <si>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</si>
  <si>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</si>
  <si>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</si>
  <si>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</si>
  <si>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</si>
  <si>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</si>
  <si>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</si>
  <si>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</si>
  <si>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</si>
  <si>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</si>
  <si>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</si>
  <si>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</si>
  <si>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</si>
  <si>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</si>
  <si>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</si>
  <si>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</si>
  <si>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</si>
  <si>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</si>
  <si>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</si>
  <si>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</si>
  <si>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</si>
  <si>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</si>
  <si>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</si>
  <si>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</si>
  <si>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</si>
  <si>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</si>
  <si>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</si>
  <si>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</si>
  <si>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</si>
  <si>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</si>
  <si>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</si>
  <si>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</si>
  <si>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</si>
  <si>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</si>
  <si>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</si>
  <si>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</si>
  <si>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</si>
  <si>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</si>
  <si>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</si>
  <si>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</si>
  <si>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</si>
  <si>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</si>
  <si>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</si>
  <si>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</si>
  <si>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</si>
  <si>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</si>
  <si>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</si>
  <si>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</si>
  <si>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</si>
  <si>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</si>
  <si>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</si>
  <si>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</si>
  <si>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</si>
  <si>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</si>
  <si>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</si>
  <si>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</si>
  <si>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</si>
  <si>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</si>
  <si>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</si>
  <si>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</si>
  <si>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</si>
  <si>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</si>
  <si>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</si>
  <si>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</si>
  <si>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</si>
  <si>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</si>
  <si>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</si>
  <si>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</si>
  <si>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</si>
  <si>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</si>
  <si>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</si>
  <si>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</si>
  <si>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</si>
  <si>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</si>
  <si>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</si>
  <si>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</si>
  <si>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</si>
  <si>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</si>
  <si>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</si>
  <si>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</si>
  <si>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</si>
  <si>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</si>
  <si>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</si>
  <si>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</si>
  <si>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</si>
  <si>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</si>
  <si>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</si>
  <si>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</si>
  <si>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</si>
  <si>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</si>
  <si>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</si>
  <si>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</si>
  <si>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</si>
  <si>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</si>
  <si>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</si>
  <si>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</si>
  <si>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</si>
  <si>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</si>
  <si>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</si>
  <si>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</si>
  <si>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</si>
  <si>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</si>
  <si>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</si>
  <si>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</si>
  <si>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</si>
  <si>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</si>
  <si>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</si>
  <si>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</si>
  <si>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</si>
  <si>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</si>
  <si>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</si>
  <si>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</si>
  <si>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</si>
  <si>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</si>
  <si>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</si>
  <si>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</si>
  <si>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</si>
  <si>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</si>
  <si>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</si>
  <si>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</si>
  <si>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</si>
  <si>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</si>
  <si>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</si>
  <si>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</si>
  <si>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</si>
  <si>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</si>
  <si>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</si>
  <si>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</si>
  <si>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</si>
  <si>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</si>
  <si>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</si>
  <si>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</si>
  <si>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</si>
  <si>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</si>
  <si>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</si>
  <si>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</si>
  <si>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</si>
  <si>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</si>
  <si>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</si>
  <si>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</si>
  <si>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</si>
  <si>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</si>
  <si>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</si>
  <si>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</si>
  <si>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</si>
  <si>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</si>
  <si>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</si>
  <si>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</si>
  <si>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</si>
  <si>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</si>
  <si>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</si>
  <si>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</si>
  <si>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</si>
  <si>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</si>
  <si>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</si>
  <si>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</si>
  <si>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</si>
  <si>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</si>
  <si>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</si>
  <si>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</si>
  <si>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</si>
  <si>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</si>
  <si>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</si>
  <si>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</si>
  <si>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</si>
  <si>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</si>
  <si>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</si>
  <si>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</si>
  <si>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</si>
  <si>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</si>
  <si>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</si>
  <si>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</si>
  <si>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</si>
  <si>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</si>
  <si>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</si>
  <si>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</si>
  <si>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</si>
  <si>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</si>
  <si>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</si>
  <si>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</si>
  <si>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</si>
  <si>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</si>
  <si>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</si>
  <si>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</si>
  <si>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</si>
  <si>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</si>
  <si>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</si>
  <si>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</si>
  <si>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</si>
  <si>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</si>
  <si>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</si>
  <si>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</si>
  <si>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</si>
  <si>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</si>
  <si>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</si>
  <si>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</si>
  <si>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</si>
  <si>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</si>
  <si>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</si>
  <si>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</si>
  <si>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</si>
  <si>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</si>
  <si>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</si>
  <si>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</si>
  <si>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</si>
  <si>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</si>
  <si>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</si>
  <si>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</si>
  <si>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</si>
  <si>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</si>
  <si>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</si>
  <si>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</si>
  <si>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</si>
  <si>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</si>
  <si>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</si>
  <si>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</si>
  <si>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</si>
  <si>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</si>
  <si>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</si>
  <si>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</si>
  <si>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</si>
  <si>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</si>
  <si>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</si>
  <si>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</si>
  <si>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</si>
  <si>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</si>
  <si>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</si>
  <si>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</si>
  <si>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</si>
  <si>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</si>
  <si>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</si>
  <si>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</si>
  <si>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</si>
  <si>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</si>
  <si>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</si>
  <si>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</si>
  <si>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</si>
  <si>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</si>
  <si>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</si>
  <si>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</si>
  <si>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</si>
  <si>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</si>
  <si>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</si>
  <si>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</si>
  <si>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</si>
  <si>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</si>
  <si>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</si>
  <si>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</si>
  <si>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</si>
  <si>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</si>
  <si>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</si>
  <si>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</si>
  <si>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</si>
  <si>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</si>
  <si>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</si>
  <si>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</si>
  <si>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</si>
  <si>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</si>
  <si>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</si>
  <si>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</si>
  <si>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</si>
  <si>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</si>
  <si>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</si>
  <si>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</si>
  <si>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</si>
  <si>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</si>
  <si>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</si>
  <si>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</si>
  <si>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</si>
  <si>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</si>
  <si>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</si>
  <si>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</si>
  <si>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</si>
  <si>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</si>
  <si>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</si>
  <si>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</si>
  <si>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</si>
  <si>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</si>
  <si>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</si>
  <si>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</si>
  <si>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</si>
  <si>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</si>
  <si>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</si>
  <si>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</si>
  <si>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</si>
  <si>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</si>
  <si>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</si>
  <si>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</si>
  <si>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</si>
  <si>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</si>
  <si>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</si>
  <si>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</si>
  <si>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</si>
  <si>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</si>
  <si>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</si>
  <si>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</si>
  <si>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</si>
  <si>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</si>
  <si>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</si>
  <si>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</si>
  <si>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</si>
  <si>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</si>
  <si>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</si>
  <si>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</si>
  <si>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</si>
  <si>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</si>
  <si>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</si>
  <si>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</si>
  <si>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</si>
  <si>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</si>
  <si>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</si>
  <si>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</si>
  <si>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</si>
  <si>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</si>
  <si>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</si>
  <si>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</si>
  <si>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</si>
  <si>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</si>
  <si>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</si>
  <si>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</si>
  <si>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</si>
  <si>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</si>
  <si>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</si>
  <si>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</si>
  <si>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</si>
  <si>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</si>
  <si>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</si>
  <si>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</si>
  <si>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</si>
  <si>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</si>
  <si>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</si>
  <si>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</si>
  <si>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</si>
  <si>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</si>
  <si>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</si>
  <si>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</si>
  <si>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</si>
  <si>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</si>
  <si>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</si>
  <si>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</si>
  <si>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</si>
  <si>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</si>
  <si>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</si>
  <si>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</si>
  <si>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</si>
  <si>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</si>
  <si>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</si>
  <si>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</si>
  <si>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</si>
  <si>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</si>
  <si>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</si>
  <si>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</si>
  <si>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</si>
  <si>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</si>
  <si>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</si>
  <si>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</si>
  <si>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</si>
  <si>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</si>
  <si>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</si>
  <si>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</si>
  <si>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</si>
  <si>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</si>
  <si>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</si>
  <si>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</si>
  <si>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</si>
  <si>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</si>
  <si>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</si>
  <si>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</si>
  <si>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</si>
  <si>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</si>
  <si>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</si>
  <si>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</si>
  <si>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</si>
  <si>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</si>
  <si>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</si>
  <si>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</si>
  <si>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</si>
  <si>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</si>
  <si>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</si>
  <si>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</si>
  <si>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</si>
  <si>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</si>
  <si>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</si>
  <si>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</si>
  <si>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</si>
  <si>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</si>
  <si>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</si>
  <si>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</si>
  <si>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</si>
  <si>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</si>
  <si>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</si>
  <si>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</si>
  <si>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</si>
  <si>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</si>
  <si>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</si>
  <si>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</si>
  <si>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</si>
  <si>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</si>
  <si>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</si>
  <si>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</si>
  <si>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</si>
  <si>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</si>
  <si>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</si>
  <si>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</si>
  <si>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</si>
  <si>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</si>
  <si>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</si>
  <si>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</si>
  <si>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</si>
  <si>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</si>
  <si>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</si>
  <si>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</si>
  <si>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</si>
  <si>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</si>
  <si>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</si>
  <si>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</si>
  <si>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</si>
  <si>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</si>
  <si>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</si>
  <si>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</si>
  <si>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</si>
  <si>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</si>
  <si>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</si>
  <si>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</si>
  <si>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</si>
  <si>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</si>
  <si>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</si>
  <si>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</si>
  <si>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</si>
  <si>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</si>
  <si>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</si>
  <si>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</si>
  <si>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</si>
  <si>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</si>
  <si>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</si>
  <si>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</si>
  <si>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</si>
  <si>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</si>
  <si>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</si>
  <si>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</si>
  <si>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</si>
  <si>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</si>
  <si>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</si>
  <si>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</si>
  <si>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</si>
  <si>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</si>
  <si>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</si>
  <si>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</si>
  <si>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</si>
  <si>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</si>
  <si>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</si>
  <si>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</si>
  <si>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</si>
  <si>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</si>
  <si>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</si>
  <si>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</si>
  <si>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</si>
  <si>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</si>
  <si>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</si>
  <si>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</si>
  <si>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</si>
  <si>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</si>
  <si>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</si>
  <si>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</si>
  <si>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</si>
  <si>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</si>
  <si>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</si>
  <si>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</si>
  <si>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</si>
  <si>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</si>
  <si>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</si>
  <si>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</si>
  <si>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</si>
  <si>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</si>
  <si>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</si>
  <si>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</si>
  <si>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</si>
  <si>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</si>
  <si>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</si>
  <si>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</si>
  <si>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</si>
  <si>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</si>
  <si>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</si>
  <si>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</si>
  <si>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</si>
  <si>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</si>
  <si>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</si>
  <si>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</si>
  <si>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</si>
  <si>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</si>
  <si>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</si>
  <si>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</si>
  <si>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</si>
  <si>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</si>
  <si>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</si>
  <si>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</si>
  <si>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</si>
  <si>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</si>
  <si>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</si>
  <si>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</si>
  <si>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</si>
  <si>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</si>
  <si>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</si>
  <si>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</si>
  <si>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</si>
  <si>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</si>
  <si>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</si>
  <si>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</si>
  <si>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</si>
  <si>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</si>
  <si>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</si>
  <si>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</si>
  <si>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</si>
  <si>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</si>
  <si>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</si>
  <si>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</si>
  <si>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</si>
  <si>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</si>
  <si>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</si>
  <si>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</si>
  <si>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</si>
  <si>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</si>
  <si>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</si>
  <si>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</si>
  <si>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</si>
  <si>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</si>
  <si>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</si>
  <si>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</si>
  <si>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</si>
  <si>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</si>
  <si>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</si>
  <si>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</si>
  <si>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</si>
  <si>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</si>
  <si>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</si>
  <si>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</si>
  <si>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</si>
  <si>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</si>
  <si>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</si>
  <si>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</si>
  <si>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</si>
  <si>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</si>
  <si>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</si>
  <si>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</si>
  <si>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</si>
  <si>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</si>
  <si>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</si>
  <si>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</si>
  <si>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</si>
  <si>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</si>
  <si>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</si>
  <si>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</si>
  <si>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</si>
  <si>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</si>
  <si>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</si>
  <si>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</si>
  <si>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</si>
  <si>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</si>
  <si>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</si>
  <si>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</si>
  <si>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</si>
  <si>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</si>
  <si>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</si>
  <si>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</si>
  <si>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</si>
  <si>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</si>
  <si>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</si>
  <si>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</si>
  <si>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</si>
  <si>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</si>
  <si>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</si>
  <si>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</si>
  <si>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</si>
  <si>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</si>
  <si>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</si>
  <si>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</si>
  <si>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</si>
  <si>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</si>
  <si>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</si>
  <si>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</si>
  <si>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</si>
  <si>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</si>
  <si>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</si>
  <si>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</si>
  <si>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</si>
  <si>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</si>
  <si>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</si>
  <si>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</si>
  <si>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</si>
  <si>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</si>
  <si>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</si>
  <si>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</si>
  <si>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</si>
  <si>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</si>
  <si>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</si>
  <si>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</si>
  <si>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</si>
  <si>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</si>
  <si>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</si>
  <si>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</si>
  <si>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</si>
  <si>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</si>
  <si>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</si>
  <si>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</si>
  <si>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</si>
  <si>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</si>
  <si>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</si>
  <si>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</si>
  <si>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</si>
  <si>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</si>
  <si>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</si>
  <si>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</si>
  <si>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</si>
  <si>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</si>
  <si>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</si>
  <si>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</si>
  <si>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</si>
  <si>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</si>
  <si>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</si>
  <si>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</si>
  <si>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</si>
  <si>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</si>
  <si>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</si>
  <si>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</si>
  <si>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</si>
  <si>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</si>
  <si>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</si>
  <si>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</si>
  <si>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</si>
  <si>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</si>
  <si>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</si>
  <si>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</si>
  <si>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</si>
  <si>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</si>
  <si>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</si>
  <si>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</si>
  <si>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</si>
  <si>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</si>
  <si>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</si>
  <si>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</si>
  <si>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</si>
  <si>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</si>
  <si>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</si>
  <si>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</si>
  <si>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</si>
  <si>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</si>
  <si>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</si>
  <si>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</si>
  <si>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</si>
  <si>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</si>
  <si>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</si>
  <si>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</si>
  <si>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</si>
  <si>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</si>
  <si>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</si>
  <si>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</si>
  <si>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</si>
  <si>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</si>
  <si>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</si>
  <si>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</si>
  <si>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</si>
  <si>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</si>
  <si>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</si>
  <si>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</si>
  <si>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</si>
  <si>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</si>
  <si>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</si>
  <si>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</si>
  <si>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</si>
  <si>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</si>
  <si>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</si>
  <si>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</si>
  <si>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</si>
  <si>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</si>
  <si>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</si>
  <si>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</si>
  <si>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</si>
  <si>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</si>
  <si>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</si>
  <si>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</si>
  <si>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</si>
  <si>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</si>
  <si>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</si>
  <si>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</si>
  <si>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</si>
  <si>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</si>
  <si>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</si>
  <si>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</si>
  <si>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</si>
  <si>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</si>
  <si>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</si>
  <si>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</si>
  <si>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</si>
  <si>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</si>
  <si>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</si>
  <si>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</si>
  <si>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</si>
  <si>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</si>
  <si>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</si>
  <si>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</si>
  <si>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</si>
  <si>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</si>
  <si>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</si>
  <si>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</si>
  <si>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</si>
  <si>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</si>
  <si>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</si>
  <si>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</si>
  <si>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</si>
  <si>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</si>
  <si>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</si>
  <si>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</si>
  <si>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</si>
  <si>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</si>
  <si>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</si>
  <si>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</si>
  <si>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</si>
  <si>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</si>
  <si>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</si>
  <si>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</si>
  <si>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</si>
  <si>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</si>
  <si>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</si>
  <si>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</si>
  <si>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</si>
  <si>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</si>
  <si>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</si>
  <si>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</si>
  <si>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</si>
  <si>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</si>
  <si>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</si>
  <si>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</si>
  <si>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</si>
  <si>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</si>
  <si>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</si>
  <si>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</si>
  <si>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</si>
  <si>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</si>
  <si>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</si>
  <si>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</si>
  <si>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</si>
  <si>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</si>
  <si>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</si>
  <si>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</si>
  <si>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</si>
  <si>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</si>
  <si>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</si>
  <si>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</si>
  <si>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</si>
  <si>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</si>
  <si>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</si>
  <si>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</si>
  <si>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</si>
  <si>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</si>
  <si>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</si>
  <si>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</si>
  <si>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</si>
  <si>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</si>
  <si>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</si>
  <si>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</si>
  <si>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</si>
  <si>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</si>
  <si>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</si>
  <si>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</si>
  <si>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</si>
  <si>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</si>
  <si>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</si>
  <si>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</si>
  <si>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</si>
  <si>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</si>
  <si>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</si>
  <si>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</si>
  <si>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</si>
  <si>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</si>
  <si>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</si>
  <si>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</si>
  <si>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</si>
  <si>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</si>
  <si>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</si>
  <si>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</si>
  <si>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</si>
  <si>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</si>
  <si>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</si>
  <si>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</si>
  <si>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</si>
  <si>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</si>
  <si>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</si>
  <si>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</si>
  <si>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</si>
  <si>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</si>
  <si>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</si>
  <si>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</si>
  <si>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</si>
  <si>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</si>
  <si>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</si>
  <si>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</si>
  <si>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</si>
  <si>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</si>
  <si>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</si>
  <si>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</si>
  <si>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</si>
  <si>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</si>
  <si>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</si>
  <si>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</si>
  <si>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</si>
  <si>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</si>
  <si>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</si>
  <si>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</si>
  <si>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</si>
  <si>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</si>
  <si>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</si>
  <si>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</si>
  <si>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</si>
  <si>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</si>
  <si>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</si>
  <si>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</si>
  <si>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</si>
  <si>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</si>
  <si>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</si>
  <si>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</si>
  <si>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</si>
  <si>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</si>
  <si>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</si>
  <si>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</si>
  <si>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</si>
  <si>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</si>
  <si>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</si>
  <si>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</si>
  <si>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</si>
  <si>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</si>
  <si>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</si>
  <si>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</si>
  <si>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</si>
  <si>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</si>
  <si>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</si>
  <si>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</si>
  <si>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</si>
  <si>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</si>
  <si>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</si>
  <si>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</si>
  <si>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</si>
  <si>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</si>
  <si>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</si>
  <si>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</si>
  <si>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</si>
  <si>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</si>
  <si>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</si>
  <si>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</si>
  <si>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</si>
  <si>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</si>
  <si>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</si>
  <si>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</si>
  <si>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</si>
  <si>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</si>
  <si>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</si>
  <si>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</si>
  <si>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</si>
  <si>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</si>
  <si>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</si>
  <si>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</si>
  <si>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</si>
  <si>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</si>
  <si>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</si>
  <si>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</si>
  <si>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</si>
  <si>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</si>
  <si>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</si>
  <si>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</si>
  <si>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</si>
  <si>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</si>
  <si>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</si>
  <si>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</si>
  <si>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</si>
  <si>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</si>
  <si>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</si>
  <si>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</si>
  <si>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</si>
  <si>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</si>
  <si>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</si>
  <si>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</si>
  <si>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</si>
  <si>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</si>
  <si>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</si>
  <si>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</si>
  <si>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</si>
  <si>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</si>
  <si>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</si>
  <si>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</si>
  <si>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</si>
  <si>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</si>
  <si>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</si>
  <si>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</si>
  <si>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</si>
  <si>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</si>
  <si>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</si>
  <si>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</si>
  <si>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</si>
  <si>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</si>
  <si>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</si>
  <si>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</si>
  <si>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</si>
  <si>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</si>
  <si>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</si>
  <si>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</si>
  <si>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</si>
  <si>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</si>
  <si>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</si>
  <si>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</si>
  <si>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</si>
  <si>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</si>
  <si>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</si>
  <si>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</si>
  <si>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</si>
  <si>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</si>
  <si>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</si>
  <si>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</si>
  <si>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</si>
  <si>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</si>
  <si>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</si>
  <si>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</si>
  <si>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</si>
  <si>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</si>
  <si>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</si>
  <si>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</si>
  <si>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</si>
  <si>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</si>
  <si>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</si>
  <si>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</si>
  <si>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</si>
  <si>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</si>
  <si>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</si>
  <si>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</si>
  <si>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</si>
  <si>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</si>
  <si>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</si>
  <si>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</si>
  <si>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</si>
  <si>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</si>
  <si>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</si>
  <si>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</si>
  <si>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</si>
  <si>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</si>
  <si>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</si>
  <si>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</si>
  <si>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</si>
  <si>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</si>
  <si>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</si>
  <si>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</si>
  <si>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</si>
  <si>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</si>
  <si>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</si>
  <si>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</si>
  <si>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</si>
  <si>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</si>
  <si>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</si>
  <si>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</si>
  <si>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</si>
  <si>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</si>
  <si>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</si>
  <si>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</si>
  <si>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</si>
  <si>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</si>
  <si>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</si>
  <si>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</si>
  <si>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</si>
  <si>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</si>
  <si>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</si>
  <si>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</si>
  <si>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</si>
  <si>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</si>
  <si>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</si>
  <si>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</si>
  <si>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</si>
  <si>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</si>
  <si>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</si>
  <si>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</si>
  <si>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</si>
  <si>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</si>
  <si>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</si>
  <si>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</si>
  <si>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</si>
  <si>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</si>
  <si>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</si>
  <si>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</si>
  <si>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</si>
  <si>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</si>
  <si>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</si>
  <si>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</si>
  <si>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</si>
  <si>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</si>
  <si>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</si>
  <si>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</si>
  <si>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</si>
  <si>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</si>
  <si>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</si>
  <si>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</si>
  <si>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</si>
  <si>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</si>
  <si>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</si>
  <si>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</si>
  <si>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</si>
  <si>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</si>
  <si>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</si>
  <si>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</si>
  <si>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</si>
  <si>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</si>
  <si>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</si>
  <si>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</si>
  <si>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</si>
  <si>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</si>
  <si>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</si>
  <si>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</si>
  <si>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</si>
  <si>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</si>
  <si>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</si>
  <si>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</si>
  <si>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</si>
  <si>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</si>
  <si>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</si>
  <si>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</si>
  <si>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</si>
  <si>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</si>
  <si>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</si>
  <si>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</si>
  <si>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</si>
  <si>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</si>
  <si>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</si>
  <si>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</si>
  <si>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</si>
  <si>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</si>
  <si>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</si>
  <si>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</si>
  <si>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</si>
  <si>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</si>
  <si>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</si>
  <si>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</si>
  <si>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</si>
  <si>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</si>
  <si>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</si>
  <si>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</si>
  <si>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</si>
  <si>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</si>
  <si>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</si>
  <si>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</si>
  <si>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</si>
  <si>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</si>
  <si>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</si>
  <si>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</si>
  <si>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</si>
  <si>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</si>
  <si>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</si>
  <si>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</si>
  <si>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</si>
  <si>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</si>
  <si>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</si>
  <si>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</si>
  <si>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</si>
  <si>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</si>
  <si>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</si>
  <si>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</si>
  <si>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</si>
  <si>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</si>
  <si>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</si>
  <si>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</si>
  <si>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</si>
  <si>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</si>
  <si>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</si>
  <si>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</si>
  <si>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</si>
  <si>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</si>
  <si>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</si>
  <si>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</si>
  <si>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</si>
  <si>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</si>
  <si>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</si>
  <si>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</si>
  <si>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</si>
  <si>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</si>
  <si>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</si>
  <si>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</si>
  <si>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</si>
  <si>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</si>
  <si>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</si>
  <si>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</si>
  <si>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</si>
  <si>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</si>
  <si>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</si>
  <si>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</si>
  <si>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</si>
  <si>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</si>
  <si>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</si>
  <si>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</si>
  <si>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</si>
  <si>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</si>
  <si>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</si>
  <si>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</si>
  <si>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</si>
  <si>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</si>
  <si>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</si>
  <si>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</si>
  <si>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</si>
  <si>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</si>
  <si>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</si>
  <si>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</si>
  <si>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</si>
  <si>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</si>
  <si>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</si>
  <si>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</si>
  <si>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</si>
  <si>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</si>
  <si>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</si>
  <si>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</si>
  <si>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</si>
  <si>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</si>
  <si>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</si>
  <si>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</si>
  <si>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</si>
  <si>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</si>
  <si>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</si>
  <si>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</si>
  <si>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</si>
  <si>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</si>
  <si>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</si>
  <si>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</si>
  <si>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</si>
  <si>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</si>
  <si>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</si>
  <si>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</si>
  <si>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</si>
  <si>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</si>
  <si>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</si>
  <si>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</si>
  <si>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</si>
  <si>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</si>
  <si>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</si>
  <si>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</si>
  <si>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</si>
  <si>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</si>
  <si>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</si>
  <si>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</si>
  <si>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</si>
  <si>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</si>
  <si>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</si>
  <si>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</si>
  <si>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</si>
  <si>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</si>
  <si>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</si>
  <si>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</si>
  <si>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</si>
  <si>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</si>
  <si>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</si>
  <si>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</si>
  <si>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</si>
  <si>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</si>
  <si>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</si>
  <si>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</si>
  <si>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</si>
  <si>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</si>
  <si>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</si>
  <si>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</si>
  <si>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</si>
  <si>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</si>
  <si>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</si>
  <si>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</si>
  <si>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</si>
  <si>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</si>
  <si>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</si>
  <si>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</si>
  <si>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</si>
  <si>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</si>
  <si>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</si>
  <si>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</si>
  <si>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</si>
  <si>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</si>
  <si>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</si>
  <si>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</si>
  <si>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</si>
  <si>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</si>
  <si>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</si>
  <si>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</si>
  <si>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</si>
  <si>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</si>
  <si>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</si>
  <si>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</si>
  <si>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</si>
  <si>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</si>
  <si>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</si>
  <si>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</si>
  <si>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</si>
  <si>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</si>
  <si>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</si>
  <si>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</si>
  <si>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</si>
  <si>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</si>
  <si>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</si>
  <si>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</si>
  <si>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</si>
  <si>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</si>
  <si>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</si>
  <si>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</si>
  <si>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</si>
  <si>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</si>
  <si>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</si>
  <si>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</si>
  <si>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</si>
  <si>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</si>
  <si>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</si>
  <si>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</si>
  <si>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</si>
  <si>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</si>
  <si>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</si>
  <si>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</si>
  <si>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</si>
  <si>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</si>
  <si>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</si>
  <si>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</si>
  <si>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</si>
  <si>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</si>
  <si>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</si>
  <si>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</si>
  <si>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</si>
  <si>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</si>
  <si>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</si>
  <si>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</si>
  <si>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</si>
  <si>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</si>
  <si>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</si>
  <si>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</si>
  <si>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</si>
  <si>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</si>
  <si>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</si>
  <si>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</si>
  <si>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</si>
  <si>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</si>
  <si>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</si>
  <si>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</si>
  <si>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</si>
  <si>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</si>
  <si>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</si>
  <si>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</si>
  <si>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</si>
  <si>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</si>
  <si>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</si>
  <si>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</si>
  <si>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</si>
  <si>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</si>
  <si>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</si>
  <si>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</si>
  <si>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</si>
  <si>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</si>
  <si>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</si>
  <si>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</si>
  <si>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</si>
  <si>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</si>
  <si>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</si>
  <si>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</si>
  <si>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</si>
  <si>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</si>
  <si>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</si>
  <si>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</si>
  <si>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</si>
  <si>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</si>
  <si>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</si>
  <si>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</si>
  <si>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</si>
  <si>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</si>
  <si>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</si>
  <si>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</si>
  <si>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</si>
  <si>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</si>
  <si>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</si>
  <si>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</si>
  <si>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</si>
  <si>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</si>
  <si>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</si>
  <si>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</si>
  <si>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</si>
  <si>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</si>
  <si>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</si>
  <si>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</si>
  <si>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</si>
  <si>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</si>
  <si>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</si>
  <si>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</si>
  <si>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</si>
  <si>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</si>
  <si>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</si>
  <si>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</si>
  <si>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</si>
  <si>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</si>
  <si>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</si>
  <si>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</si>
  <si>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</si>
  <si>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</si>
  <si>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</si>
  <si>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</si>
  <si>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</si>
  <si>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</si>
  <si>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</si>
  <si>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</si>
  <si>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</si>
  <si>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</si>
  <si>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</si>
  <si>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</si>
  <si>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</si>
  <si>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</si>
  <si>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</si>
  <si>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</si>
  <si>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</si>
  <si>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</si>
  <si>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</si>
  <si>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</si>
  <si>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</si>
  <si>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</si>
  <si>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</si>
  <si>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</si>
  <si>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</si>
  <si>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</si>
  <si>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</si>
  <si>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</si>
  <si>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</si>
  <si>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</si>
  <si>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</si>
  <si>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</si>
  <si>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</si>
  <si>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</si>
  <si>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</si>
  <si>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</si>
  <si>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</si>
  <si>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</si>
  <si>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</si>
  <si>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</si>
  <si>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</si>
  <si>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</si>
  <si>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</si>
  <si>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</si>
  <si>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</si>
  <si>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</si>
  <si>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</si>
  <si>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</si>
  <si>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</si>
  <si>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</si>
  <si>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</si>
  <si>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</si>
  <si>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</si>
  <si>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</si>
  <si>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</si>
  <si>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</si>
  <si>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</si>
  <si>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</si>
  <si>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</si>
  <si>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</si>
  <si>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</si>
  <si>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</si>
  <si>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</si>
  <si>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</si>
  <si>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</si>
  <si>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</si>
  <si>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</si>
  <si>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</si>
  <si>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</si>
  <si>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</si>
  <si>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</si>
  <si>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</si>
  <si>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</si>
  <si>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</si>
  <si>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</si>
  <si>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</si>
  <si>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</si>
  <si>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</si>
  <si>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</si>
  <si>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</si>
  <si>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</si>
  <si>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</si>
  <si>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</si>
  <si>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</si>
  <si>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</si>
  <si>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</si>
  <si>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</si>
  <si>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</si>
  <si>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</si>
  <si>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</si>
  <si>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</si>
  <si>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</si>
  <si>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</si>
  <si>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</si>
  <si>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</si>
  <si>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</si>
  <si>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</si>
  <si>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</si>
  <si>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</si>
  <si>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</si>
  <si>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</si>
  <si>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</si>
  <si>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</si>
  <si>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</si>
  <si>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</si>
  <si>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</si>
  <si>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</si>
  <si>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</si>
  <si>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</si>
  <si>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</si>
  <si>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</si>
  <si>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</si>
  <si>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</si>
  <si>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</si>
  <si>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</si>
  <si>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</si>
  <si>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</si>
  <si>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</si>
  <si>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</si>
  <si>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</si>
  <si>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</si>
  <si>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</si>
  <si>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</si>
  <si>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</si>
  <si>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</si>
  <si>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</si>
  <si>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</si>
  <si>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</si>
  <si>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</si>
  <si>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</si>
  <si>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</si>
  <si>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</si>
  <si>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</si>
  <si>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</si>
  <si>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</si>
  <si>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</si>
  <si>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</si>
  <si>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</si>
  <si>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</si>
  <si>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</si>
  <si>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</si>
  <si>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</si>
  <si>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</si>
  <si>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</si>
  <si>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</si>
  <si>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</si>
  <si>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</si>
  <si>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</si>
  <si>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</si>
  <si>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</si>
  <si>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</si>
  <si>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</si>
  <si>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</si>
  <si>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</si>
  <si>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</si>
  <si>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</si>
  <si>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</si>
  <si>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</si>
  <si>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</si>
  <si>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</si>
  <si>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</si>
  <si>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</si>
  <si>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</si>
  <si>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</si>
  <si>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</si>
  <si>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</si>
  <si>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</si>
  <si>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</si>
  <si>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</si>
  <si>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</si>
  <si>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</si>
  <si>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</si>
  <si>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</si>
  <si>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</si>
  <si>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</si>
  <si>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</si>
  <si>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</si>
  <si>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</si>
  <si>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</si>
  <si>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</si>
  <si>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</si>
  <si>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</si>
  <si>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</si>
  <si>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</si>
  <si>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</si>
  <si>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</si>
  <si>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</si>
  <si>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</si>
  <si>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</si>
  <si>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</si>
  <si>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</si>
  <si>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</si>
  <si>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</si>
  <si>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</si>
  <si>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</si>
  <si>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</si>
  <si>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</si>
  <si>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</si>
  <si>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</si>
  <si>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</si>
  <si>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</si>
  <si>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</si>
  <si>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</si>
  <si>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</si>
  <si>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</si>
  <si>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</si>
  <si>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</si>
  <si>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</si>
  <si>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</si>
  <si>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</si>
  <si>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</si>
  <si>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</si>
  <si>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</si>
  <si>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</si>
  <si>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</si>
  <si>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</si>
  <si>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</si>
  <si>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</si>
  <si>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</si>
  <si>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</si>
  <si>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</si>
  <si>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</si>
  <si>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</si>
  <si>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</si>
  <si>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</si>
  <si>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</si>
  <si>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</si>
  <si>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</si>
  <si>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</si>
  <si>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</si>
  <si>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</si>
  <si>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</si>
  <si>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</si>
  <si>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</si>
  <si>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</si>
  <si>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</si>
  <si>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</si>
  <si>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</si>
  <si>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</si>
  <si>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</si>
  <si>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</si>
  <si>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</si>
  <si>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</si>
  <si>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</si>
  <si>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</si>
  <si>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</si>
  <si>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</si>
  <si>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</si>
  <si>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</si>
  <si>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</si>
  <si>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</si>
  <si>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</si>
  <si>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</si>
  <si>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</si>
  <si>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</si>
  <si>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</si>
  <si>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</si>
  <si>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</si>
  <si>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</si>
  <si>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</si>
  <si>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</si>
  <si>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</si>
  <si>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</si>
  <si>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</si>
  <si>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</si>
  <si>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</si>
  <si>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</si>
  <si>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</si>
  <si>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</si>
  <si>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</si>
  <si>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</si>
  <si>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</si>
  <si>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</si>
  <si>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</si>
  <si>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</si>
  <si>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</si>
  <si>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</si>
  <si>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</si>
  <si>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</si>
  <si>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</si>
  <si>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</si>
  <si>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</si>
  <si>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</si>
  <si>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</si>
  <si>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</si>
  <si>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</si>
  <si>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</si>
  <si>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</si>
  <si>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</si>
  <si>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</si>
  <si>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</si>
  <si>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</si>
  <si>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</si>
  <si>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</si>
  <si>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</si>
  <si>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</si>
  <si>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</si>
  <si>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</si>
  <si>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</si>
  <si>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</si>
  <si>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</si>
  <si>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</si>
  <si>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</si>
  <si>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</si>
  <si>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</si>
  <si>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</si>
  <si>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</si>
  <si>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</si>
  <si>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</si>
  <si>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</si>
  <si>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</si>
  <si>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</si>
  <si>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</si>
  <si>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</si>
  <si>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</si>
  <si>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</si>
  <si>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</si>
  <si>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</si>
  <si>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</si>
  <si>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</si>
  <si>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</si>
  <si>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</si>
  <si>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</si>
  <si>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</si>
  <si>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</si>
  <si>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</si>
  <si>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</si>
  <si>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</si>
  <si>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</si>
  <si>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</si>
  <si>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</si>
  <si>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</si>
  <si>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</si>
  <si>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</si>
  <si>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</si>
  <si>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</si>
  <si>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</si>
  <si>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</si>
  <si>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</si>
  <si>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</si>
  <si>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</si>
  <si>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</si>
  <si>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</si>
  <si>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</si>
  <si>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</si>
  <si>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</si>
  <si>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</si>
  <si>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</si>
  <si>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</si>
  <si>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</si>
  <si>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</si>
  <si>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</si>
  <si>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</si>
  <si>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</si>
  <si>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</si>
  <si>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</si>
  <si>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</si>
  <si>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</si>
  <si>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</si>
  <si>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</si>
  <si>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</si>
  <si>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</si>
  <si>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</si>
  <si>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</si>
  <si>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</si>
  <si>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</si>
  <si>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</si>
  <si>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</si>
  <si>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</si>
  <si>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</si>
  <si>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</si>
  <si>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</si>
  <si>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</si>
  <si>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</si>
  <si>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</si>
  <si>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</si>
  <si>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</si>
  <si>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</si>
  <si>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</si>
  <si>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</si>
  <si>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</si>
  <si>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</si>
  <si>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</si>
  <si>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</si>
  <si>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</si>
  <si>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</si>
  <si>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</si>
  <si>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</si>
  <si>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</si>
  <si>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</si>
  <si>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</si>
  <si>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</si>
  <si>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</si>
  <si>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</si>
  <si>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</si>
  <si>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</si>
  <si>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</si>
  <si>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</si>
  <si>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</si>
  <si>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</si>
  <si>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</si>
  <si>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</si>
  <si>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</si>
  <si>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</si>
  <si>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</si>
  <si>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</si>
  <si>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</si>
  <si>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</si>
  <si>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</si>
  <si>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</si>
  <si>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</si>
  <si>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</si>
  <si>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</si>
  <si>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</si>
  <si>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</si>
  <si>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</si>
  <si>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</si>
  <si>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</si>
  <si>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</si>
  <si>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</si>
  <si>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</si>
  <si>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</si>
  <si>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</si>
  <si>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</si>
  <si>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</si>
  <si>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</si>
  <si>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</si>
  <si>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</si>
  <si>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</si>
  <si>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</si>
  <si>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</si>
  <si>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</si>
  <si>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</si>
  <si>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</si>
  <si>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</si>
  <si>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</si>
  <si>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</si>
  <si>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</si>
  <si>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</si>
  <si>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</si>
  <si>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</si>
  <si>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</si>
  <si>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</si>
  <si>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</si>
  <si>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</si>
  <si>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</si>
  <si>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</si>
  <si>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</si>
  <si>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</si>
  <si>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</si>
  <si>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</si>
  <si>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</si>
  <si>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</si>
  <si>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</si>
  <si>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</si>
  <si>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</si>
  <si>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</si>
  <si>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</si>
  <si>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</si>
  <si>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</si>
  <si>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</si>
  <si>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</si>
  <si>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</si>
  <si>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</si>
  <si>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</si>
  <si>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</si>
  <si>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</si>
  <si>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</si>
  <si>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</si>
  <si>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</si>
  <si>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</si>
  <si>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</si>
  <si>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</si>
  <si>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</si>
  <si>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</si>
  <si>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</si>
  <si>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</si>
  <si>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</si>
  <si>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</si>
  <si>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</si>
  <si>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</si>
  <si>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</si>
  <si>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</si>
  <si>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</si>
  <si>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</si>
  <si>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</si>
  <si>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</si>
  <si>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</si>
  <si>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</si>
  <si>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</si>
  <si>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</si>
  <si>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</si>
  <si>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</si>
  <si>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</si>
  <si>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</si>
  <si>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</si>
  <si>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</si>
  <si>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</si>
  <si>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</si>
  <si>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</si>
  <si>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</si>
  <si>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</si>
  <si>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</si>
  <si>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</si>
  <si>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</si>
  <si>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</si>
  <si>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</si>
  <si>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</si>
  <si>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</si>
  <si>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</si>
  <si>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</si>
  <si>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</si>
  <si>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</si>
  <si>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</si>
  <si>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</si>
  <si>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</si>
  <si>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</si>
  <si>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</si>
  <si>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</si>
  <si>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</si>
  <si>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</si>
  <si>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</si>
  <si>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</si>
  <si>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</si>
  <si>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</si>
  <si>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</si>
  <si>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</si>
  <si>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</si>
  <si>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</si>
  <si>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</si>
  <si>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</si>
  <si>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</si>
  <si>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</si>
  <si>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</si>
  <si>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</si>
  <si>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</si>
  <si>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</si>
  <si>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</si>
  <si>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</si>
  <si>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</si>
  <si>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</si>
  <si>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</si>
  <si>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</si>
  <si>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</si>
  <si>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</si>
  <si>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</si>
  <si>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</si>
  <si>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</si>
  <si>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</si>
  <si>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</si>
  <si>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</si>
  <si>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</si>
  <si>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</si>
  <si>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</si>
  <si>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</si>
  <si>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</si>
  <si>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</si>
  <si>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</si>
  <si>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</si>
  <si>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</si>
  <si>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</si>
  <si>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</si>
  <si>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</si>
  <si>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</si>
  <si>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</si>
  <si>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</si>
  <si>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</si>
  <si>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</si>
  <si>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</si>
  <si>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</si>
  <si>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</si>
  <si>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</si>
  <si>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</si>
  <si>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</si>
  <si>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</si>
  <si>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</si>
  <si>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</si>
  <si>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</si>
  <si>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</si>
  <si>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</si>
  <si>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</si>
  <si>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</si>
  <si>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</si>
  <si>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</si>
  <si>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</si>
  <si>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</si>
  <si>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</si>
  <si>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</si>
  <si>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</si>
  <si>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</si>
  <si>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</si>
  <si>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</si>
  <si>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</si>
  <si>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</si>
  <si>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</si>
  <si>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</si>
  <si>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</si>
  <si>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</si>
  <si>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</si>
  <si>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</si>
  <si>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</si>
  <si>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</si>
  <si>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</si>
  <si>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</si>
  <si>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</si>
  <si>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</si>
  <si>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</si>
  <si>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</si>
  <si>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</si>
  <si>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</si>
  <si>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</si>
  <si>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</si>
  <si>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</si>
  <si>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</si>
  <si>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</si>
  <si>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</si>
  <si>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</si>
  <si>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</si>
  <si>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</si>
  <si>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</si>
  <si>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</si>
  <si>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</si>
  <si>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</si>
  <si>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</si>
  <si>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</si>
  <si>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</si>
  <si>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</si>
  <si>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</si>
  <si>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</si>
  <si>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</si>
  <si>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</si>
  <si>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</si>
  <si>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</si>
  <si>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</si>
  <si>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</si>
  <si>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</si>
  <si>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</si>
  <si>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</si>
  <si>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</si>
  <si>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</si>
  <si>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</si>
  <si>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</si>
  <si>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</si>
  <si>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</si>
  <si>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</si>
  <si>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</si>
  <si>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</si>
  <si>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</si>
  <si>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</si>
  <si>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</si>
  <si>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</si>
  <si>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</si>
  <si>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</si>
  <si>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</si>
  <si>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</si>
  <si>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</si>
  <si>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</si>
  <si>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</si>
  <si>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</si>
  <si>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</si>
  <si>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</si>
  <si>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</si>
  <si>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</si>
  <si>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</si>
  <si>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</si>
  <si>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</si>
  <si>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</si>
  <si>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</si>
  <si>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</si>
  <si>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</si>
  <si>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</si>
  <si>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</si>
  <si>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</si>
  <si>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</si>
  <si>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</si>
  <si>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</si>
  <si>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</si>
  <si>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</si>
  <si>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</si>
  <si>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</si>
  <si>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</si>
  <si>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</si>
  <si>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</si>
  <si>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</si>
  <si>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</si>
  <si>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</si>
  <si>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</si>
  <si>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</si>
  <si>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</si>
  <si>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</si>
  <si>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</si>
  <si>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</si>
  <si>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</si>
  <si>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</si>
  <si>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</si>
  <si>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</si>
  <si>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</si>
  <si>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</si>
  <si>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</si>
  <si>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</si>
  <si>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</si>
  <si>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</si>
  <si>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</si>
  <si>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</si>
  <si>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</si>
  <si>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</si>
  <si>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</si>
  <si>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</si>
  <si>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</si>
  <si>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</si>
  <si>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</si>
  <si>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</si>
  <si>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</si>
  <si>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</si>
  <si>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</si>
  <si>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</si>
  <si>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</si>
  <si>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</si>
  <si>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</si>
  <si>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</si>
  <si>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</si>
  <si>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</si>
  <si>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</si>
  <si>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</si>
  <si>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</si>
  <si>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</si>
  <si>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</si>
  <si>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</si>
  <si>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</si>
  <si>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</si>
  <si>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</si>
  <si>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</si>
  <si>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</si>
  <si>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</si>
  <si>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</si>
  <si>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</si>
  <si>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</si>
  <si>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</si>
  <si>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</si>
  <si>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</si>
  <si>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</si>
  <si>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</si>
  <si>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</si>
  <si>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</si>
  <si>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</si>
  <si>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</si>
  <si>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</si>
  <si>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</si>
  <si>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</si>
  <si>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</si>
  <si>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</si>
  <si>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</si>
  <si>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</si>
  <si>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</si>
  <si>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</si>
  <si>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</si>
  <si>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</si>
  <si>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</si>
  <si>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</si>
  <si>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</si>
  <si>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</si>
  <si>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</si>
  <si>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</si>
  <si>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</si>
  <si>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</si>
  <si>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</si>
  <si>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</si>
  <si>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</si>
  <si>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</si>
  <si>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</si>
  <si>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</si>
  <si>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</si>
  <si>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</si>
  <si>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</si>
  <si>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</si>
  <si>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</si>
  <si>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</si>
  <si>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</si>
  <si>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</si>
  <si>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</si>
  <si>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</si>
  <si>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</si>
  <si>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</si>
  <si>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</si>
  <si>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</si>
  <si>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</si>
  <si>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</si>
  <si>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</si>
  <si>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</si>
  <si>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</si>
  <si>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</si>
  <si>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</si>
  <si>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</si>
  <si>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</si>
  <si>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</si>
  <si>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</si>
  <si>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</si>
  <si>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</si>
  <si>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</si>
  <si>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</si>
  <si>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</si>
  <si>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</si>
  <si>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</si>
  <si>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</si>
  <si>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</si>
  <si>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</si>
  <si>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</si>
  <si>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</si>
  <si>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</si>
  <si>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</si>
  <si>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</si>
  <si>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</si>
  <si>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</si>
  <si>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</si>
  <si>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</si>
  <si>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</si>
  <si>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</si>
  <si>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</si>
  <si>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</si>
  <si>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</si>
  <si>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</si>
  <si>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</si>
  <si>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</si>
  <si>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</si>
  <si>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</si>
  <si>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</si>
  <si>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</si>
  <si>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</si>
  <si>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</si>
  <si>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</si>
  <si>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</si>
  <si>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</si>
  <si>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</si>
  <si>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</si>
  <si>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</si>
  <si>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</si>
  <si>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</si>
  <si>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</si>
  <si>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</si>
  <si>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</si>
  <si>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</si>
  <si>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</si>
  <si>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</si>
  <si>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</si>
  <si>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</si>
  <si>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</si>
  <si>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</si>
  <si>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</si>
  <si>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</si>
  <si>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</si>
  <si>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</si>
  <si>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</si>
  <si>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</si>
  <si>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</si>
  <si>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</si>
  <si>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</si>
  <si>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</si>
  <si>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</si>
  <si>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</si>
  <si>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</si>
  <si>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</si>
  <si>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</si>
  <si>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</si>
  <si>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</si>
  <si>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</si>
  <si>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</si>
  <si>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</si>
  <si>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</si>
  <si>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</si>
  <si>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</si>
  <si>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</si>
  <si>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</si>
  <si>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</si>
  <si>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</si>
  <si>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</si>
  <si>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</si>
  <si>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</si>
  <si>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</si>
  <si>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</si>
  <si>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</si>
  <si>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</si>
  <si>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</si>
  <si>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</si>
  <si>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</si>
  <si>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</si>
  <si>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</si>
  <si>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</si>
  <si>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</si>
  <si>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</si>
  <si>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</si>
  <si>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</si>
  <si>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</si>
  <si>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</si>
  <si>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</si>
  <si>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</si>
  <si>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</si>
  <si>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</si>
  <si>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</si>
  <si>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</si>
  <si>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</si>
  <si>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</si>
  <si>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</si>
  <si>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</si>
  <si>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</si>
  <si>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</si>
  <si>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</si>
  <si>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</si>
  <si>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</si>
  <si>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</si>
  <si>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</si>
  <si>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</si>
  <si>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</si>
  <si>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</si>
  <si>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</si>
  <si>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</si>
  <si>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</si>
  <si>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</si>
  <si>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</si>
  <si>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</si>
  <si>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</si>
  <si>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</si>
  <si>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</si>
  <si>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</si>
  <si>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</si>
  <si>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</si>
  <si>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</si>
  <si>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</si>
  <si>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</si>
  <si>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</si>
  <si>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</si>
  <si>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</si>
  <si>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</si>
  <si>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</si>
  <si>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</si>
  <si>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</si>
  <si>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</si>
  <si>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</si>
  <si>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</si>
  <si>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</si>
  <si>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</si>
  <si>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</si>
  <si>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</si>
  <si>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</si>
  <si>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</si>
  <si>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</si>
  <si>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</si>
  <si>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</si>
  <si>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</si>
  <si>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</si>
  <si>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</si>
  <si>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</si>
  <si>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</si>
  <si>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</si>
  <si>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</si>
  <si>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</si>
  <si>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</si>
  <si>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</si>
  <si>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</si>
  <si>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</si>
  <si>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</si>
  <si>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</si>
  <si>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</si>
  <si>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</si>
  <si>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</si>
  <si>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</si>
  <si>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</si>
  <si>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</si>
  <si>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</si>
  <si>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</si>
  <si>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</si>
  <si>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</si>
  <si>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</si>
  <si>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</si>
  <si>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</si>
  <si>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</si>
  <si>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</si>
  <si>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</si>
  <si>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</si>
  <si>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</si>
  <si>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</si>
  <si>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</si>
  <si>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</si>
  <si>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</si>
  <si>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</si>
  <si>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</si>
  <si>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</si>
  <si>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</si>
  <si>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</si>
  <si>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</si>
  <si>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</si>
  <si>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</si>
  <si>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</si>
  <si>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</si>
  <si>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</si>
  <si>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</si>
  <si>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</si>
  <si>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</si>
  <si>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</si>
  <si>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</si>
  <si>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</si>
  <si>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</si>
  <si>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</si>
  <si>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</si>
  <si>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</si>
  <si>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</si>
  <si>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</si>
  <si>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</si>
  <si>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</si>
  <si>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</si>
  <si>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</si>
  <si>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</si>
  <si>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</si>
  <si>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</si>
  <si>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</si>
  <si>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</si>
  <si>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</si>
  <si>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</si>
  <si>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</si>
  <si>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</si>
  <si>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</si>
  <si>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</si>
  <si>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</si>
  <si>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</si>
  <si>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</si>
  <si>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</si>
  <si>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</si>
  <si>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</si>
  <si>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</si>
  <si>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</si>
  <si>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</si>
  <si>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</si>
  <si>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</si>
  <si>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</si>
  <si>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</si>
  <si>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</si>
  <si>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</si>
  <si>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</si>
  <si>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</si>
  <si>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</si>
  <si>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</si>
  <si>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</si>
  <si>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</si>
  <si>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</si>
  <si>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</si>
  <si>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</si>
  <si>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</si>
  <si>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</si>
  <si>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</si>
  <si>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</si>
  <si>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</si>
  <si>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</si>
  <si>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</si>
  <si>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</si>
  <si>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</si>
  <si>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</si>
  <si>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</si>
  <si>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</si>
  <si>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</si>
  <si>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</si>
  <si>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</si>
  <si>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</si>
  <si>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</si>
  <si>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</si>
  <si>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</si>
  <si>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</si>
  <si>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</si>
  <si>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</si>
  <si>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</si>
  <si>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</si>
  <si>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</si>
  <si>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</si>
  <si>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</si>
  <si>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</si>
  <si>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</si>
  <si>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</si>
  <si>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</si>
  <si>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</si>
  <si>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</si>
  <si>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</si>
  <si>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</si>
  <si>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</si>
  <si>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</si>
  <si>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</si>
  <si>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</si>
  <si>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</si>
  <si>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</si>
  <si>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</si>
  <si>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</si>
  <si>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</si>
  <si>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</si>
  <si>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</si>
  <si>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</si>
  <si>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</si>
  <si>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</si>
  <si>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</si>
  <si>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</si>
  <si>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</si>
  <si>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</si>
  <si>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</si>
  <si>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</si>
  <si>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</si>
  <si>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</si>
  <si>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</si>
  <si>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</si>
  <si>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</si>
  <si>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</si>
  <si>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</si>
  <si>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</si>
  <si>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</si>
  <si>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</si>
  <si>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</si>
  <si>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</si>
  <si>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</si>
  <si>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</si>
  <si>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</si>
  <si>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</si>
  <si>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</si>
  <si>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</si>
  <si>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</si>
  <si>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</si>
  <si>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</si>
  <si>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</si>
  <si>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</si>
  <si>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</si>
  <si>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</si>
  <si>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</si>
  <si>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</si>
  <si>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</si>
  <si>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</si>
  <si>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</si>
  <si>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</si>
  <si>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</si>
  <si>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</si>
  <si>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</si>
  <si>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</si>
  <si>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</si>
  <si>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</si>
  <si>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</si>
  <si>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</si>
  <si>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</si>
  <si>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</si>
  <si>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</si>
  <si>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</si>
  <si>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</si>
  <si>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</si>
  <si>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</si>
  <si>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</si>
  <si>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</si>
  <si>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</si>
  <si>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</si>
  <si>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</si>
  <si>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</si>
  <si>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</si>
  <si>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</si>
  <si>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</si>
  <si>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</si>
  <si>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</si>
  <si>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</si>
  <si>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</si>
  <si>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</si>
  <si>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</si>
  <si>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</si>
  <si>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</si>
  <si>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</si>
  <si>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</si>
  <si>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</si>
  <si>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</si>
  <si>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</si>
  <si>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</si>
  <si>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</si>
  <si>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</si>
  <si>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</si>
  <si>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</si>
  <si>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</si>
  <si>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</si>
  <si>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</si>
  <si>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</si>
  <si>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</si>
  <si>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</si>
  <si>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</si>
  <si>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</si>
  <si>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</si>
  <si>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</si>
  <si>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</si>
  <si>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</si>
  <si>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</si>
  <si>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</si>
  <si>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</si>
  <si>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</si>
  <si>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</si>
  <si>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</si>
  <si>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</si>
  <si>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</si>
  <si>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</si>
  <si>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</si>
  <si>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</si>
  <si>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</si>
  <si>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</si>
  <si>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</si>
  <si>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</si>
  <si>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</si>
  <si>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</si>
  <si>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</si>
  <si>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</si>
  <si>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</si>
  <si>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</si>
  <si>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</si>
  <si>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</si>
  <si>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</si>
  <si>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</si>
  <si>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</si>
  <si>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</si>
  <si>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</si>
  <si>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</si>
  <si>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</si>
  <si>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</si>
  <si>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</si>
  <si>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</si>
  <si>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</si>
  <si>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</si>
  <si>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</si>
  <si>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</si>
  <si>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</si>
  <si>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</si>
  <si>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</si>
  <si>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</si>
  <si>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</si>
  <si>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</si>
  <si>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</si>
  <si>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</si>
  <si>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</si>
  <si>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</si>
  <si>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</si>
  <si>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</si>
  <si>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</si>
  <si>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</si>
  <si>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</si>
  <si>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</si>
  <si>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</si>
  <si>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</si>
  <si>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</si>
  <si>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</si>
  <si>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</si>
  <si>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</si>
  <si>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</si>
  <si>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</si>
  <si>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</si>
  <si>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</si>
  <si>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</si>
  <si>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</si>
  <si>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</si>
  <si>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</si>
  <si>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</si>
  <si>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</si>
  <si>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</si>
  <si>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</si>
  <si>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</si>
  <si>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</si>
  <si>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</si>
  <si>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</si>
  <si>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</si>
  <si>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</si>
  <si>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</si>
  <si>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</si>
  <si>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</si>
  <si>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</si>
  <si>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</si>
  <si>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</si>
  <si>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</si>
  <si>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</si>
  <si>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</si>
  <si>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</si>
  <si>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</si>
  <si>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</si>
  <si>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</si>
  <si>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</si>
  <si>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</si>
  <si>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</si>
  <si>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</si>
  <si>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</si>
  <si>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</si>
  <si>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</si>
  <si>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</si>
  <si>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</si>
  <si>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</si>
  <si>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</si>
  <si>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</si>
  <si>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</si>
  <si>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</si>
  <si>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</si>
  <si>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</si>
  <si>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</si>
  <si>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</si>
  <si>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</si>
  <si>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</si>
  <si>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</si>
  <si>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</si>
  <si>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</si>
  <si>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</si>
  <si>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</si>
  <si>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</si>
  <si>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</si>
  <si>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</si>
  <si>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</si>
  <si>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</si>
  <si>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</si>
  <si>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</si>
  <si>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</si>
  <si>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</si>
  <si>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</si>
  <si>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</si>
  <si>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</si>
  <si>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</si>
  <si>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</si>
  <si>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</si>
  <si>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</si>
  <si>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</si>
  <si>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</si>
  <si>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</si>
  <si>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</si>
  <si>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</si>
  <si>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</si>
  <si>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</si>
  <si>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</si>
  <si>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</si>
  <si>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</si>
  <si>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</si>
  <si>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</si>
  <si>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</si>
  <si>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</si>
  <si>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</si>
  <si>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</si>
  <si>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</si>
  <si>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</si>
  <si>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</si>
  <si>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</si>
  <si>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</si>
  <si>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</si>
  <si>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</si>
  <si>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</si>
  <si>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</si>
  <si>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</si>
  <si>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</si>
  <si>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</si>
  <si>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</si>
  <si>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</si>
  <si>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</si>
  <si>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</si>
  <si>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</si>
  <si>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</si>
  <si>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</si>
  <si>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</si>
  <si>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</si>
  <si>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</si>
  <si>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</si>
  <si>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</si>
  <si>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</si>
  <si>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</si>
  <si>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</si>
  <si>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</si>
  <si>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</si>
  <si>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</si>
  <si>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</si>
  <si>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</si>
  <si>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</si>
  <si>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</si>
  <si>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</si>
  <si>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</si>
  <si>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</si>
  <si>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</si>
  <si>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</si>
  <si>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</si>
  <si>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</si>
  <si>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</si>
  <si>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</si>
  <si>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</si>
  <si>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</si>
  <si>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</si>
  <si>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</si>
  <si>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</si>
  <si>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</si>
  <si>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</si>
  <si>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</si>
  <si>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</si>
  <si>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</si>
  <si>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</si>
  <si>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</si>
  <si>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</si>
  <si>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</si>
  <si>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</si>
  <si>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</si>
  <si>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</si>
  <si>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</si>
  <si>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</si>
  <si>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</si>
  <si>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</si>
  <si>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</si>
  <si>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</si>
  <si>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</si>
  <si>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</si>
  <si>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</si>
  <si>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</si>
  <si>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</si>
  <si>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</si>
  <si>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</si>
  <si>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</si>
  <si>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</si>
  <si>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</si>
  <si>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</si>
  <si>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</si>
  <si>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</si>
  <si>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</si>
  <si>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</si>
  <si>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</si>
  <si>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</si>
  <si>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</si>
  <si>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</si>
  <si>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</si>
  <si>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</si>
  <si>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</si>
  <si>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</si>
  <si>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</si>
  <si>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</si>
  <si>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</si>
  <si>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</si>
  <si>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</si>
  <si>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</si>
  <si>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</si>
  <si>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</si>
  <si>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</si>
  <si>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</si>
  <si>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</si>
  <si>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</si>
  <si>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</si>
  <si>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</si>
  <si>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</si>
  <si>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</si>
  <si>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</si>
  <si>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</si>
  <si>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</si>
  <si>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</si>
  <si>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</si>
  <si>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</si>
  <si>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</si>
  <si>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</si>
  <si>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</si>
  <si>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</si>
  <si>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</si>
  <si>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</si>
  <si>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</si>
  <si>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</si>
  <si>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</si>
  <si>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</si>
  <si>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</si>
  <si>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</si>
  <si>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</si>
  <si>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</si>
  <si>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</si>
  <si>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</si>
  <si>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</si>
  <si>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</si>
  <si>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</si>
  <si>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</si>
  <si>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</si>
  <si>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</si>
  <si>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</si>
  <si>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</si>
  <si>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</si>
  <si>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</si>
  <si>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</si>
  <si>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</si>
  <si>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</si>
  <si>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</si>
  <si>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</si>
  <si>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</si>
  <si>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</si>
  <si>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</si>
  <si>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</si>
  <si>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</si>
  <si>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</si>
  <si>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</si>
  <si>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</si>
  <si>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</si>
  <si>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</si>
  <si>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</si>
  <si>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</si>
  <si>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</si>
  <si>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</si>
  <si>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</si>
  <si>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</si>
  <si>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</si>
  <si>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</si>
  <si>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</si>
  <si>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</si>
  <si>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</si>
  <si>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</si>
  <si>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</si>
  <si>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</si>
  <si>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</si>
  <si>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</si>
  <si>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</si>
  <si>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</si>
  <si>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</si>
  <si>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</si>
  <si>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</si>
  <si>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</si>
  <si>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</si>
  <si>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</si>
  <si>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</si>
  <si>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</si>
  <si>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</si>
  <si>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</si>
  <si>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</si>
  <si>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</si>
  <si>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</si>
  <si>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</si>
  <si>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</si>
  <si>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</si>
  <si>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</si>
  <si>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</si>
  <si>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</si>
  <si>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</si>
  <si>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</si>
  <si>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</si>
  <si>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</si>
  <si>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</si>
  <si>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</si>
  <si>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</si>
  <si>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</si>
  <si>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</si>
  <si>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</si>
  <si>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</si>
  <si>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</si>
  <si>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</si>
  <si>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</si>
  <si>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</si>
  <si>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</si>
  <si>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</si>
  <si>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</si>
  <si>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</si>
  <si>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</si>
  <si>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</si>
  <si>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</si>
  <si>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</si>
  <si>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</si>
  <si>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</si>
  <si>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</si>
  <si>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</si>
  <si>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</si>
  <si>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</si>
  <si>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</si>
  <si>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</si>
  <si>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</si>
  <si>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</si>
  <si>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</si>
  <si>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</si>
  <si>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</si>
  <si>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</si>
  <si>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</si>
  <si>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</si>
  <si>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</si>
  <si>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</si>
  <si>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</si>
  <si>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</si>
  <si>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</si>
  <si>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</si>
  <si>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</si>
  <si>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</si>
  <si>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</si>
  <si>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</si>
  <si>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</si>
  <si>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</si>
  <si>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</si>
  <si>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</si>
  <si>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</si>
  <si>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</si>
  <si>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</si>
  <si>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</si>
  <si>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</si>
  <si>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</si>
  <si>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</si>
  <si>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</si>
  <si>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</si>
  <si>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</si>
  <si>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</si>
  <si>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</si>
  <si>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</si>
  <si>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</si>
  <si>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</si>
  <si>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</si>
  <si>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</si>
  <si>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</si>
  <si>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</si>
  <si>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</si>
  <si>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</si>
  <si>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</si>
  <si>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</si>
  <si>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01/04/2023</t>
  </si>
  <si>
    <t>15/04/2023</t>
  </si>
  <si>
    <t>18/04/2023</t>
  </si>
  <si>
    <t>29/04/2023</t>
  </si>
  <si>
    <t>30/04/2023</t>
  </si>
  <si>
    <t>15041RESIN651192022</t>
  </si>
  <si>
    <t>22SD000F</t>
  </si>
  <si>
    <t>03/05/2023</t>
  </si>
  <si>
    <t>13/05/2023</t>
  </si>
  <si>
    <t>27/05/2023</t>
  </si>
  <si>
    <t>10/06/2023</t>
  </si>
  <si>
    <t>18/06/2023</t>
  </si>
  <si>
    <t>27/06/2023</t>
  </si>
  <si>
    <t>04/07/2023</t>
  </si>
  <si>
    <t>11/07/2023</t>
  </si>
  <si>
    <t>12/07/2023</t>
  </si>
  <si>
    <t>14/07/2023</t>
  </si>
  <si>
    <t>15/07/2023</t>
  </si>
  <si>
    <t>22/07/2023</t>
  </si>
  <si>
    <t>25/07/2023</t>
  </si>
  <si>
    <t>30/07/2023</t>
  </si>
  <si>
    <t>38/06/2023</t>
  </si>
  <si>
    <t>22SD000C</t>
  </si>
  <si>
    <t>23/03/2023</t>
  </si>
  <si>
    <t>DIGICEL S.A DE C.V.</t>
  </si>
  <si>
    <t>08/02/2023</t>
  </si>
  <si>
    <t>00</t>
  </si>
  <si>
    <t>26/03/2023</t>
  </si>
  <si>
    <t>18/03/2023</t>
  </si>
  <si>
    <t>15/03/2023</t>
  </si>
  <si>
    <t>03/03/2023</t>
  </si>
  <si>
    <t>15/02/2023</t>
  </si>
  <si>
    <t>24/01/2023</t>
  </si>
  <si>
    <t>30/01/2023</t>
  </si>
  <si>
    <t>27/02/2023</t>
  </si>
  <si>
    <t xml:space="preserve">SUPER REPUESTOS EL SALVADOR </t>
  </si>
  <si>
    <t>28/06/2023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</si>
</sst>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0" fillId="0" borderId="0" xfId="0" applyNumberFormat="1" applyBorder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0" fillId="0" borderId="0" xfId="1" applyNumberFormat="1" applyFont="1"/>
    <xf numFmtId="14" fontId="0" fillId="0" borderId="0" xfId="0" quotePrefix="1" applyNumberFormat="1"/>
  </cellXfs>
  <cellStyles count="2">
    <cellStyle name="Moneda" xfId="1" builtinId="4"/>
    <cellStyle name="Normal" xfId="0" builtinId="0"/>
  </cellStyles>
  <dxfs count="112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4" totalsRowShown="0"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DxfId="16" dataCellStyle="Moneda"/>
    <tableColumn id="9" name="I. EXENTAS" dataDxfId="15" dataCellStyle="Moneda"/>
    <tableColumn id="10" name="IMPOR EX" dataDxfId="14" dataCellStyle="Moneda"/>
    <tableColumn id="11" name="C. GRAVADA" dataDxfId="13" dataCellStyle="Moneda"/>
    <tableColumn id="12" name="INTER GRAVA" dataDxfId="12" dataCellStyle="Moneda"/>
    <tableColumn id="13" name="IMPOR BIENES" dataDxfId="11" dataCellStyle="Moneda"/>
    <tableColumn id="14" name="IMPOR SERV" dataDxfId="10" dataCellStyle="Moneda"/>
    <tableColumn id="15" name="IVA" dataDxfId="9" dataCellStyle="Moneda"/>
    <tableColumn id="16" name="TOTAL C." dataDxfId="8" dataCellStyle="Moneda"/>
    <tableColumn id="20" name="DUI" dataDxfId="7" dataCellStyle="Moneda"/>
    <tableColumn id="17" name="ANEXO 3"/>
    <tableColumn id="19" name="SERIE"/>
    <tableColumn id="18" name="PERCEPCIONES" dataDxfId="11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9" totalsRowShown="0"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0"/>
    <tableColumn id="10" name="NOMBRE DE CLIENTE"/>
    <tableColumn id="11" name="VENTA EXENTA" dataDxfId="24" dataCellStyle="Moneda"/>
    <tableColumn id="12" name="VENTA NO SUJETA" dataDxfId="23" dataCellStyle="Moneda"/>
    <tableColumn id="13" name="V. GRAVADA" dataDxfId="22" dataCellStyle="Moneda"/>
    <tableColumn id="14" name="D.FISCAL" dataDxfId="21" dataCellStyle="Moneda"/>
    <tableColumn id="15" name="V CTA DE 3" dataDxfId="20" dataCellStyle="Moneda"/>
    <tableColumn id="16" name="D. FISCAL A 3" dataDxfId="19" dataCellStyle="Moneda"/>
    <tableColumn id="17" name="VENTA TOTAL" dataDxfId="18" dataCellStyle="Moneda"/>
    <tableColumn id="20" name="DUI" dataDxfId="17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36" totalsRowShown="0">
  <autoFilter ref="A2:V36">
    <filterColumn colId="0">
      <filters>
        <filter val="JULIO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9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108" headerRowBorderDxfId="107" tableBorderDxfId="106">
  <autoFilter ref="A1:J2"/>
  <tableColumns count="10">
    <tableColumn id="1" name="Mes" totalsRowLabel="Total" dataDxfId="105"/>
    <tableColumn id="10" name="NCR" dataDxfId="104"/>
    <tableColumn id="2" name="NIT Agente" dataDxfId="103"/>
    <tableColumn id="3" name="Fecha de emisión" dataDxfId="102" totalsRowDxfId="101"/>
    <tableColumn id="4" name="Tipo de documento" totalsRowFunction="sum" dataDxfId="100" totalsRowDxfId="99"/>
    <tableColumn id="5" name="Serie" totalsRowFunction="sum" dataDxfId="98" totalsRowDxfId="97"/>
    <tableColumn id="6" name="Número de documento" dataDxfId="96" totalsRowDxfId="95"/>
    <tableColumn id="7" name="Monto sujeto" totalsRowFunction="sum" dataDxfId="94" totalsRowDxfId="93" dataCellStyle="Moneda"/>
    <tableColumn id="13" name="Monto Retención 1%" totalsRowFunction="sum" dataDxfId="92" totalsRowDxfId="91" dataCellStyle="Moneda"/>
    <tableColumn id="8" name="ANEXO" totalsRowFunction="sum" dataDxfId="90" totalsRowDxfId="8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88" headerRowBorderDxfId="87" tableBorderDxfId="86">
  <autoFilter ref="A1:Q4"/>
  <sortState ref="A2:Q3">
    <sortCondition ref="J1:J3"/>
  </sortState>
  <tableColumns count="17">
    <tableColumn id="1" name="Mes" totalsRowLabel="Total" dataDxfId="85"/>
    <tableColumn id="10" name="NCR" dataDxfId="84"/>
    <tableColumn id="2" name="NIT Agente" dataDxfId="83"/>
    <tableColumn id="18" name="Columna6"/>
    <tableColumn id="19" name="Columna7"/>
    <tableColumn id="16" name="Columna4" dataDxfId="82">
      <calculatedColumnFormula>VLOOKUP(Tabla69[[#This Row],[Columna5]],'[2]LIBRO '!$A$1:$B$1007,2,FALSE)</calculatedColumnFormula>
    </tableColumn>
    <tableColumn id="17" name="Columna5" dataDxfId="81">
      <calculatedColumnFormula>VLOOKUP(Tabla69[[#This Row],[NIT Agente]],Tabla4[#All],2,FALSE)</calculatedColumnFormula>
    </tableColumn>
    <tableColumn id="12" name="Columna2" dataDxfId="80" totalsRowDxfId="79">
      <calculatedColumnFormula>VLOOKUP(Tabla69[[#This Row],[Columna1]],'[2]LIBRO '!$A$1:$B$902,2,FALSE)</calculatedColumnFormula>
    </tableColumn>
    <tableColumn id="11" name="Columna1" dataDxfId="78">
      <calculatedColumnFormula>VLOOKUP(Tabla69[[#This Row],[NIT Agente]],Tabla4[#All],2,FALSE)</calculatedColumnFormula>
    </tableColumn>
    <tableColumn id="3" name="Fecha de emisión" dataDxfId="77"/>
    <tableColumn id="4" name="Tipo de documento" totalsRowFunction="sum" dataDxfId="76" totalsRowDxfId="75"/>
    <tableColumn id="5" name="Serie" totalsRowFunction="sum" dataDxfId="74" totalsRowDxfId="73"/>
    <tableColumn id="6" name="Número de documento" totalsRowFunction="sum" dataDxfId="72" totalsRowDxfId="71"/>
    <tableColumn id="7" name="Monto sujeto" totalsRowFunction="sum" dataDxfId="70" totalsRowDxfId="69" dataCellStyle="Moneda"/>
    <tableColumn id="13" name="Columna3" dataDxfId="68" totalsRowDxfId="67" dataCellStyle="Moneda"/>
    <tableColumn id="8" name="Monto Retención 1%" totalsRowFunction="sum" dataDxfId="66" totalsRowDxfId="65" dataCellStyle="Moneda"/>
    <tableColumn id="9" name="Número de anexo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425" totalsRowShown="0">
  <autoFilter ref="A1:B4425"/>
  <tableColumns count="2">
    <tableColumn id="1" name="NIT" dataDxfId="63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62" dataDxfId="61" headerRowCellStyle="Moneda" dataCellStyle="Moneda">
  <autoFilter ref="A2:S4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60" dataCellStyle="Moneda"/>
    <tableColumn id="8" name="MONTO DEVENGADO POR BONIFICACIONES Y GRATIFICACIONES " totalsRowFunction="sum" dataDxfId="59" totalsRowDxfId="58" dataCellStyle="Moneda"/>
    <tableColumn id="9" name="IMPUESTO RETENIDO " totalsRowFunction="sum" dataDxfId="57" totalsRowDxfId="56" dataCellStyle="Moneda"/>
    <tableColumn id="10" name="AGUINALDO EXENTO " totalsRowFunction="sum" dataDxfId="55" totalsRowDxfId="54" dataCellStyle="Moneda"/>
    <tableColumn id="11" name="AGUINALDO GRAVADO " totalsRowFunction="sum" dataDxfId="53" totalsRowDxfId="52" dataCellStyle="Moneda"/>
    <tableColumn id="12" name="AFP" totalsRowFunction="sum" dataDxfId="51" totalsRowDxfId="50" dataCellStyle="Moneda"/>
    <tableColumn id="13" name="ISSS" totalsRowFunction="sum" dataDxfId="49" totalsRowDxfId="48" dataCellStyle="Moneda"/>
    <tableColumn id="14" name="INPEP" totalsRowFunction="sum" dataDxfId="47" totalsRowDxfId="46" dataCellStyle="Moneda"/>
    <tableColumn id="15" name="IPSFA" totalsRowFunction="sum" dataDxfId="45" totalsRowDxfId="44" dataCellStyle="Moneda"/>
    <tableColumn id="16" name="CEFAFA" totalsRowFunction="sum" dataDxfId="43" totalsRowDxfId="42" dataCellStyle="Moneda"/>
    <tableColumn id="17" name="BIENESTAR MAGISTERIAL" dataDxfId="41" dataCellStyle="Moneda"/>
    <tableColumn id="18" name="ISSS IVM " dataDxfId="40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39" dataDxfId="37" headerRowBorderDxfId="38" tableBorderDxfId="36" totalsRowBorderDxfId="35">
  <tableColumns count="3">
    <tableColumn id="1" name="Columna1" dataDxfId="34"/>
    <tableColumn id="2" name="JULIO" dataDxfId="33" dataCellStyle="Moneda"/>
    <tableColumn id="3" name="SUMAS" dataDxfId="32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31" dataDxfId="29" headerRowBorderDxfId="30" tableBorderDxfId="28" totalsRowBorderDxfId="27">
  <autoFilter ref="H3:I6"/>
  <tableColumns count="2">
    <tableColumn id="1" name="MANDAMIENTOS" dataDxfId="26"/>
    <tableColumn id="2" name="IMPORTE" dataDxfId="2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B15" sqref="B1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8491</v>
      </c>
      <c r="XFD3" t="s">
        <v>8491</v>
      </c>
    </row>
    <row r="4" spans="2:6 16384:16384" x14ac:dyDescent="0.25">
      <c r="B4" s="23" t="s">
        <v>2</v>
      </c>
      <c r="D4" s="46" t="s">
        <v>9013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44" t="s">
        <v>1045</v>
      </c>
      <c r="XFD8" t="s">
        <v>8489</v>
      </c>
    </row>
    <row r="9" spans="2:6 16384:16384" x14ac:dyDescent="0.25">
      <c r="B9" s="23" t="s">
        <v>70</v>
      </c>
      <c r="D9" s="104" t="str">
        <f>IFERROR(IF(D8&lt;&gt;"",VLOOKUP(D8,Tabla4[#All],2,0),IF(D19&lt;&gt;0,VLOOKUP(D8,Tabla4[#All],2,0),0)),"")</f>
        <v>DROGUERIA PISA, S.A. DE C.V.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x14ac:dyDescent="0.25">
      <c r="B11" s="23" t="s">
        <v>8</v>
      </c>
      <c r="D11" s="105">
        <v>0</v>
      </c>
      <c r="F11" s="2"/>
      <c r="XFD11" t="s">
        <v>9023</v>
      </c>
    </row>
    <row r="12" spans="2:6 16384:16384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 t="s">
        <v>7868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6" priority="1"/>
    <cfRule type="duplicateValues" dxfId="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018"/>
  <sheetViews>
    <sheetView zoomScaleNormal="100" workbookViewId="0">
      <selection activeCell="M3" sqref="M3:P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7981</v>
      </c>
      <c r="B3" t="s">
        <v>9091</v>
      </c>
      <c r="C3" t="s">
        <v>1</v>
      </c>
      <c r="D3" t="s">
        <v>0</v>
      </c>
      <c r="E3">
        <v>277914</v>
      </c>
      <c r="F3" t="s">
        <v>1320</v>
      </c>
      <c r="G3" t="s">
        <v>9092</v>
      </c>
      <c r="H3" s="2">
        <v>0</v>
      </c>
      <c r="I3" s="2">
        <v>0</v>
      </c>
      <c r="J3" s="2">
        <v>0</v>
      </c>
      <c r="K3" s="2">
        <v>86.27</v>
      </c>
      <c r="L3" s="2">
        <v>0</v>
      </c>
      <c r="M3" s="2">
        <v>0</v>
      </c>
      <c r="N3" s="2">
        <v>0</v>
      </c>
      <c r="O3" s="2">
        <v>11.2151</v>
      </c>
      <c r="P3" s="2">
        <v>97.485099999999989</v>
      </c>
      <c r="R3">
        <v>3</v>
      </c>
      <c r="T3" s="2"/>
      <c r="U3" s="2"/>
    </row>
    <row r="4" spans="1:21" ht="15.75" thickBot="1" x14ac:dyDescent="0.3">
      <c r="A4" t="s">
        <v>7981</v>
      </c>
      <c r="B4" t="s">
        <v>9091</v>
      </c>
      <c r="C4" t="s">
        <v>1</v>
      </c>
      <c r="D4" t="s">
        <v>0</v>
      </c>
      <c r="E4">
        <v>249530</v>
      </c>
      <c r="F4" t="s">
        <v>1320</v>
      </c>
      <c r="G4" t="s">
        <v>9092</v>
      </c>
      <c r="H4" s="2">
        <v>0</v>
      </c>
      <c r="I4" s="2">
        <v>0</v>
      </c>
      <c r="J4" s="2">
        <v>0</v>
      </c>
      <c r="K4" s="2">
        <v>279.3</v>
      </c>
      <c r="L4" s="2">
        <v>0</v>
      </c>
      <c r="M4" s="2">
        <v>0</v>
      </c>
      <c r="N4" s="2">
        <v>0</v>
      </c>
      <c r="O4" s="2">
        <v>36.309000000000005</v>
      </c>
      <c r="P4" s="2">
        <v>315.60900000000004</v>
      </c>
      <c r="R4">
        <v>3</v>
      </c>
      <c r="T4" s="136"/>
      <c r="U4" s="2"/>
    </row>
    <row r="5" spans="1:21" ht="15.75" thickBot="1" x14ac:dyDescent="0.3">
      <c r="A5" s="127" t="s">
        <v>71</v>
      </c>
      <c r="B5" s="128"/>
      <c r="C5" s="128"/>
      <c r="D5" s="128"/>
      <c r="E5" s="128"/>
      <c r="F5" s="128"/>
      <c r="G5" s="129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365.57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47.524100000000004</v>
      </c>
      <c r="P5" s="3">
        <f>+SUBTOTAL(9,Tabla1[TOTAL C.])</f>
        <v>413.09410000000003</v>
      </c>
      <c r="Q5" s="3"/>
      <c r="R5" s="3">
        <f>+SUBTOTAL(9,Tabla1[ANEXO 3])</f>
        <v>6</v>
      </c>
      <c r="S5" s="3"/>
      <c r="T5" s="3">
        <f>+SUBTOTAL(9,Tabla1[PERCEPCIONES])</f>
        <v>0</v>
      </c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115"/>
    </row>
    <row r="37" spans="21:21" x14ac:dyDescent="0.25">
      <c r="U37" s="115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1018" spans="1:20" s="42" customFormat="1" x14ac:dyDescent="0.25">
      <c r="A1018"/>
      <c r="B1018"/>
      <c r="C1018"/>
      <c r="D1018"/>
      <c r="E1018"/>
      <c r="F1018"/>
      <c r="G1018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/>
      <c r="S1018"/>
      <c r="T1018"/>
    </row>
  </sheetData>
  <dataConsolidate/>
  <phoneticPr fontId="8" type="noConversion"/>
  <conditionalFormatting sqref="E1:E2 E5:E1048576">
    <cfRule type="duplicateValues" dxfId="4" priority="23"/>
    <cfRule type="duplicateValues" dxfId="3" priority="24"/>
  </conditionalFormatting>
  <conditionalFormatting sqref="E3:E4">
    <cfRule type="duplicateValues" dxfId="2" priority="1"/>
    <cfRule type="duplicateValues" dxfId="1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8">
        <v>44957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S9756"/>
  <sheetViews>
    <sheetView zoomScale="85" zoomScaleNormal="85" workbookViewId="0">
      <selection activeCell="Q3" sqref="Q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t="s">
        <v>8153</v>
      </c>
      <c r="B3" t="s">
        <v>9080</v>
      </c>
      <c r="C3" t="s">
        <v>1</v>
      </c>
      <c r="D3" t="s">
        <v>0</v>
      </c>
      <c r="E3" t="s">
        <v>9062</v>
      </c>
      <c r="F3" t="s">
        <v>9079</v>
      </c>
      <c r="G3">
        <v>9</v>
      </c>
      <c r="H3">
        <v>9</v>
      </c>
      <c r="I3" t="s">
        <v>2174</v>
      </c>
      <c r="J3" t="s">
        <v>9081</v>
      </c>
      <c r="K3" s="2">
        <v>0</v>
      </c>
      <c r="L3" s="2">
        <v>0</v>
      </c>
      <c r="M3" s="2">
        <v>6000</v>
      </c>
      <c r="N3" s="2">
        <v>780</v>
      </c>
      <c r="O3" s="2">
        <v>0</v>
      </c>
      <c r="P3" s="2">
        <v>0</v>
      </c>
      <c r="Q3" s="2">
        <v>6780</v>
      </c>
      <c r="S3" t="s">
        <v>1</v>
      </c>
    </row>
    <row r="4" spans="1:19" x14ac:dyDescent="0.25">
      <c r="A4" t="s">
        <v>7981</v>
      </c>
      <c r="B4" t="s">
        <v>9082</v>
      </c>
      <c r="C4" t="s">
        <v>1</v>
      </c>
      <c r="D4" t="s">
        <v>0</v>
      </c>
      <c r="E4" t="s">
        <v>9062</v>
      </c>
      <c r="F4" t="s">
        <v>9079</v>
      </c>
      <c r="G4">
        <v>8</v>
      </c>
      <c r="H4">
        <v>8</v>
      </c>
      <c r="I4" t="s">
        <v>2174</v>
      </c>
      <c r="J4" t="s">
        <v>9081</v>
      </c>
      <c r="K4" s="2">
        <v>0</v>
      </c>
      <c r="L4" s="2">
        <v>0</v>
      </c>
      <c r="M4" s="2">
        <v>600</v>
      </c>
      <c r="N4" s="2">
        <v>78</v>
      </c>
      <c r="O4" s="2">
        <v>0</v>
      </c>
      <c r="P4" s="2">
        <v>0</v>
      </c>
      <c r="Q4" s="2">
        <v>678</v>
      </c>
      <c r="S4" t="s">
        <v>1</v>
      </c>
    </row>
    <row r="5" spans="1:19" x14ac:dyDescent="0.25">
      <c r="A5" t="s">
        <v>7981</v>
      </c>
      <c r="B5" t="s">
        <v>9082</v>
      </c>
      <c r="C5" t="s">
        <v>1</v>
      </c>
      <c r="D5" t="s">
        <v>0</v>
      </c>
      <c r="E5" t="s">
        <v>9062</v>
      </c>
      <c r="F5" t="s">
        <v>9079</v>
      </c>
      <c r="G5">
        <v>7</v>
      </c>
      <c r="H5">
        <v>7</v>
      </c>
      <c r="I5" t="s">
        <v>9083</v>
      </c>
      <c r="J5" t="s">
        <v>41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S5" t="s">
        <v>1</v>
      </c>
    </row>
    <row r="6" spans="1:19" x14ac:dyDescent="0.25">
      <c r="A6" t="s">
        <v>7981</v>
      </c>
      <c r="B6" t="s">
        <v>9082</v>
      </c>
      <c r="C6" t="s">
        <v>1</v>
      </c>
      <c r="D6" t="s">
        <v>0</v>
      </c>
      <c r="E6" t="s">
        <v>9062</v>
      </c>
      <c r="F6" t="s">
        <v>9079</v>
      </c>
      <c r="G6">
        <v>6</v>
      </c>
      <c r="H6">
        <v>6</v>
      </c>
      <c r="I6" t="s">
        <v>9083</v>
      </c>
      <c r="J6" t="s">
        <v>41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S6" t="s">
        <v>1</v>
      </c>
    </row>
    <row r="7" spans="1:19" x14ac:dyDescent="0.25">
      <c r="A7" t="s">
        <v>7981</v>
      </c>
      <c r="B7" t="s">
        <v>9082</v>
      </c>
      <c r="C7" t="s">
        <v>1</v>
      </c>
      <c r="D7" t="s">
        <v>0</v>
      </c>
      <c r="E7" t="s">
        <v>9062</v>
      </c>
      <c r="F7" t="s">
        <v>9079</v>
      </c>
      <c r="G7">
        <v>5</v>
      </c>
      <c r="H7">
        <v>5</v>
      </c>
      <c r="I7" t="s">
        <v>9083</v>
      </c>
      <c r="J7" t="s">
        <v>41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S7" t="s">
        <v>1</v>
      </c>
    </row>
    <row r="8" spans="1:19" x14ac:dyDescent="0.25">
      <c r="A8" t="s">
        <v>7981</v>
      </c>
      <c r="B8" t="s">
        <v>9082</v>
      </c>
      <c r="C8" t="s">
        <v>1</v>
      </c>
      <c r="D8" t="s">
        <v>0</v>
      </c>
      <c r="E8" t="s">
        <v>9062</v>
      </c>
      <c r="F8" t="s">
        <v>9079</v>
      </c>
      <c r="G8">
        <v>4</v>
      </c>
      <c r="H8">
        <v>4</v>
      </c>
      <c r="I8" t="s">
        <v>9083</v>
      </c>
      <c r="J8" t="s">
        <v>41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S8" t="s">
        <v>1</v>
      </c>
    </row>
    <row r="9" spans="1:19" ht="15.75" thickBot="1" x14ac:dyDescent="0.3">
      <c r="A9" t="s">
        <v>7981</v>
      </c>
      <c r="B9" t="s">
        <v>9082</v>
      </c>
      <c r="C9" t="s">
        <v>1</v>
      </c>
      <c r="D9" t="s">
        <v>0</v>
      </c>
      <c r="E9" t="s">
        <v>9062</v>
      </c>
      <c r="F9" t="s">
        <v>9079</v>
      </c>
      <c r="G9">
        <v>3</v>
      </c>
      <c r="H9">
        <v>3</v>
      </c>
      <c r="I9" t="s">
        <v>9083</v>
      </c>
      <c r="J9" t="s">
        <v>41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S9" t="s">
        <v>1</v>
      </c>
    </row>
    <row r="10" spans="1:19" ht="15.75" thickBot="1" x14ac:dyDescent="0.3">
      <c r="A10" s="130"/>
      <c r="B10" s="130"/>
      <c r="C10" s="130"/>
      <c r="D10" s="130"/>
      <c r="E10" s="130"/>
      <c r="F10" s="130"/>
      <c r="G10" s="130"/>
      <c r="H10" s="130"/>
      <c r="I10" s="130"/>
      <c r="J10" s="131"/>
      <c r="K10" s="4">
        <f>+SUBTOTAL(9,Tabla2[VENTA EXENTA])</f>
        <v>0</v>
      </c>
      <c r="L10" s="4">
        <f>+SUBTOTAL(9,Tabla2[VENTA NO SUJETA])</f>
        <v>0</v>
      </c>
      <c r="M10" s="3">
        <f>+SUBTOTAL(9,Tabla2[V. GRAVADA])</f>
        <v>6600</v>
      </c>
      <c r="N10" s="4">
        <f>+SUBTOTAL(9,Tabla2[D.FISCAL])</f>
        <v>858</v>
      </c>
      <c r="O10" s="4">
        <f>+SUBTOTAL(9,Tabla2[V CTA DE 3])</f>
        <v>0</v>
      </c>
      <c r="P10" s="4">
        <f>+SUBTOTAL(9,Tabla2[D. FISCAL A 3])</f>
        <v>0</v>
      </c>
      <c r="Q10" s="4">
        <f>+SUBTOTAL(9,Tabla2[VENTA TOTAL])</f>
        <v>7458</v>
      </c>
      <c r="R10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10:J10"/>
  </mergeCells>
  <phoneticPr fontId="8" type="noConversion"/>
  <conditionalFormatting sqref="G1:G1048576">
    <cfRule type="duplicateValues" dxfId="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8323</v>
      </c>
      <c r="XFD2" t="s">
        <v>7944</v>
      </c>
    </row>
    <row r="3" spans="2:4 16384:16384" x14ac:dyDescent="0.25">
      <c r="B3" s="68" t="s">
        <v>2</v>
      </c>
      <c r="D3" s="7" t="s">
        <v>9078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8136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8137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39"/>
  <sheetViews>
    <sheetView tabSelected="1" topLeftCell="C1" workbookViewId="0">
      <selection activeCell="U4" sqref="U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t="15" hidden="1" customHeight="1" x14ac:dyDescent="0.25">
      <c r="A3" t="s">
        <v>8323</v>
      </c>
      <c r="B3" s="137" t="s">
        <v>9093</v>
      </c>
      <c r="C3" t="s">
        <v>1</v>
      </c>
      <c r="D3" t="s">
        <v>7706</v>
      </c>
      <c r="E3" t="s">
        <v>8136</v>
      </c>
      <c r="F3" t="s">
        <v>8137</v>
      </c>
      <c r="G3">
        <v>38</v>
      </c>
      <c r="H3">
        <v>38</v>
      </c>
      <c r="I3">
        <v>38</v>
      </c>
      <c r="J3">
        <v>38</v>
      </c>
      <c r="K3">
        <v>0</v>
      </c>
      <c r="L3" s="2">
        <v>0</v>
      </c>
      <c r="M3" s="2">
        <v>0</v>
      </c>
      <c r="N3" s="2">
        <v>0</v>
      </c>
      <c r="O3" s="2">
        <v>1130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1130</v>
      </c>
      <c r="V3" t="s">
        <v>55</v>
      </c>
    </row>
    <row r="4" spans="1:22" ht="15" customHeight="1" x14ac:dyDescent="0.25">
      <c r="A4" t="s">
        <v>8324</v>
      </c>
      <c r="B4" t="s">
        <v>9077</v>
      </c>
      <c r="C4" t="s">
        <v>1</v>
      </c>
      <c r="D4" t="s">
        <v>7706</v>
      </c>
      <c r="E4" t="s">
        <v>8136</v>
      </c>
      <c r="F4" t="s">
        <v>8137</v>
      </c>
      <c r="G4">
        <v>54</v>
      </c>
      <c r="H4">
        <v>54</v>
      </c>
      <c r="I4">
        <v>54</v>
      </c>
      <c r="J4">
        <v>54</v>
      </c>
      <c r="K4">
        <v>0</v>
      </c>
      <c r="L4" s="2">
        <v>0</v>
      </c>
      <c r="M4" s="2">
        <v>0</v>
      </c>
      <c r="N4" s="2">
        <v>0</v>
      </c>
      <c r="O4" s="2">
        <v>73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73</v>
      </c>
      <c r="V4" t="s">
        <v>55</v>
      </c>
    </row>
    <row r="5" spans="1:22" ht="15" customHeight="1" x14ac:dyDescent="0.25">
      <c r="A5" t="s">
        <v>8324</v>
      </c>
      <c r="B5" t="s">
        <v>9076</v>
      </c>
      <c r="C5" t="s">
        <v>1</v>
      </c>
      <c r="D5" t="s">
        <v>7706</v>
      </c>
      <c r="E5" t="s">
        <v>8136</v>
      </c>
      <c r="F5" t="s">
        <v>8137</v>
      </c>
      <c r="G5">
        <v>53</v>
      </c>
      <c r="H5">
        <v>53</v>
      </c>
      <c r="I5">
        <v>53</v>
      </c>
      <c r="J5">
        <v>53</v>
      </c>
      <c r="K5">
        <v>0</v>
      </c>
      <c r="L5" s="2">
        <v>0</v>
      </c>
      <c r="M5" s="2">
        <v>0</v>
      </c>
      <c r="N5" s="2">
        <v>0</v>
      </c>
      <c r="O5" s="2">
        <v>104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104</v>
      </c>
      <c r="V5" t="s">
        <v>55</v>
      </c>
    </row>
    <row r="6" spans="1:22" ht="15" customHeight="1" x14ac:dyDescent="0.25">
      <c r="A6" t="s">
        <v>8324</v>
      </c>
      <c r="B6" t="s">
        <v>9075</v>
      </c>
      <c r="C6" t="s">
        <v>1</v>
      </c>
      <c r="D6" t="s">
        <v>7706</v>
      </c>
      <c r="E6" t="s">
        <v>8136</v>
      </c>
      <c r="F6" t="s">
        <v>8137</v>
      </c>
      <c r="G6">
        <v>52</v>
      </c>
      <c r="H6">
        <v>52</v>
      </c>
      <c r="I6">
        <v>52</v>
      </c>
      <c r="J6">
        <v>52</v>
      </c>
      <c r="K6">
        <v>0</v>
      </c>
      <c r="L6" s="2">
        <v>0</v>
      </c>
      <c r="M6" s="2">
        <v>0</v>
      </c>
      <c r="N6" s="2">
        <v>0</v>
      </c>
      <c r="O6" s="2">
        <v>73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73</v>
      </c>
      <c r="V6" t="s">
        <v>55</v>
      </c>
    </row>
    <row r="7" spans="1:22" ht="15" customHeight="1" x14ac:dyDescent="0.25">
      <c r="A7" t="s">
        <v>8324</v>
      </c>
      <c r="B7" t="s">
        <v>9074</v>
      </c>
      <c r="C7" t="s">
        <v>1</v>
      </c>
      <c r="D7" t="s">
        <v>7706</v>
      </c>
      <c r="E7" t="s">
        <v>8136</v>
      </c>
      <c r="F7" t="s">
        <v>8137</v>
      </c>
      <c r="G7">
        <v>51</v>
      </c>
      <c r="H7">
        <v>51</v>
      </c>
      <c r="I7">
        <v>51</v>
      </c>
      <c r="J7">
        <v>51</v>
      </c>
      <c r="K7">
        <v>0</v>
      </c>
      <c r="L7" s="2">
        <v>0</v>
      </c>
      <c r="M7" s="2">
        <v>0</v>
      </c>
      <c r="N7" s="2">
        <v>0</v>
      </c>
      <c r="O7" s="2">
        <v>378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378</v>
      </c>
      <c r="V7" t="s">
        <v>55</v>
      </c>
    </row>
    <row r="8" spans="1:22" ht="15" customHeight="1" x14ac:dyDescent="0.25">
      <c r="A8" t="s">
        <v>8324</v>
      </c>
      <c r="B8" t="s">
        <v>9073</v>
      </c>
      <c r="C8" t="s">
        <v>1</v>
      </c>
      <c r="D8" t="s">
        <v>7706</v>
      </c>
      <c r="E8" t="s">
        <v>8136</v>
      </c>
      <c r="F8" t="s">
        <v>8137</v>
      </c>
      <c r="G8">
        <v>50</v>
      </c>
      <c r="H8">
        <v>50</v>
      </c>
      <c r="I8">
        <v>50</v>
      </c>
      <c r="J8">
        <v>50</v>
      </c>
      <c r="K8">
        <v>0</v>
      </c>
      <c r="L8" s="2">
        <v>0</v>
      </c>
      <c r="M8" s="2">
        <v>0</v>
      </c>
      <c r="N8" s="2">
        <v>0</v>
      </c>
      <c r="O8" s="2">
        <v>73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73</v>
      </c>
      <c r="V8" t="s">
        <v>55</v>
      </c>
    </row>
    <row r="9" spans="1:22" ht="15" customHeight="1" x14ac:dyDescent="0.25">
      <c r="A9" t="s">
        <v>8324</v>
      </c>
      <c r="B9" t="s">
        <v>9072</v>
      </c>
      <c r="C9" t="s">
        <v>1</v>
      </c>
      <c r="D9" t="s">
        <v>7706</v>
      </c>
      <c r="E9" t="s">
        <v>8136</v>
      </c>
      <c r="F9" t="s">
        <v>8137</v>
      </c>
      <c r="G9">
        <v>49</v>
      </c>
      <c r="H9">
        <v>49</v>
      </c>
      <c r="I9">
        <v>49</v>
      </c>
      <c r="J9">
        <v>49</v>
      </c>
      <c r="K9">
        <v>0</v>
      </c>
      <c r="L9" s="2">
        <v>0</v>
      </c>
      <c r="M9" s="2">
        <v>0</v>
      </c>
      <c r="N9" s="2">
        <v>0</v>
      </c>
      <c r="O9" s="2">
        <v>43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43</v>
      </c>
      <c r="V9" t="s">
        <v>55</v>
      </c>
    </row>
    <row r="10" spans="1:22" ht="15" customHeight="1" x14ac:dyDescent="0.25">
      <c r="A10" t="s">
        <v>8324</v>
      </c>
      <c r="B10" t="s">
        <v>9071</v>
      </c>
      <c r="C10" t="s">
        <v>1</v>
      </c>
      <c r="D10" t="s">
        <v>7706</v>
      </c>
      <c r="E10" t="s">
        <v>8136</v>
      </c>
      <c r="F10" t="s">
        <v>8137</v>
      </c>
      <c r="G10">
        <v>48</v>
      </c>
      <c r="H10">
        <v>48</v>
      </c>
      <c r="I10">
        <v>48</v>
      </c>
      <c r="J10">
        <v>48</v>
      </c>
      <c r="K10">
        <v>0</v>
      </c>
      <c r="L10" s="2">
        <v>0</v>
      </c>
      <c r="M10" s="2">
        <v>0</v>
      </c>
      <c r="N10" s="2">
        <v>0</v>
      </c>
      <c r="O10" s="2">
        <v>57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57</v>
      </c>
      <c r="V10" t="s">
        <v>55</v>
      </c>
    </row>
    <row r="11" spans="1:22" ht="15.75" customHeight="1" thickBot="1" x14ac:dyDescent="0.3">
      <c r="A11" t="s">
        <v>8324</v>
      </c>
      <c r="B11" t="s">
        <v>9070</v>
      </c>
      <c r="C11" t="s">
        <v>1</v>
      </c>
      <c r="D11" t="s">
        <v>7706</v>
      </c>
      <c r="E11" t="s">
        <v>8136</v>
      </c>
      <c r="F11" t="s">
        <v>8137</v>
      </c>
      <c r="G11">
        <v>47</v>
      </c>
      <c r="H11">
        <v>47</v>
      </c>
      <c r="I11">
        <v>47</v>
      </c>
      <c r="J11">
        <v>47</v>
      </c>
      <c r="K11">
        <v>0</v>
      </c>
      <c r="L11" s="2">
        <v>0</v>
      </c>
      <c r="M11" s="2">
        <v>0</v>
      </c>
      <c r="N11" s="2">
        <v>0</v>
      </c>
      <c r="O11" s="2">
        <v>189.5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189.5</v>
      </c>
      <c r="V11" t="s">
        <v>55</v>
      </c>
    </row>
    <row r="12" spans="1:22" ht="15" hidden="1" customHeight="1" x14ac:dyDescent="0.25">
      <c r="A12" t="s">
        <v>8323</v>
      </c>
      <c r="B12" t="s">
        <v>9069</v>
      </c>
      <c r="C12" t="s">
        <v>1</v>
      </c>
      <c r="D12" t="s">
        <v>7706</v>
      </c>
      <c r="E12" t="s">
        <v>8136</v>
      </c>
      <c r="F12" t="s">
        <v>8137</v>
      </c>
      <c r="G12">
        <v>46</v>
      </c>
      <c r="H12">
        <v>46</v>
      </c>
      <c r="I12">
        <v>46</v>
      </c>
      <c r="J12">
        <v>46</v>
      </c>
      <c r="K12">
        <v>0</v>
      </c>
      <c r="L12" s="2">
        <v>0</v>
      </c>
      <c r="M12" s="2">
        <v>0</v>
      </c>
      <c r="N12" s="2">
        <v>0</v>
      </c>
      <c r="O12" s="2">
        <v>43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43</v>
      </c>
      <c r="V12" t="s">
        <v>55</v>
      </c>
    </row>
    <row r="13" spans="1:22" ht="15" hidden="1" customHeight="1" x14ac:dyDescent="0.25">
      <c r="A13" t="s">
        <v>8323</v>
      </c>
      <c r="B13" t="s">
        <v>9068</v>
      </c>
      <c r="C13" t="s">
        <v>1</v>
      </c>
      <c r="D13" t="s">
        <v>7706</v>
      </c>
      <c r="E13" t="s">
        <v>8136</v>
      </c>
      <c r="F13" t="s">
        <v>8137</v>
      </c>
      <c r="G13">
        <v>45</v>
      </c>
      <c r="H13">
        <v>45</v>
      </c>
      <c r="I13">
        <v>45</v>
      </c>
      <c r="J13">
        <v>45</v>
      </c>
      <c r="K13">
        <v>0</v>
      </c>
      <c r="L13" s="2">
        <v>0</v>
      </c>
      <c r="M13" s="2">
        <v>0</v>
      </c>
      <c r="N13" s="2">
        <v>0</v>
      </c>
      <c r="O13" s="2">
        <v>114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114</v>
      </c>
      <c r="V13" t="s">
        <v>55</v>
      </c>
    </row>
    <row r="14" spans="1:22" ht="15" hidden="1" customHeight="1" x14ac:dyDescent="0.25">
      <c r="A14" t="s">
        <v>8323</v>
      </c>
      <c r="B14" t="s">
        <v>9068</v>
      </c>
      <c r="C14" t="s">
        <v>1</v>
      </c>
      <c r="D14" t="s">
        <v>7706</v>
      </c>
      <c r="E14" t="s">
        <v>8136</v>
      </c>
      <c r="F14" t="s">
        <v>8137</v>
      </c>
      <c r="G14">
        <v>44</v>
      </c>
      <c r="H14">
        <v>44</v>
      </c>
      <c r="I14">
        <v>44</v>
      </c>
      <c r="J14">
        <v>44</v>
      </c>
      <c r="K14">
        <v>0</v>
      </c>
      <c r="L14" s="2">
        <v>0</v>
      </c>
      <c r="M14" s="2">
        <v>0</v>
      </c>
      <c r="N14" s="2">
        <v>0</v>
      </c>
      <c r="O14" s="2">
        <v>189.5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189.5</v>
      </c>
      <c r="V14" t="s">
        <v>55</v>
      </c>
    </row>
    <row r="15" spans="1:22" ht="15" hidden="1" customHeight="1" thickBot="1" x14ac:dyDescent="0.3">
      <c r="A15" t="s">
        <v>8323</v>
      </c>
      <c r="B15" t="s">
        <v>9067</v>
      </c>
      <c r="C15" t="s">
        <v>1</v>
      </c>
      <c r="D15" t="s">
        <v>7706</v>
      </c>
      <c r="E15" t="s">
        <v>8136</v>
      </c>
      <c r="F15" t="s">
        <v>8137</v>
      </c>
      <c r="G15">
        <v>43</v>
      </c>
      <c r="H15">
        <v>43</v>
      </c>
      <c r="I15">
        <v>43</v>
      </c>
      <c r="J15">
        <v>43</v>
      </c>
      <c r="K15">
        <v>0</v>
      </c>
      <c r="L15" s="2">
        <v>0</v>
      </c>
      <c r="M15" s="2">
        <v>0</v>
      </c>
      <c r="N15" s="2">
        <v>0</v>
      </c>
      <c r="O15" s="2">
        <v>114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114</v>
      </c>
      <c r="V15" t="s">
        <v>55</v>
      </c>
    </row>
    <row r="16" spans="1:22" ht="15.75" hidden="1" thickBot="1" x14ac:dyDescent="0.3">
      <c r="A16" t="s">
        <v>8322</v>
      </c>
      <c r="B16" t="s">
        <v>9066</v>
      </c>
      <c r="C16" t="s">
        <v>1</v>
      </c>
      <c r="D16" t="s">
        <v>7706</v>
      </c>
      <c r="E16" t="s">
        <v>8136</v>
      </c>
      <c r="F16" t="s">
        <v>8137</v>
      </c>
      <c r="G16">
        <v>42</v>
      </c>
      <c r="H16">
        <v>42</v>
      </c>
      <c r="I16">
        <v>42</v>
      </c>
      <c r="J16">
        <v>42</v>
      </c>
      <c r="K16">
        <v>0</v>
      </c>
      <c r="L16" s="2">
        <v>0</v>
      </c>
      <c r="M16" s="2">
        <v>0</v>
      </c>
      <c r="N16" s="2">
        <v>0</v>
      </c>
      <c r="O16" s="2">
        <v>114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114</v>
      </c>
      <c r="V16" t="s">
        <v>55</v>
      </c>
    </row>
    <row r="17" spans="1:22" ht="15.75" hidden="1" thickBot="1" x14ac:dyDescent="0.3">
      <c r="A17" t="s">
        <v>8322</v>
      </c>
      <c r="B17" t="s">
        <v>9065</v>
      </c>
      <c r="C17" t="s">
        <v>1</v>
      </c>
      <c r="D17" t="s">
        <v>7706</v>
      </c>
      <c r="E17" t="s">
        <v>8136</v>
      </c>
      <c r="F17" t="s">
        <v>8137</v>
      </c>
      <c r="G17">
        <v>41</v>
      </c>
      <c r="H17">
        <v>41</v>
      </c>
      <c r="I17">
        <v>41</v>
      </c>
      <c r="J17">
        <v>41</v>
      </c>
      <c r="K17">
        <v>0</v>
      </c>
      <c r="L17" s="2">
        <v>0</v>
      </c>
      <c r="M17" s="2">
        <v>0</v>
      </c>
      <c r="N17" s="2">
        <v>0</v>
      </c>
      <c r="O17" s="2">
        <v>114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114</v>
      </c>
      <c r="V17" t="s">
        <v>55</v>
      </c>
    </row>
    <row r="18" spans="1:22" ht="15.75" hidden="1" thickBot="1" x14ac:dyDescent="0.3">
      <c r="A18" t="s">
        <v>8322</v>
      </c>
      <c r="B18" t="s">
        <v>9064</v>
      </c>
      <c r="C18" t="s">
        <v>1</v>
      </c>
      <c r="D18" t="s">
        <v>7706</v>
      </c>
      <c r="E18" t="s">
        <v>8136</v>
      </c>
      <c r="F18" t="s">
        <v>8137</v>
      </c>
      <c r="G18">
        <v>40</v>
      </c>
      <c r="H18">
        <v>40</v>
      </c>
      <c r="I18">
        <v>40</v>
      </c>
      <c r="J18">
        <v>40</v>
      </c>
      <c r="K18">
        <v>0</v>
      </c>
      <c r="L18" s="2">
        <v>0</v>
      </c>
      <c r="M18" s="2">
        <v>0</v>
      </c>
      <c r="N18" s="2">
        <v>0</v>
      </c>
      <c r="O18" s="2">
        <v>45.2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45.2</v>
      </c>
      <c r="V18" t="s">
        <v>55</v>
      </c>
    </row>
    <row r="19" spans="1:22" ht="15.75" hidden="1" thickBot="1" x14ac:dyDescent="0.3">
      <c r="A19" t="s">
        <v>8322</v>
      </c>
      <c r="B19" t="s">
        <v>9064</v>
      </c>
      <c r="C19" t="s">
        <v>1</v>
      </c>
      <c r="D19" t="s">
        <v>7706</v>
      </c>
      <c r="E19" t="s">
        <v>8136</v>
      </c>
      <c r="F19" t="s">
        <v>8137</v>
      </c>
      <c r="G19">
        <v>39</v>
      </c>
      <c r="H19">
        <v>39</v>
      </c>
      <c r="I19">
        <v>39</v>
      </c>
      <c r="J19">
        <v>39</v>
      </c>
      <c r="K19">
        <v>0</v>
      </c>
      <c r="L19" s="2">
        <v>0</v>
      </c>
      <c r="M19" s="2">
        <v>0</v>
      </c>
      <c r="N19" s="2">
        <v>0</v>
      </c>
      <c r="O19" s="2">
        <v>45.2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45.2</v>
      </c>
      <c r="V19" t="s">
        <v>55</v>
      </c>
    </row>
    <row r="20" spans="1:22" ht="15" hidden="1" customHeight="1" x14ac:dyDescent="0.3">
      <c r="A20" t="s">
        <v>8265</v>
      </c>
      <c r="B20" t="s">
        <v>9061</v>
      </c>
      <c r="C20" t="s">
        <v>1</v>
      </c>
      <c r="D20" t="s">
        <v>7706</v>
      </c>
      <c r="E20" t="s">
        <v>9062</v>
      </c>
      <c r="F20" t="s">
        <v>9063</v>
      </c>
      <c r="G20">
        <v>37</v>
      </c>
      <c r="H20">
        <v>37</v>
      </c>
      <c r="I20">
        <v>37</v>
      </c>
      <c r="J20">
        <v>37</v>
      </c>
      <c r="K20">
        <v>0</v>
      </c>
      <c r="L20" s="2">
        <v>0</v>
      </c>
      <c r="M20" s="2">
        <v>0</v>
      </c>
      <c r="N20" s="2">
        <v>0</v>
      </c>
      <c r="O20" s="2">
        <v>114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114</v>
      </c>
      <c r="V20" t="s">
        <v>55</v>
      </c>
    </row>
    <row r="21" spans="1:22" ht="15" hidden="1" customHeight="1" x14ac:dyDescent="0.3">
      <c r="A21" t="s">
        <v>8265</v>
      </c>
      <c r="B21" t="s">
        <v>9061</v>
      </c>
      <c r="C21" t="s">
        <v>1</v>
      </c>
      <c r="D21" t="s">
        <v>7706</v>
      </c>
      <c r="E21" t="s">
        <v>9062</v>
      </c>
      <c r="F21" t="s">
        <v>9063</v>
      </c>
      <c r="G21">
        <v>36</v>
      </c>
      <c r="H21">
        <v>36</v>
      </c>
      <c r="I21">
        <v>36</v>
      </c>
      <c r="J21">
        <v>36</v>
      </c>
      <c r="K21">
        <v>0</v>
      </c>
      <c r="L21" s="2">
        <v>0</v>
      </c>
      <c r="M21" s="2">
        <v>0</v>
      </c>
      <c r="N21" s="2">
        <v>0</v>
      </c>
      <c r="O21" s="2">
        <v>114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114</v>
      </c>
      <c r="V21" t="s">
        <v>55</v>
      </c>
    </row>
    <row r="22" spans="1:22" ht="15" hidden="1" customHeight="1" x14ac:dyDescent="0.3">
      <c r="A22" t="s">
        <v>8265</v>
      </c>
      <c r="B22" t="s">
        <v>9060</v>
      </c>
      <c r="C22" t="s">
        <v>1</v>
      </c>
      <c r="D22" t="s">
        <v>7706</v>
      </c>
      <c r="E22" t="s">
        <v>9062</v>
      </c>
      <c r="F22" t="s">
        <v>9063</v>
      </c>
      <c r="G22">
        <v>35</v>
      </c>
      <c r="H22">
        <v>35</v>
      </c>
      <c r="I22">
        <v>35</v>
      </c>
      <c r="J22">
        <v>35</v>
      </c>
      <c r="K22">
        <v>0</v>
      </c>
      <c r="L22" s="2">
        <v>0</v>
      </c>
      <c r="M22" s="2">
        <v>0</v>
      </c>
      <c r="N22" s="2">
        <v>0</v>
      </c>
      <c r="O22" s="2">
        <v>114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114</v>
      </c>
      <c r="V22" t="s">
        <v>55</v>
      </c>
    </row>
    <row r="23" spans="1:22" ht="15" hidden="1" customHeight="1" x14ac:dyDescent="0.3">
      <c r="A23" t="s">
        <v>8265</v>
      </c>
      <c r="B23" t="s">
        <v>9059</v>
      </c>
      <c r="C23" t="s">
        <v>1</v>
      </c>
      <c r="D23" t="s">
        <v>7706</v>
      </c>
      <c r="E23" t="s">
        <v>9062</v>
      </c>
      <c r="F23" t="s">
        <v>9063</v>
      </c>
      <c r="G23">
        <v>34</v>
      </c>
      <c r="H23">
        <v>34</v>
      </c>
      <c r="I23">
        <v>34</v>
      </c>
      <c r="J23">
        <v>34</v>
      </c>
      <c r="K23">
        <v>0</v>
      </c>
      <c r="L23" s="2">
        <v>0</v>
      </c>
      <c r="M23" s="2">
        <v>0</v>
      </c>
      <c r="N23" s="2">
        <v>0</v>
      </c>
      <c r="O23" s="2">
        <v>12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12</v>
      </c>
      <c r="V23" t="s">
        <v>55</v>
      </c>
    </row>
    <row r="24" spans="1:22" ht="15" hidden="1" customHeight="1" x14ac:dyDescent="0.3">
      <c r="A24" t="s">
        <v>8265</v>
      </c>
      <c r="B24" t="s">
        <v>9058</v>
      </c>
      <c r="C24" t="s">
        <v>1</v>
      </c>
      <c r="D24" t="s">
        <v>7706</v>
      </c>
      <c r="E24" t="s">
        <v>9062</v>
      </c>
      <c r="F24" t="s">
        <v>9063</v>
      </c>
      <c r="G24">
        <v>33</v>
      </c>
      <c r="H24">
        <v>33</v>
      </c>
      <c r="I24">
        <v>33</v>
      </c>
      <c r="J24">
        <v>33</v>
      </c>
      <c r="K24">
        <v>0</v>
      </c>
      <c r="L24" s="2">
        <v>0</v>
      </c>
      <c r="M24" s="2">
        <v>0</v>
      </c>
      <c r="N24" s="2">
        <v>0</v>
      </c>
      <c r="O24" s="2">
        <v>152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152</v>
      </c>
      <c r="V24" t="s">
        <v>55</v>
      </c>
    </row>
    <row r="25" spans="1:22" ht="15" hidden="1" customHeight="1" x14ac:dyDescent="0.3">
      <c r="A25" t="s">
        <v>8265</v>
      </c>
      <c r="B25" t="s">
        <v>9057</v>
      </c>
      <c r="C25" t="s">
        <v>1</v>
      </c>
      <c r="D25" t="s">
        <v>7706</v>
      </c>
      <c r="E25" t="s">
        <v>9062</v>
      </c>
      <c r="F25" t="s">
        <v>9063</v>
      </c>
      <c r="G25">
        <v>32</v>
      </c>
      <c r="H25">
        <v>32</v>
      </c>
      <c r="I25">
        <v>32</v>
      </c>
      <c r="J25">
        <v>32</v>
      </c>
      <c r="K25">
        <v>0</v>
      </c>
      <c r="L25" s="2">
        <v>0</v>
      </c>
      <c r="M25" s="2">
        <v>0</v>
      </c>
      <c r="N25" s="2">
        <v>0</v>
      </c>
      <c r="O25" s="2">
        <v>152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152</v>
      </c>
      <c r="V25" t="s">
        <v>55</v>
      </c>
    </row>
    <row r="26" spans="1:22" ht="15.75" hidden="1" customHeight="1" thickBot="1" x14ac:dyDescent="0.3">
      <c r="A26" t="s">
        <v>8265</v>
      </c>
      <c r="B26" t="s">
        <v>9057</v>
      </c>
      <c r="C26" t="s">
        <v>1</v>
      </c>
      <c r="D26" t="s">
        <v>7706</v>
      </c>
      <c r="E26" t="s">
        <v>9062</v>
      </c>
      <c r="F26" t="s">
        <v>9063</v>
      </c>
      <c r="G26">
        <v>31</v>
      </c>
      <c r="H26">
        <v>31</v>
      </c>
      <c r="I26">
        <v>31</v>
      </c>
      <c r="J26">
        <v>31</v>
      </c>
      <c r="K26">
        <v>0</v>
      </c>
      <c r="L26" s="2">
        <v>0</v>
      </c>
      <c r="M26" s="2">
        <v>0</v>
      </c>
      <c r="N26" s="2">
        <v>0</v>
      </c>
      <c r="O26" s="2">
        <v>90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90</v>
      </c>
      <c r="V26" t="s">
        <v>55</v>
      </c>
    </row>
    <row r="27" spans="1:22" ht="15.75" hidden="1" customHeight="1" thickBot="1" x14ac:dyDescent="0.3">
      <c r="A27" t="s">
        <v>7944</v>
      </c>
      <c r="B27" s="1" t="s">
        <v>9089</v>
      </c>
      <c r="C27" t="s">
        <v>1</v>
      </c>
      <c r="D27" s="1" t="s">
        <v>7706</v>
      </c>
      <c r="E27" t="s">
        <v>9062</v>
      </c>
      <c r="F27" t="s">
        <v>9063</v>
      </c>
      <c r="G27">
        <v>23</v>
      </c>
      <c r="H27">
        <v>23</v>
      </c>
      <c r="I27">
        <v>23</v>
      </c>
      <c r="J27">
        <v>23</v>
      </c>
      <c r="L27" s="2">
        <v>0</v>
      </c>
      <c r="M27" s="2">
        <v>0</v>
      </c>
      <c r="N27" s="2">
        <v>0</v>
      </c>
      <c r="O27" s="2">
        <v>105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136">
        <v>105</v>
      </c>
      <c r="V27" t="s">
        <v>55</v>
      </c>
    </row>
    <row r="28" spans="1:22" ht="15.75" hidden="1" customHeight="1" thickBot="1" x14ac:dyDescent="0.3">
      <c r="A28" t="s">
        <v>7944</v>
      </c>
      <c r="B28" s="1" t="s">
        <v>9090</v>
      </c>
      <c r="C28" t="s">
        <v>1</v>
      </c>
      <c r="D28" s="1" t="s">
        <v>7706</v>
      </c>
      <c r="E28" t="s">
        <v>9062</v>
      </c>
      <c r="F28" t="s">
        <v>9063</v>
      </c>
      <c r="G28">
        <v>24</v>
      </c>
      <c r="H28">
        <v>24</v>
      </c>
      <c r="I28">
        <v>24</v>
      </c>
      <c r="J28">
        <v>24</v>
      </c>
      <c r="L28" s="2">
        <v>0</v>
      </c>
      <c r="M28" s="2">
        <v>0</v>
      </c>
      <c r="N28" s="2">
        <v>0</v>
      </c>
      <c r="O28" s="2">
        <v>105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36">
        <v>105</v>
      </c>
      <c r="V28" t="s">
        <v>55</v>
      </c>
    </row>
    <row r="29" spans="1:22" ht="15.75" hidden="1" customHeight="1" thickBot="1" x14ac:dyDescent="0.3">
      <c r="A29" t="s">
        <v>7944</v>
      </c>
      <c r="B29" s="1" t="s">
        <v>9089</v>
      </c>
      <c r="C29" t="s">
        <v>1</v>
      </c>
      <c r="D29" s="1" t="s">
        <v>7706</v>
      </c>
      <c r="E29" t="s">
        <v>9062</v>
      </c>
      <c r="F29" t="s">
        <v>9063</v>
      </c>
      <c r="G29">
        <v>3</v>
      </c>
      <c r="H29">
        <v>3</v>
      </c>
      <c r="I29">
        <v>3</v>
      </c>
      <c r="J29">
        <v>3</v>
      </c>
      <c r="L29" s="2">
        <v>0</v>
      </c>
      <c r="M29" s="2">
        <v>0</v>
      </c>
      <c r="N29" s="2">
        <v>0</v>
      </c>
      <c r="O29" s="2">
        <v>1525.5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1525.5</v>
      </c>
      <c r="V29" t="s">
        <v>55</v>
      </c>
    </row>
    <row r="30" spans="1:22" ht="15.75" hidden="1" customHeight="1" thickBot="1" x14ac:dyDescent="0.3">
      <c r="A30" t="s">
        <v>7981</v>
      </c>
      <c r="B30" s="1" t="s">
        <v>9088</v>
      </c>
      <c r="C30" t="s">
        <v>1</v>
      </c>
      <c r="D30" s="1" t="s">
        <v>7706</v>
      </c>
      <c r="E30" t="s">
        <v>9062</v>
      </c>
      <c r="F30" t="s">
        <v>9063</v>
      </c>
      <c r="G30">
        <v>4</v>
      </c>
      <c r="H30">
        <v>4</v>
      </c>
      <c r="I30">
        <v>4</v>
      </c>
      <c r="J30">
        <v>4</v>
      </c>
      <c r="L30" s="2">
        <v>0</v>
      </c>
      <c r="M30" s="2">
        <v>0</v>
      </c>
      <c r="N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V30" t="s">
        <v>55</v>
      </c>
    </row>
    <row r="31" spans="1:22" ht="15.75" hidden="1" customHeight="1" thickBot="1" x14ac:dyDescent="0.3">
      <c r="A31" t="s">
        <v>7981</v>
      </c>
      <c r="B31" s="1" t="s">
        <v>9088</v>
      </c>
      <c r="C31" t="s">
        <v>1</v>
      </c>
      <c r="D31" s="1" t="s">
        <v>7706</v>
      </c>
      <c r="E31" t="s">
        <v>9062</v>
      </c>
      <c r="F31" t="s">
        <v>9063</v>
      </c>
      <c r="G31">
        <v>25</v>
      </c>
      <c r="H31">
        <v>25</v>
      </c>
      <c r="I31">
        <v>25</v>
      </c>
      <c r="J31">
        <v>25</v>
      </c>
      <c r="L31" s="2">
        <v>0</v>
      </c>
      <c r="M31" s="2">
        <v>0</v>
      </c>
      <c r="N31" s="2">
        <v>0</v>
      </c>
      <c r="O31" s="2">
        <v>105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136">
        <v>105</v>
      </c>
      <c r="V31" t="s">
        <v>55</v>
      </c>
    </row>
    <row r="32" spans="1:22" ht="15.75" hidden="1" customHeight="1" thickBot="1" x14ac:dyDescent="0.3">
      <c r="A32" t="s">
        <v>8153</v>
      </c>
      <c r="B32" s="1" t="s">
        <v>9087</v>
      </c>
      <c r="C32" t="s">
        <v>1</v>
      </c>
      <c r="D32" s="1" t="s">
        <v>7706</v>
      </c>
      <c r="E32" t="s">
        <v>9062</v>
      </c>
      <c r="F32" t="s">
        <v>9063</v>
      </c>
      <c r="G32">
        <v>26</v>
      </c>
      <c r="H32">
        <v>26</v>
      </c>
      <c r="I32">
        <v>26</v>
      </c>
      <c r="J32">
        <v>26</v>
      </c>
      <c r="L32" s="2">
        <v>0</v>
      </c>
      <c r="M32" s="2">
        <v>0</v>
      </c>
      <c r="N32" s="2">
        <v>0</v>
      </c>
      <c r="O32" s="2">
        <v>60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136">
        <v>60</v>
      </c>
      <c r="V32" t="s">
        <v>55</v>
      </c>
    </row>
    <row r="33" spans="1:22" ht="15.75" hidden="1" customHeight="1" thickBot="1" x14ac:dyDescent="0.3">
      <c r="A33" t="s">
        <v>8153</v>
      </c>
      <c r="B33" s="1" t="s">
        <v>9086</v>
      </c>
      <c r="C33" t="s">
        <v>1</v>
      </c>
      <c r="D33" s="1" t="s">
        <v>7706</v>
      </c>
      <c r="E33" t="s">
        <v>9062</v>
      </c>
      <c r="F33" t="s">
        <v>9063</v>
      </c>
      <c r="G33">
        <v>27</v>
      </c>
      <c r="H33">
        <v>27</v>
      </c>
      <c r="I33">
        <v>27</v>
      </c>
      <c r="J33">
        <v>27</v>
      </c>
      <c r="L33" s="2">
        <v>0</v>
      </c>
      <c r="M33" s="2">
        <v>0</v>
      </c>
      <c r="N33" s="2">
        <v>0</v>
      </c>
      <c r="O33" s="2">
        <v>60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136">
        <v>60</v>
      </c>
      <c r="V33" t="s">
        <v>55</v>
      </c>
    </row>
    <row r="34" spans="1:22" ht="15.75" hidden="1" customHeight="1" thickBot="1" x14ac:dyDescent="0.3">
      <c r="A34" t="s">
        <v>8153</v>
      </c>
      <c r="B34" s="1" t="s">
        <v>9085</v>
      </c>
      <c r="C34" t="s">
        <v>1</v>
      </c>
      <c r="D34" s="1" t="s">
        <v>7706</v>
      </c>
      <c r="E34" t="s">
        <v>9062</v>
      </c>
      <c r="F34" t="s">
        <v>9063</v>
      </c>
      <c r="G34">
        <v>28</v>
      </c>
      <c r="H34">
        <v>28</v>
      </c>
      <c r="I34">
        <v>28</v>
      </c>
      <c r="J34">
        <v>28</v>
      </c>
      <c r="L34" s="2">
        <v>0</v>
      </c>
      <c r="M34" s="2">
        <v>0</v>
      </c>
      <c r="N34" s="2">
        <v>0</v>
      </c>
      <c r="O34" s="2">
        <v>97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136">
        <v>97</v>
      </c>
      <c r="V34" t="s">
        <v>55</v>
      </c>
    </row>
    <row r="35" spans="1:22" ht="15.75" hidden="1" customHeight="1" thickBot="1" x14ac:dyDescent="0.3">
      <c r="A35" t="s">
        <v>8153</v>
      </c>
      <c r="B35" s="1" t="s">
        <v>9085</v>
      </c>
      <c r="C35" t="s">
        <v>1</v>
      </c>
      <c r="D35" s="1" t="s">
        <v>7706</v>
      </c>
      <c r="E35" t="s">
        <v>9062</v>
      </c>
      <c r="F35" t="s">
        <v>9063</v>
      </c>
      <c r="G35">
        <v>29</v>
      </c>
      <c r="H35">
        <v>29</v>
      </c>
      <c r="I35">
        <v>29</v>
      </c>
      <c r="J35">
        <v>29</v>
      </c>
      <c r="L35" s="2">
        <v>0</v>
      </c>
      <c r="M35" s="2">
        <v>0</v>
      </c>
      <c r="N35" s="2">
        <v>0</v>
      </c>
      <c r="O35" s="2">
        <v>138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136">
        <v>138</v>
      </c>
      <c r="V35" t="s">
        <v>55</v>
      </c>
    </row>
    <row r="36" spans="1:22" ht="15.75" hidden="1" customHeight="1" thickBot="1" x14ac:dyDescent="0.3">
      <c r="A36" t="s">
        <v>8153</v>
      </c>
      <c r="B36" s="1" t="s">
        <v>9084</v>
      </c>
      <c r="C36" t="s">
        <v>1</v>
      </c>
      <c r="D36" s="1" t="s">
        <v>7706</v>
      </c>
      <c r="E36" t="s">
        <v>9062</v>
      </c>
      <c r="F36" t="s">
        <v>9063</v>
      </c>
      <c r="G36">
        <v>30</v>
      </c>
      <c r="H36">
        <v>30</v>
      </c>
      <c r="I36">
        <v>30</v>
      </c>
      <c r="J36">
        <v>30</v>
      </c>
      <c r="L36" s="2">
        <v>0</v>
      </c>
      <c r="M36" s="2">
        <v>0</v>
      </c>
      <c r="N36" s="2">
        <v>0</v>
      </c>
      <c r="O36" s="2">
        <v>97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136">
        <v>97</v>
      </c>
      <c r="V36" t="s">
        <v>55</v>
      </c>
    </row>
    <row r="37" spans="1:22" ht="15.75" thickBot="1" x14ac:dyDescent="0.3">
      <c r="A37" s="127" t="s">
        <v>76</v>
      </c>
      <c r="B37" s="128"/>
      <c r="C37" s="128"/>
      <c r="D37" s="128"/>
      <c r="E37" s="128"/>
      <c r="F37" s="128"/>
      <c r="G37" s="128"/>
      <c r="H37" s="128"/>
      <c r="I37" s="128"/>
      <c r="J37" s="128"/>
      <c r="K37" s="129"/>
      <c r="L37" s="4">
        <f>+SUBTOTAL(9,Tabla3[V EXENTA])</f>
        <v>0</v>
      </c>
      <c r="M37" s="4">
        <f>+SUBTOTAL(9,Tabla3[VENTAS NO])</f>
        <v>0</v>
      </c>
      <c r="N37" s="4">
        <f>+SUBTOTAL(9,Tabla3[V NO SUJETAS])</f>
        <v>0</v>
      </c>
      <c r="O37" s="4">
        <f>+SUBTOTAL(9,Tabla3[V GRAVADAS])</f>
        <v>990.5</v>
      </c>
      <c r="P37" s="4">
        <f>+SUBTOTAL(9,Tabla3[EX IN CA])</f>
        <v>0</v>
      </c>
      <c r="Q37" s="4">
        <f>+SUBTOTAL(9,Tabla3[EX OUT CA])</f>
        <v>0</v>
      </c>
      <c r="R37" s="4">
        <f>+SUBTOTAL(9,Tabla3[EX SERVICE])</f>
        <v>0</v>
      </c>
      <c r="S37" s="4">
        <f>+SUBTOTAL(9,Tabla3[V ZONA FRAN])</f>
        <v>0</v>
      </c>
      <c r="T37" s="4">
        <f>+SUBTOTAL(9,Tabla3[V CTA A 3ERO])</f>
        <v>0</v>
      </c>
      <c r="U37" s="4">
        <f>+SUBTOTAL(9,Tabla3[TOTAL VENTA])</f>
        <v>990.5</v>
      </c>
    </row>
    <row r="38" spans="1:22" x14ac:dyDescent="0.25">
      <c r="O38" s="2">
        <f>O37/1.13</f>
        <v>876.54867256637181</v>
      </c>
    </row>
    <row r="39" spans="1:22" x14ac:dyDescent="0.25">
      <c r="O39" s="2">
        <f>O38*0.13</f>
        <v>113.95132743362834</v>
      </c>
    </row>
  </sheetData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topLeftCell="A22" workbookViewId="0">
      <selection activeCell="A23" sqref="A2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479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23" t="s">
        <v>7728</v>
      </c>
      <c r="B4062" t="s">
        <v>7729</v>
      </c>
    </row>
    <row r="4063" spans="1:2" x14ac:dyDescent="0.25">
      <c r="A4063" s="123" t="s">
        <v>7730</v>
      </c>
      <c r="B4063" t="s">
        <v>7731</v>
      </c>
    </row>
    <row r="4064" spans="1:2" x14ac:dyDescent="0.25">
      <c r="A4064" s="123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23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23" t="s">
        <v>7978</v>
      </c>
      <c r="B4078" t="s">
        <v>7979</v>
      </c>
    </row>
    <row r="4079" spans="1:2" x14ac:dyDescent="0.25">
      <c r="A4079" s="123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23" t="s">
        <v>7986</v>
      </c>
      <c r="B4081" t="s">
        <v>7987</v>
      </c>
    </row>
    <row r="4082" spans="1:2" x14ac:dyDescent="0.25">
      <c r="A4082" s="123" t="s">
        <v>7988</v>
      </c>
      <c r="B4082" t="s">
        <v>7989</v>
      </c>
    </row>
    <row r="4083" spans="1:2" x14ac:dyDescent="0.25">
      <c r="A4083" s="123" t="s">
        <v>7990</v>
      </c>
      <c r="B4083" t="s">
        <v>7991</v>
      </c>
    </row>
    <row r="4084" spans="1:2" x14ac:dyDescent="0.25">
      <c r="A4084" s="123" t="s">
        <v>7992</v>
      </c>
      <c r="B4084" t="s">
        <v>7993</v>
      </c>
    </row>
    <row r="4085" spans="1:2" x14ac:dyDescent="0.25">
      <c r="A4085" s="123" t="s">
        <v>7994</v>
      </c>
      <c r="B4085" t="s">
        <v>7995</v>
      </c>
    </row>
    <row r="4086" spans="1:2" x14ac:dyDescent="0.25">
      <c r="A4086" s="123" t="s">
        <v>7996</v>
      </c>
      <c r="B4086" t="s">
        <v>7997</v>
      </c>
    </row>
    <row r="4087" spans="1:2" x14ac:dyDescent="0.25">
      <c r="A4087" s="123" t="s">
        <v>7998</v>
      </c>
      <c r="B4087" t="s">
        <v>7999</v>
      </c>
    </row>
    <row r="4088" spans="1:2" x14ac:dyDescent="0.25">
      <c r="A4088" s="123" t="s">
        <v>8000</v>
      </c>
      <c r="B4088" t="s">
        <v>8001</v>
      </c>
    </row>
    <row r="4089" spans="1:2" x14ac:dyDescent="0.25">
      <c r="A4089" s="123" t="s">
        <v>8002</v>
      </c>
      <c r="B4089" t="s">
        <v>8003</v>
      </c>
    </row>
    <row r="4090" spans="1:2" x14ac:dyDescent="0.25">
      <c r="A4090" s="123" t="s">
        <v>8004</v>
      </c>
      <c r="B4090" t="s">
        <v>8005</v>
      </c>
    </row>
    <row r="4091" spans="1:2" x14ac:dyDescent="0.25">
      <c r="A4091" s="123" t="s">
        <v>8006</v>
      </c>
      <c r="B4091" t="s">
        <v>8007</v>
      </c>
    </row>
    <row r="4092" spans="1:2" x14ac:dyDescent="0.25">
      <c r="A4092" s="123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23" t="s">
        <v>8016</v>
      </c>
      <c r="B4095" t="s">
        <v>8017</v>
      </c>
    </row>
    <row r="4096" spans="1:2" x14ac:dyDescent="0.25">
      <c r="A4096" s="123" t="s">
        <v>8018</v>
      </c>
      <c r="B4096" t="s">
        <v>8019</v>
      </c>
    </row>
    <row r="4097" spans="1:2" x14ac:dyDescent="0.25">
      <c r="A4097" s="123" t="s">
        <v>8020</v>
      </c>
      <c r="B4097" t="s">
        <v>8021</v>
      </c>
    </row>
    <row r="4098" spans="1:2" x14ac:dyDescent="0.25">
      <c r="A4098" s="123" t="s">
        <v>8022</v>
      </c>
      <c r="B4098" t="s">
        <v>811</v>
      </c>
    </row>
    <row r="4099" spans="1:2" x14ac:dyDescent="0.25">
      <c r="A4099" s="123" t="s">
        <v>8023</v>
      </c>
      <c r="B4099" t="s">
        <v>8024</v>
      </c>
    </row>
    <row r="4100" spans="1:2" x14ac:dyDescent="0.25">
      <c r="A4100" s="123" t="s">
        <v>8025</v>
      </c>
      <c r="B4100" t="s">
        <v>8026</v>
      </c>
    </row>
    <row r="4101" spans="1:2" x14ac:dyDescent="0.25">
      <c r="A4101" s="123" t="s">
        <v>8027</v>
      </c>
      <c r="B4101" t="s">
        <v>8028</v>
      </c>
    </row>
    <row r="4102" spans="1:2" x14ac:dyDescent="0.25">
      <c r="A4102" s="123" t="s">
        <v>8029</v>
      </c>
      <c r="B4102" t="s">
        <v>8030</v>
      </c>
    </row>
    <row r="4103" spans="1:2" x14ac:dyDescent="0.25">
      <c r="A4103" s="123" t="s">
        <v>8031</v>
      </c>
      <c r="B4103" t="s">
        <v>8032</v>
      </c>
    </row>
    <row r="4104" spans="1:2" x14ac:dyDescent="0.25">
      <c r="A4104" s="123" t="s">
        <v>8033</v>
      </c>
      <c r="B4104" t="s">
        <v>8034</v>
      </c>
    </row>
    <row r="4105" spans="1:2" x14ac:dyDescent="0.25">
      <c r="A4105" s="123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4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6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5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zoomScaleNormal="100" workbookViewId="0">
      <selection activeCell="E3" sqref="E3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4"/>
      <c r="C1" s="135"/>
      <c r="D1" s="132" t="s">
        <v>8954</v>
      </c>
      <c r="E1" s="133"/>
      <c r="F1" s="133"/>
      <c r="I1" s="89"/>
    </row>
    <row r="3" spans="1:10 16383:16383" ht="21.75" customHeight="1" x14ac:dyDescent="0.25">
      <c r="D3" s="85" t="s">
        <v>8573</v>
      </c>
      <c r="E3" s="86" t="s">
        <v>8324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GRAVADAS]],Tabla3[[#All],[MES]],Tabla7[[#Headers],[JULIO]])/(1.13),2)</f>
        <v>876.55</v>
      </c>
      <c r="F4" s="94"/>
      <c r="G4" s="111"/>
      <c r="H4" s="92" t="s">
        <v>8759</v>
      </c>
      <c r="I4" s="116">
        <f>ROUND(F7*0.13-F11*0.13-E13-E14,2)</f>
        <v>113.95</v>
      </c>
      <c r="XFC4" t="s">
        <v>7981</v>
      </c>
    </row>
    <row r="5" spans="1:10 16383:16383" ht="18" customHeight="1" x14ac:dyDescent="0.25">
      <c r="D5" s="92" t="s">
        <v>8760</v>
      </c>
      <c r="E5" s="93">
        <f>ROUND(SUMIFS(Tabla2[[#All],[V. GRAVADA]],Tabla2[[#All],[MES]],Tabla7[[#Headers],[JULIO]],Tabla2[[#All],[TIPO DE DOC]],3),2)</f>
        <v>0</v>
      </c>
      <c r="F5" s="94"/>
      <c r="G5" s="77"/>
      <c r="H5" s="92" t="s">
        <v>8761</v>
      </c>
      <c r="I5" s="102">
        <f>ROUND(F7*0.0175,2)+E15</f>
        <v>15.34</v>
      </c>
      <c r="XFC5" t="s">
        <v>8153</v>
      </c>
    </row>
    <row r="6" spans="1:10 16383:16383" ht="18" customHeight="1" x14ac:dyDescent="0.25">
      <c r="D6" s="92" t="s">
        <v>8762</v>
      </c>
      <c r="E6" s="93">
        <f>ROUND(SUMIFS(Tabla2[[#All],[V. GRAVADA]],Tabla2[[#All],[MES]],Tabla7[[#Headers],[JULIO]],Tabla2[[#All],[TIPO DE DOC]],5),2)</f>
        <v>0</v>
      </c>
      <c r="F6" s="94"/>
      <c r="G6" s="111"/>
      <c r="H6" s="109" t="s">
        <v>8763</v>
      </c>
      <c r="I6" s="103">
        <f>SUM(I4:I5)</f>
        <v>129.29</v>
      </c>
      <c r="XFC6" t="s">
        <v>8265</v>
      </c>
    </row>
    <row r="7" spans="1:10 16383:16383" ht="18" customHeight="1" x14ac:dyDescent="0.25">
      <c r="D7" s="120" t="s">
        <v>8773</v>
      </c>
      <c r="E7" s="121"/>
      <c r="F7" s="122">
        <f>+E4+E5-E6</f>
        <v>876.55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8764</v>
      </c>
      <c r="E8" s="93">
        <f>SUMIFS(Tabla1[[#All],[C. GRAVADA]],Tabla1[[#All],[MES]],Tabla7[[#Headers],[JULIO]],Tabla1[[#All],[TIPO DE DOC]],"03")</f>
        <v>0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8765</v>
      </c>
      <c r="E9" s="93">
        <f>SUMIFS(Tabla1[[#All],[IMPOR BIENES]],Tabla1[[#All],[MES]],Tabla7[[#Headers],[JULIO]],Tabla1[[#All],[TIPO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8766</v>
      </c>
      <c r="E10" s="93">
        <f>SUMIFS(Tabla1[[#All],[C. GRAVADA]],Tabla1[[#All],[MES]],Tabla7[[#Headers],[JULIO]],Tabla1[[#All],[TIPO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8774</v>
      </c>
      <c r="E11" s="121"/>
      <c r="F11" s="122">
        <f>IFERROR(+E8+E9-E10,"")</f>
        <v>0</v>
      </c>
      <c r="G11" s="15"/>
      <c r="XFC11" t="s">
        <v>8326</v>
      </c>
    </row>
    <row r="12" spans="1:10 16383:16383" ht="18" customHeight="1" x14ac:dyDescent="0.25">
      <c r="D12" s="92" t="s">
        <v>8767</v>
      </c>
      <c r="E12" s="93">
        <f>SUMIFS(Tabla1[[#All],[C. EXENTAS]],Tabla1[[#All],[MES]],Tabla7[[#Headers],[JULIO]],Tabla1[[#All],[TIPO DE DOC]],"03")</f>
        <v>0</v>
      </c>
      <c r="F12" s="97"/>
      <c r="G12" s="15"/>
      <c r="XFC12" t="s">
        <v>8327</v>
      </c>
    </row>
    <row r="13" spans="1:10 16383:16383" ht="18" customHeight="1" x14ac:dyDescent="0.25">
      <c r="D13" s="92" t="s">
        <v>8768</v>
      </c>
      <c r="E13" s="93">
        <f>SUMIFS(Tabla1[[#All],[PERCEPCIONES]],Tabla1[[#All],[MES]],Tabla7[[#Headers],[JULIO]],Tabla1[[#All],[TIPO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8769</v>
      </c>
      <c r="E14" s="93">
        <f>SUMIFS(Tabla6[[#Headers],[#Data],[Monto Retención 1%]],Tabla6[[#Headers],[#Data],[Mes]],Tabla7[[#Headers],[JULIO]])</f>
        <v>0</v>
      </c>
      <c r="F14" s="99"/>
      <c r="XFC14" t="s">
        <v>8329</v>
      </c>
    </row>
    <row r="15" spans="1:10 16383:16383" ht="18" customHeight="1" x14ac:dyDescent="0.25">
      <c r="D15" s="100" t="s">
        <v>8770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pablo</cp:lastModifiedBy>
  <cp:lastPrinted>2022-12-13T14:09:17Z</cp:lastPrinted>
  <dcterms:created xsi:type="dcterms:W3CDTF">2021-04-05T22:54:25Z</dcterms:created>
  <dcterms:modified xsi:type="dcterms:W3CDTF">2023-08-22T16:27:18Z</dcterms:modified>
</cp:coreProperties>
</file>