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7845" tabRatio="696" activeTab="1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4" r:id="rId9"/>
    <sheet name="DECLARACION" sheetId="13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'Libro de Consumidor'!$O$5</definedName>
    <definedName name="_xlnm._FilterDatabase" localSheetId="8" hidden="1">'RET 1%'!$A$1:$J$3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6" l="1"/>
  <c r="D11" i="5" l="1"/>
  <c r="F10" i="6" l="1"/>
  <c r="G10" i="6" s="1"/>
  <c r="F13" i="6"/>
  <c r="G13" i="6" s="1"/>
  <c r="H4" i="14" l="1"/>
  <c r="I18" i="13" s="1"/>
  <c r="G4" i="14"/>
  <c r="G4" i="13"/>
  <c r="G9" i="13" s="1"/>
  <c r="I8" i="13"/>
  <c r="R40" i="12"/>
  <c r="P40" i="12"/>
  <c r="O40" i="12"/>
  <c r="K40" i="12"/>
  <c r="F14" i="13" s="1"/>
  <c r="F15" i="13" s="1"/>
  <c r="F18" i="13" s="1"/>
  <c r="H40" i="12"/>
  <c r="G14" i="13" s="1"/>
  <c r="G1" i="11" l="1"/>
  <c r="C637" i="11" l="1"/>
  <c r="B637" i="11"/>
  <c r="D637" i="11" s="1"/>
  <c r="D19" i="6" l="1"/>
  <c r="R4" i="10" l="1"/>
  <c r="J4" i="13" s="1"/>
  <c r="J9" i="13" s="1"/>
  <c r="U4" i="10" l="1"/>
  <c r="O4" i="10"/>
  <c r="I4" i="13" s="1"/>
  <c r="I5" i="13" s="1"/>
  <c r="I9" i="13" s="1"/>
  <c r="V4" i="10"/>
  <c r="U5" i="8"/>
  <c r="R5" i="8"/>
  <c r="Q5" i="8"/>
  <c r="H4" i="13" s="1"/>
  <c r="H9" i="13" s="1"/>
  <c r="W5" i="8"/>
  <c r="G4" i="6"/>
  <c r="F4" i="6"/>
  <c r="J4" i="6" l="1"/>
  <c r="D4" i="6" s="1"/>
  <c r="K9" i="13"/>
  <c r="I14" i="13"/>
  <c r="I15" i="13" s="1"/>
  <c r="D9" i="5"/>
  <c r="K13" i="13" l="1"/>
  <c r="K14" i="13" s="1"/>
  <c r="L14" i="13" s="1"/>
  <c r="G18" i="13" s="1"/>
  <c r="G19" i="13" s="1"/>
  <c r="H18" i="13" s="1"/>
  <c r="J18" i="13" s="1"/>
  <c r="L9" i="13"/>
  <c r="L16" i="13" l="1"/>
  <c r="M10" i="13"/>
  <c r="D9" i="9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<sst xmlns="http://schemas.openxmlformats.org/spreadsheetml/2006/main" count="728" uniqueCount="351">
  <si>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</si>
  <si>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</si>
  <si>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</si>
  <si>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</si>
  <si>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</si>
  <si>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</si>
  <si>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</si>
  <si>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</si>
  <si>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</si>
  <si>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</si>
  <si>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</si>
  <si>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</si>
  <si>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</si>
  <si>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</si>
  <si>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</si>
  <si>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</si>
  <si>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</si>
  <si>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</si>
  <si>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</si>
  <si>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</si>
  <si>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</si>
  <si>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</si>
  <si>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</si>
  <si>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</si>
  <si>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</si>
  <si>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</si>
  <si>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</si>
  <si>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</si>
  <si>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</si>
  <si>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</si>
  <si>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</si>
  <si>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</si>
  <si>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</si>
  <si>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</si>
  <si>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</si>
  <si>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</si>
  <si>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</si>
  <si>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</si>
  <si>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</si>
  <si>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</si>
  <si>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</si>
  <si>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</si>
  <si>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</si>
  <si>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</si>
  <si>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</si>
  <si>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</si>
  <si>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</si>
  <si>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</si>
  <si>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</si>
  <si>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</si>
  <si>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</si>
  <si>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</si>
  <si>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</si>
  <si>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</si>
  <si>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</si>
  <si>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</si>
  <si>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</si>
  <si>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</si>
  <si>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</si>
  <si>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</si>
  <si>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</si>
  <si>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</si>
  <si>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</si>
  <si>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</si>
  <si>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</si>
  <si>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</si>
  <si>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</si>
  <si>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</si>
  <si>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</si>
  <si>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</si>
  <si>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</si>
  <si>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</si>
  <si>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</si>
  <si>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</si>
  <si>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</si>
  <si>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</si>
  <si>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</si>
  <si>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</si>
  <si>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</si>
  <si>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</si>
  <si>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</si>
  <si>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</si>
  <si>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</si>
  <si>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</si>
  <si>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</si>
  <si>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</si>
  <si>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</si>
  <si>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</si>
  <si>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</si>
  <si>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</si>
  <si>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</si>
  <si>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</si>
  <si>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</si>
  <si>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</si>
  <si>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</si>
  <si>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</si>
  <si>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</si>
  <si>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</si>
  <si>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12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</si>
  <si>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</si>
  <si>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</si>
  <si>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</si>
  <si>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</si>
  <si>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</si>
  <si>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</si>
  <si>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</si>
  <si>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</si>
  <si>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</si>
  <si>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</si>
  <si>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</si>
  <si>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</si>
  <si>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MEGABLOCK S.A DE C.V.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</si>
  <si>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</si>
  <si>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</si>
  <si>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</si>
  <si>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</si>
  <si>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</si>
  <si>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</si>
  <si>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</si>
  <si>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</si>
  <si>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</si>
  <si>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</si>
  <si>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</si>
  <si>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</si>
  <si>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</si>
  <si>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</si>
  <si>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</si>
  <si>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</si>
  <si>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</si>
  <si>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</si>
  <si>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</si>
  <si>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</si>
  <si>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</si>
  <si>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</si>
  <si>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</si>
  <si>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</si>
  <si>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</si>
  <si>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</si>
  <si>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</si>
  <si>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</si>
  <si>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</si>
  <si>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</si>
  <si>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</si>
  <si>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</si>
  <si>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</si>
  <si>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</si>
  <si>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</si>
  <si>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</si>
  <si>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</si>
  <si>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</si>
  <si>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</si>
  <si>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</si>
  <si>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</si>
  <si>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</si>
  <si>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</si>
  <si>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</si>
  <si>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</si>
  <si>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</si>
  <si>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</si>
  <si>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</si>
  <si>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</si>
  <si>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</si>
  <si>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</si>
  <si>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</si>
  <si>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</si>
  <si>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</si>
  <si>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</si>
  <si>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</si>
  <si>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</si>
  <si>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</si>
  <si>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</si>
  <si>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</si>
  <si>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</si>
  <si>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</si>
  <si>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2021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</si>
  <si>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</si>
  <si>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</si>
  <si>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</si>
  <si>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</si>
  <si>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</si>
  <si>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</si>
  <si>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</si>
  <si>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</si>
  <si>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</si>
  <si>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</si>
  <si>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</si>
  <si>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</si>
  <si>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</si>
  <si>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</si>
  <si>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</si>
  <si>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</si>
  <si>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</si>
  <si>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</si>
  <si>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</si>
  <si>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</si>
  <si>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</si>
  <si>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</si>
  <si>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06142704091010</t>
  </si>
  <si>
    <t>06143006991020</t>
  </si>
  <si>
    <t>05010702161018</t>
  </si>
  <si>
    <t>05032407751016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</si>
  <si>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</si>
  <si>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</si>
  <si>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</si>
  <si>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</si>
  <si>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</si>
  <si>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</si>
  <si>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</si>
  <si>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</si>
  <si>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</si>
  <si>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</si>
  <si>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</si>
  <si>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</si>
  <si>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</si>
  <si>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</si>
  <si>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</si>
  <si>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</si>
  <si>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</si>
  <si>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</si>
  <si>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</si>
  <si>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</si>
  <si>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</si>
  <si>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</si>
  <si>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</si>
  <si>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</si>
  <si>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</si>
  <si>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</si>
  <si>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</si>
  <si>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</si>
  <si>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</si>
  <si>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</si>
  <si>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06143107971090</t>
  </si>
  <si>
    <t>OPERADORA DEL SUR, S. A. DE C.V.</t>
  </si>
  <si>
    <t>06141210830014</t>
  </si>
  <si>
    <t>PRODUCTOS CARNICOS S.A DE C.V.</t>
  </si>
  <si>
    <t>06143101550016</t>
  </si>
  <si>
    <t>BANCO AGRICOLA, S.A.</t>
  </si>
  <si>
    <t>06140101850027</t>
  </si>
  <si>
    <t>NEGOCIOS CAMYRAM S.A DE C.V</t>
  </si>
  <si>
    <t>06141009650016</t>
  </si>
  <si>
    <t>INDUSTRIAS MIKE MIKE S.A DE C.V.</t>
  </si>
  <si>
    <t>06142510021011</t>
  </si>
  <si>
    <t>LA CONSTANCIA LTDA DE C.V.</t>
  </si>
  <si>
    <t>06142808031087</t>
  </si>
  <si>
    <t>INVERSIONES STANLEY PACIFICO S.A DE C.V.</t>
  </si>
  <si>
    <t>06141111931016</t>
  </si>
  <si>
    <t>ENMANUEL S.A DE C.V.</t>
  </si>
  <si>
    <t>06140909921072</t>
  </si>
  <si>
    <t>POLYBAG S.A DE C.V.</t>
  </si>
  <si>
    <t>06141206740014</t>
  </si>
  <si>
    <t>NEMTEX S.A DE C.V.</t>
  </si>
  <si>
    <t>06142411181015</t>
  </si>
  <si>
    <t>INGENIERIA BEM S.A DE C.V.</t>
  </si>
  <si>
    <t>06142910131029</t>
  </si>
  <si>
    <t>UNILEVER EL SALVADOR SCC S.A DE C.V.</t>
  </si>
  <si>
    <t>06141511720027</t>
  </si>
  <si>
    <t>SUPER REPUESTOS EL SALVADOR S.A DE C.V.</t>
  </si>
  <si>
    <t>06140202021024</t>
  </si>
  <si>
    <t>PROGURSA S.A DE C.V.</t>
  </si>
  <si>
    <t>06142301690017</t>
  </si>
  <si>
    <t>HOTELES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</si>
  <si>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</si>
  <si>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</si>
  <si>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</si>
  <si>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</si>
  <si>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</si>
  <si>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</si>
  <si>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06141512001054</t>
  </si>
  <si>
    <t>GRUPO PAILL S.A DE C.V.</t>
  </si>
  <si>
    <t>06142311981022</t>
  </si>
  <si>
    <t>COMTRI S.A DE C.V.</t>
  </si>
  <si>
    <t>06142402121034</t>
  </si>
  <si>
    <t>BOMBOM S.A DE C.V.</t>
  </si>
  <si>
    <t>06142708620024</t>
  </si>
  <si>
    <t>ESTABLECIMIENTOS ANCALMO, S.A DE C.V</t>
  </si>
  <si>
    <t>06140702001011</t>
  </si>
  <si>
    <t>CORPORACION GRS S.A DE C.V.</t>
  </si>
  <si>
    <t>06140901921022</t>
  </si>
  <si>
    <t>GRANJA EL ROBLE S.A DE C.V.</t>
  </si>
  <si>
    <t>06141606921025</t>
  </si>
  <si>
    <t>UNEX S.A DE C.V.</t>
  </si>
  <si>
    <t>15041RESIN026032022</t>
  </si>
  <si>
    <t>22SD000C</t>
  </si>
  <si>
    <t>06142407500017</t>
  </si>
  <si>
    <t>GUILLERMO E. MIGUEL B.</t>
  </si>
  <si>
    <t>14070503650018</t>
  </si>
  <si>
    <t>CARLOS DANIS RAMIREZ VENTURA</t>
  </si>
  <si>
    <t>06142410141010</t>
  </si>
  <si>
    <t xml:space="preserve">ACTIVIDADES PETROLERAS DE EL SALVADOR S.A DE C.V </t>
  </si>
  <si>
    <t>05111912911017</t>
  </si>
  <si>
    <t>NEDECAZA S.A DE C.V.</t>
  </si>
  <si>
    <t>02101911710016</t>
  </si>
  <si>
    <t>ALMACENES VIDRI, S.A DE C.V.</t>
  </si>
  <si>
    <t>12151607530013</t>
  </si>
  <si>
    <t>NORBERTO GOMEZ CAMPOS</t>
  </si>
  <si>
    <t>025591767</t>
  </si>
  <si>
    <t>0</t>
  </si>
  <si>
    <t>JUAN PABLO VIAUD MEDINA</t>
  </si>
  <si>
    <t>11150801560014</t>
  </si>
  <si>
    <t>CEBERIN AYALA DE PAZ</t>
  </si>
  <si>
    <t>19/01/2023</t>
  </si>
  <si>
    <t>2023</t>
  </si>
  <si>
    <t>06141302891030</t>
  </si>
  <si>
    <t>28/01/2023</t>
  </si>
  <si>
    <t>VIVEROS SANTAMARIA S.A DE C.V.</t>
  </si>
  <si>
    <t>18/01/2023</t>
  </si>
  <si>
    <t>20/01/2023</t>
  </si>
  <si>
    <t>23/01/2023</t>
  </si>
  <si>
    <t>13/01/2023</t>
  </si>
  <si>
    <t>03/01/2023</t>
  </si>
  <si>
    <t>14/01/2023</t>
  </si>
  <si>
    <t>FEBRERO</t>
  </si>
  <si>
    <t>06141811971019</t>
  </si>
  <si>
    <t>16/02/2023</t>
  </si>
  <si>
    <t>MULTI-TECNOLOGICA S.A DE C.V.</t>
  </si>
  <si>
    <t>14/02/2023</t>
  </si>
  <si>
    <t>22/02/2023</t>
  </si>
  <si>
    <t>06140207670045</t>
  </si>
  <si>
    <t>28/02/2023</t>
  </si>
  <si>
    <t>MARIO ALBERTO MIRANDA FONSECA</t>
  </si>
  <si>
    <t>01/02/2023</t>
  </si>
  <si>
    <t>06140210081052</t>
  </si>
  <si>
    <t>31/01/2023</t>
  </si>
  <si>
    <t>FERRETERIA EPA S.A DE C.V.</t>
  </si>
  <si>
    <t>21/01/2023</t>
  </si>
  <si>
    <t>MARZO</t>
  </si>
  <si>
    <t>29/03/2023</t>
  </si>
  <si>
    <t>27/03/2023</t>
  </si>
  <si>
    <t>25/03/2023</t>
  </si>
  <si>
    <t>26/03/2023</t>
  </si>
  <si>
    <t>23/03/2023</t>
  </si>
  <si>
    <t>21/03/2023</t>
  </si>
  <si>
    <t>18/03/2023</t>
  </si>
  <si>
    <t>13/03/2023</t>
  </si>
  <si>
    <t>10/03/2023</t>
  </si>
  <si>
    <t>06142506670028</t>
  </si>
  <si>
    <t>08/03/2023</t>
  </si>
  <si>
    <t xml:space="preserve">CORINA MARGARITA MENDEZ DE SOSA </t>
  </si>
  <si>
    <t>07/03/2023</t>
  </si>
  <si>
    <t>04/03/2023</t>
  </si>
  <si>
    <t>ABRIL</t>
  </si>
  <si>
    <t>24/04/2023</t>
  </si>
  <si>
    <t>20/04/2023</t>
  </si>
  <si>
    <t>17/04/2023</t>
  </si>
  <si>
    <t>11/04/2023</t>
  </si>
  <si>
    <t>03/04/2023</t>
  </si>
  <si>
    <t>0104</t>
  </si>
  <si>
    <t>01/04/2023</t>
  </si>
  <si>
    <t>12/04/2023</t>
  </si>
  <si>
    <t>21DS000E</t>
  </si>
  <si>
    <t>2650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</si>
</sst>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5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49" fontId="11" fillId="4" borderId="8" xfId="1" applyNumberFormat="1" applyFont="1" applyFill="1" applyBorder="1" applyAlignment="1">
      <alignment horizontal="center"/>
    </xf>
    <xf numFmtId="44" fontId="16" fillId="0" borderId="0" xfId="0" applyNumberFormat="1" applyFont="1"/>
    <xf numFmtId="44" fontId="16" fillId="0" borderId="0" xfId="1" applyFont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53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  <row r="692">
          <cell r="A692" t="str">
            <v>06140610211087</v>
          </cell>
          <cell r="B692" t="str">
            <v>INVERSIONES MAHANAIM S.A DE C.V.</v>
          </cell>
        </row>
        <row r="693">
          <cell r="A693" t="str">
            <v>06142510731108</v>
          </cell>
          <cell r="B693" t="str">
            <v>JOSE CAMILO GUZMAN HERRERA</v>
          </cell>
        </row>
        <row r="694">
          <cell r="A694" t="str">
            <v>02101504211019</v>
          </cell>
          <cell r="B694" t="str">
            <v>SOCIEDAD MEDICA Y LABORATORIO CLINICO</v>
          </cell>
        </row>
        <row r="695">
          <cell r="A695" t="str">
            <v>03151207171017</v>
          </cell>
          <cell r="B695" t="str">
            <v>CHG S.A DE C.V.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049659294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2:R40" totalsRowCount="1">
  <sortState ref="A4:Q806">
    <sortCondition ref="B3:B579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52" dataCellStyle="Moneda"/>
    <tableColumn id="9" name="I. EXENTAS" totalsRowDxfId="51" dataCellStyle="Moneda"/>
    <tableColumn id="10" name="IMPOR EX" totalsRowDxfId="50" dataCellStyle="Moneda"/>
    <tableColumn id="11" name="C. GRAVADA" totalsRowFunction="sum" totalsRowDxfId="49" dataCellStyle="Moneda"/>
    <tableColumn id="12" name="INTER GRAVA" totalsRowDxfId="48" dataCellStyle="Moneda"/>
    <tableColumn id="13" name="IMPOR BIENES" totalsRowDxfId="47" dataCellStyle="Moneda"/>
    <tableColumn id="14" name="IMPOR SERV" totalsRowDxfId="46" dataCellStyle="Moneda"/>
    <tableColumn id="15" name="IVA" totalsRowFunction="sum" totalsRowDxfId="45" dataCellStyle="Moneda"/>
    <tableColumn id="16" name="TOTAL C." totalsRowFunction="sum" totalsRowDxfId="44" dataCellStyle="Moneda"/>
    <tableColumn id="18" name="DUI" dataDxfId="43" totalsRowDxfId="42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5" totalsRowCount="1"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41" dataCellStyle="Moneda"/>
    <tableColumn id="12" name="VENTA NO SUJETA" totalsRowDxfId="40" dataCellStyle="Moneda"/>
    <tableColumn id="13" name="V. GRAVADA" totalsRowFunction="sum" totalsRowDxfId="39" dataCellStyle="Moneda"/>
    <tableColumn id="14" name="D.FISCAL" totalsRowFunction="sum" totalsRowDxfId="38" dataCellStyle="Moneda"/>
    <tableColumn id="15" name="V CTA DE 3" totalsRowDxfId="37" dataCellStyle="Moneda"/>
    <tableColumn id="16" name="D. FISCAL A 3" totalsRowDxfId="36" dataCellStyle="Moneda"/>
    <tableColumn id="17" name="VENTA TOTAL" totalsRowFunction="sum" totalsRowDxfId="35" dataCellStyle="Moneda"/>
    <tableColumn id="19" name="DUI" dataDxfId="34" totalsRowDxfId="33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4" totalsRowCount="1">
  <autoFilter ref="A2:V3"/>
  <sortState ref="A3:V565">
    <sortCondition ref="G2:G565"/>
  </sortState>
  <tableColumns count="22">
    <tableColumn id="1" name="MES" totalsRowLabel="Total"/>
    <tableColumn id="2" name="FECHA" dataDxfId="32" totalsRowDxfId="31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totalsRowDxfId="30" dataCellStyle="Moneda"/>
    <tableColumn id="13" name="VENTAS NO" totalsRowDxfId="29" dataCellStyle="Moneda"/>
    <tableColumn id="14" name="V NO SUJETAS" totalsRowDxfId="28" dataCellStyle="Moneda"/>
    <tableColumn id="15" name="V GRAVADAS" totalsRowFunction="sum" totalsRowDxfId="27" dataCellStyle="Moneda"/>
    <tableColumn id="16" name="EX IN CA" totalsRowDxfId="26" dataCellStyle="Moneda"/>
    <tableColumn id="17" name="EX OUT CA" totalsRowDxfId="25" dataCellStyle="Moneda"/>
    <tableColumn id="18" name="EX SERVICE" totalsRowFunction="sum" totalsRowDxfId="24" dataCellStyle="Moneda"/>
    <tableColumn id="19" name="V ZONA FRAN" totalsRowDxfId="23" dataCellStyle="Moneda"/>
    <tableColumn id="20" name="V CTA A 3ERO" totalsRowDxfId="22" dataCellStyle="Moneda"/>
    <tableColumn id="21" name="TOTAL VENTA" totalsRowFunction="sum" dataDxfId="21" totalsRowDxfId="20" dataCellStyle="Moneda"/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J4" totalsRowCount="1" headerRowDxfId="19">
  <tableColumns count="10">
    <tableColumn id="1" name="MES" totalsRowLabel="Total"/>
    <tableColumn id="2" name="NIT" dataDxfId="18"/>
    <tableColumn id="3" name="FECHA" dataDxfId="17"/>
    <tableColumn id="4" name="TIPO" dataDxfId="16"/>
    <tableColumn id="5" name="SERIE" dataDxfId="15"/>
    <tableColumn id="6" name="DOC" dataDxfId="14"/>
    <tableColumn id="7" name="MONTO" totalsRowFunction="sum" dataDxfId="13" totalsRowDxfId="12"/>
    <tableColumn id="8" name="RETENCION" totalsRowFunction="sum" dataDxfId="11" totalsRowDxfId="10"/>
    <tableColumn id="10" name="DUI" dataDxfId="9" totalsRowDxfId="8"/>
    <tableColumn id="9" name="ANEXO" dataDxfId="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340</v>
      </c>
    </row>
    <row r="4" spans="2:10" x14ac:dyDescent="0.25">
      <c r="B4" s="5" t="s">
        <v>2</v>
      </c>
      <c r="D4" s="30" t="str">
        <f>+J4</f>
        <v>01/04/2023</v>
      </c>
      <c r="E4" s="27" t="s">
        <v>346</v>
      </c>
      <c r="F4" s="28" t="str">
        <f>+LEFT(E4,2)</f>
        <v>01</v>
      </c>
      <c r="G4" s="28" t="str">
        <f>+RIGHT(E4,2)</f>
        <v>04</v>
      </c>
      <c r="H4" s="29" t="s">
        <v>301</v>
      </c>
      <c r="I4" s="28" t="s">
        <v>93</v>
      </c>
      <c r="J4" s="28" t="str">
        <f>+F4&amp;I4&amp;G4&amp;I4&amp;H4</f>
        <v>01/04/2023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283</v>
      </c>
      <c r="F8" s="28"/>
    </row>
    <row r="9" spans="2:10" x14ac:dyDescent="0.25">
      <c r="B9" s="5" t="s">
        <v>85</v>
      </c>
      <c r="D9" s="24" t="str">
        <f>+VLOOKUP(D8,'[1]BASE DE PROVEEDORES'!$A:$B,2,0)</f>
        <v>GUILLERMO E. MIGUEL B.</v>
      </c>
      <c r="F9" s="28"/>
    </row>
    <row r="10" spans="2:10" x14ac:dyDescent="0.25">
      <c r="B10" s="5" t="s">
        <v>7</v>
      </c>
      <c r="D10" s="8">
        <v>0</v>
      </c>
      <c r="F10" s="28">
        <f>+D10/2</f>
        <v>0</v>
      </c>
      <c r="G10">
        <f>+ROUND(F10,2)</f>
        <v>0</v>
      </c>
    </row>
    <row r="11" spans="2:10" x14ac:dyDescent="0.25">
      <c r="B11" s="5" t="s">
        <v>8</v>
      </c>
      <c r="D11" s="8">
        <v>0</v>
      </c>
      <c r="F11" s="28"/>
    </row>
    <row r="12" spans="2:10" x14ac:dyDescent="0.25">
      <c r="B12" s="5" t="s">
        <v>9</v>
      </c>
      <c r="D12" s="8">
        <v>0</v>
      </c>
      <c r="F12" s="28"/>
    </row>
    <row r="13" spans="2:10" x14ac:dyDescent="0.25">
      <c r="B13" s="5" t="s">
        <v>10</v>
      </c>
      <c r="D13" s="13"/>
      <c r="F13" s="28">
        <f>+D13/2</f>
        <v>0</v>
      </c>
      <c r="G13">
        <f>+ROUND(F13,2)</f>
        <v>0</v>
      </c>
    </row>
    <row r="14" spans="2:10" x14ac:dyDescent="0.25">
      <c r="B14" s="5" t="s">
        <v>11</v>
      </c>
      <c r="D14" s="8">
        <v>0</v>
      </c>
      <c r="F14" s="28"/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95</v>
      </c>
      <c r="D19" s="32" t="str">
        <f>IFERROR(VLOOKUP(D8,'[2]BASE DE PROVEEDORES'!$A:$C,3,0),"ACTUALICE")</f>
        <v>ACTUALICE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6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workbookViewId="0">
      <selection activeCell="E14" sqref="E14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94"/>
      <c r="B2" s="95"/>
      <c r="C2" s="95"/>
      <c r="D2" s="96"/>
      <c r="E2" s="103"/>
      <c r="F2" s="104"/>
      <c r="G2" s="84" t="s">
        <v>176</v>
      </c>
      <c r="H2" s="84" t="s">
        <v>177</v>
      </c>
      <c r="I2" s="84" t="s">
        <v>178</v>
      </c>
      <c r="J2" s="84" t="s">
        <v>179</v>
      </c>
      <c r="K2" s="84" t="s">
        <v>180</v>
      </c>
      <c r="L2" s="86" t="s">
        <v>181</v>
      </c>
      <c r="M2" s="87"/>
    </row>
    <row r="3" spans="1:13" ht="15.75" thickBot="1" x14ac:dyDescent="0.3">
      <c r="A3" s="97"/>
      <c r="B3" s="98"/>
      <c r="C3" s="98"/>
      <c r="D3" s="99"/>
      <c r="E3" s="50"/>
      <c r="F3" s="50"/>
      <c r="G3" s="85"/>
      <c r="H3" s="85"/>
      <c r="I3" s="85"/>
      <c r="J3" s="85"/>
      <c r="K3" s="85"/>
      <c r="L3" s="88"/>
      <c r="M3" s="89"/>
    </row>
    <row r="4" spans="1:13" x14ac:dyDescent="0.25">
      <c r="A4" s="97"/>
      <c r="B4" s="98"/>
      <c r="C4" s="98"/>
      <c r="D4" s="99"/>
      <c r="E4" s="50"/>
      <c r="F4" s="50"/>
      <c r="G4" s="51">
        <f>+Tabla3[[#Totals],[V EXENTA]]</f>
        <v>0</v>
      </c>
      <c r="H4" s="51">
        <f>+Tabla2[[#Totals],[V. GRAVADA]]</f>
        <v>4015</v>
      </c>
      <c r="I4" s="51">
        <f>+Tabla3[[#Totals],[V GRAVADAS]]</f>
        <v>0</v>
      </c>
      <c r="J4" s="51">
        <f>+Tabla3[[#Totals],[EX SERVICE]]</f>
        <v>0</v>
      </c>
      <c r="K4" s="52"/>
      <c r="L4" s="53"/>
      <c r="M4" s="54"/>
    </row>
    <row r="5" spans="1:13" x14ac:dyDescent="0.25">
      <c r="A5" s="97"/>
      <c r="B5" s="98"/>
      <c r="C5" s="98"/>
      <c r="D5" s="99"/>
      <c r="E5" s="50"/>
      <c r="F5" s="50"/>
      <c r="G5" s="51"/>
      <c r="H5" s="51"/>
      <c r="I5" s="55">
        <f>+I4/1.13</f>
        <v>0</v>
      </c>
      <c r="J5" s="51"/>
      <c r="K5" s="52"/>
      <c r="L5" s="53"/>
      <c r="M5" s="54"/>
    </row>
    <row r="6" spans="1:13" x14ac:dyDescent="0.25">
      <c r="A6" s="97"/>
      <c r="B6" s="98"/>
      <c r="C6" s="98"/>
      <c r="D6" s="99"/>
      <c r="E6" s="50"/>
      <c r="F6" s="50"/>
      <c r="G6" s="51"/>
      <c r="H6" s="51"/>
      <c r="I6" s="51"/>
      <c r="J6" s="51"/>
      <c r="K6" s="52"/>
      <c r="L6" s="53"/>
      <c r="M6" s="54"/>
    </row>
    <row r="7" spans="1:13" ht="15.75" thickBot="1" x14ac:dyDescent="0.3">
      <c r="A7" s="97"/>
      <c r="B7" s="98"/>
      <c r="C7" s="98"/>
      <c r="D7" s="99"/>
      <c r="E7" s="50"/>
      <c r="F7" s="50"/>
      <c r="G7" s="51"/>
      <c r="H7" s="51"/>
      <c r="I7" s="51"/>
      <c r="J7" s="51"/>
      <c r="K7" s="52"/>
      <c r="L7" s="53"/>
      <c r="M7" s="54"/>
    </row>
    <row r="8" spans="1:13" ht="15.75" thickBot="1" x14ac:dyDescent="0.3">
      <c r="A8" s="97"/>
      <c r="B8" s="98"/>
      <c r="C8" s="98"/>
      <c r="D8" s="99"/>
      <c r="E8" s="50"/>
      <c r="F8" s="50"/>
      <c r="G8" s="51"/>
      <c r="H8" s="51"/>
      <c r="I8" s="55">
        <f>+I7/1.13</f>
        <v>0</v>
      </c>
      <c r="J8" s="51"/>
      <c r="K8" s="52"/>
      <c r="L8" s="56" t="s">
        <v>182</v>
      </c>
      <c r="M8" s="54"/>
    </row>
    <row r="9" spans="1:13" ht="15.75" thickBot="1" x14ac:dyDescent="0.3">
      <c r="A9" s="97"/>
      <c r="B9" s="98"/>
      <c r="C9" s="98"/>
      <c r="D9" s="99"/>
      <c r="E9" s="50"/>
      <c r="F9" s="50"/>
      <c r="G9" s="57">
        <f>SUM(G4:G8)</f>
        <v>0</v>
      </c>
      <c r="H9" s="57">
        <f>+H4+H7</f>
        <v>4015</v>
      </c>
      <c r="I9" s="57">
        <f>+I8+I5</f>
        <v>0</v>
      </c>
      <c r="J9" s="57">
        <f>+J4</f>
        <v>0</v>
      </c>
      <c r="K9" s="57">
        <f>SUM(G9:J9)</f>
        <v>4015</v>
      </c>
      <c r="L9" s="58">
        <f>+K9*0.0175</f>
        <v>70.262500000000003</v>
      </c>
      <c r="M9" s="54"/>
    </row>
    <row r="10" spans="1:13" x14ac:dyDescent="0.25">
      <c r="A10" s="97"/>
      <c r="B10" s="98"/>
      <c r="C10" s="98"/>
      <c r="D10" s="99"/>
      <c r="E10" s="50"/>
      <c r="F10" s="50"/>
      <c r="G10" s="59"/>
      <c r="H10" s="59"/>
      <c r="I10" s="59"/>
      <c r="J10" s="59"/>
      <c r="K10" s="59"/>
      <c r="L10" s="90"/>
      <c r="M10" s="92">
        <f>+L9+L10</f>
        <v>70.262500000000003</v>
      </c>
    </row>
    <row r="11" spans="1:13" ht="15.75" thickBot="1" x14ac:dyDescent="0.3">
      <c r="A11" s="97"/>
      <c r="B11" s="98"/>
      <c r="C11" s="98"/>
      <c r="D11" s="99"/>
      <c r="E11" s="50"/>
      <c r="F11" s="50"/>
      <c r="G11" s="59"/>
      <c r="H11" s="59"/>
      <c r="I11" s="59"/>
      <c r="J11" s="59"/>
      <c r="K11" s="59" t="s">
        <v>183</v>
      </c>
      <c r="L11" s="91"/>
      <c r="M11" s="93"/>
    </row>
    <row r="12" spans="1:13" ht="15.75" thickBot="1" x14ac:dyDescent="0.3">
      <c r="A12" s="97"/>
      <c r="B12" s="98"/>
      <c r="C12" s="98"/>
      <c r="D12" s="99"/>
      <c r="E12" s="50"/>
      <c r="F12" s="50"/>
      <c r="G12" s="59"/>
      <c r="H12" s="59"/>
      <c r="I12" s="59"/>
      <c r="J12" s="59"/>
      <c r="K12" s="59"/>
      <c r="L12" s="60"/>
      <c r="M12" s="54"/>
    </row>
    <row r="13" spans="1:13" ht="15.75" thickBot="1" x14ac:dyDescent="0.3">
      <c r="A13" s="97"/>
      <c r="B13" s="98"/>
      <c r="C13" s="98"/>
      <c r="D13" s="99"/>
      <c r="E13" s="61"/>
      <c r="F13" s="62" t="s">
        <v>184</v>
      </c>
      <c r="G13" s="57" t="s">
        <v>185</v>
      </c>
      <c r="H13" s="63"/>
      <c r="I13" s="64" t="s">
        <v>186</v>
      </c>
      <c r="J13" s="59"/>
      <c r="K13" s="59">
        <f>+K9+G9</f>
        <v>4015</v>
      </c>
      <c r="L13" s="60"/>
      <c r="M13" s="54"/>
    </row>
    <row r="14" spans="1:13" x14ac:dyDescent="0.25">
      <c r="A14" s="97"/>
      <c r="B14" s="98"/>
      <c r="C14" s="98"/>
      <c r="D14" s="99"/>
      <c r="E14" s="50" t="s">
        <v>187</v>
      </c>
      <c r="F14" s="51">
        <f>+Tabla1[[#Totals],[C. GRAVADA]]</f>
        <v>878.18000000000006</v>
      </c>
      <c r="G14" s="51">
        <f>+Tabla1[[#Totals],[C. EXENTAS]]</f>
        <v>27.72</v>
      </c>
      <c r="H14" s="52" t="s">
        <v>187</v>
      </c>
      <c r="I14" s="65">
        <f>+H9+I9</f>
        <v>4015</v>
      </c>
      <c r="J14" s="59"/>
      <c r="K14" s="59">
        <f>+K13/K9</f>
        <v>1</v>
      </c>
      <c r="L14" s="60">
        <f>+K14*F15-F15</f>
        <v>0</v>
      </c>
      <c r="M14" s="54"/>
    </row>
    <row r="15" spans="1:13" x14ac:dyDescent="0.25">
      <c r="A15" s="97"/>
      <c r="B15" s="98"/>
      <c r="C15" s="98"/>
      <c r="D15" s="99"/>
      <c r="E15" s="50" t="s">
        <v>188</v>
      </c>
      <c r="F15" s="51">
        <f>+F14*0.13</f>
        <v>114.16340000000001</v>
      </c>
      <c r="G15" s="51"/>
      <c r="H15" s="52" t="s">
        <v>188</v>
      </c>
      <c r="I15" s="65">
        <f>+I14*0.13</f>
        <v>521.95000000000005</v>
      </c>
      <c r="J15" s="59"/>
      <c r="K15" s="59"/>
      <c r="L15" s="60"/>
      <c r="M15" s="54"/>
    </row>
    <row r="16" spans="1:13" ht="15.75" thickBot="1" x14ac:dyDescent="0.3">
      <c r="A16" s="97"/>
      <c r="B16" s="98"/>
      <c r="C16" s="98"/>
      <c r="D16" s="99"/>
      <c r="E16" s="50"/>
      <c r="F16" s="51"/>
      <c r="G16" s="51"/>
      <c r="H16" s="52"/>
      <c r="I16" s="65"/>
      <c r="J16" s="59"/>
      <c r="K16" s="59"/>
      <c r="L16" s="66">
        <f>+L9+L10+J18</f>
        <v>452.44909999999999</v>
      </c>
      <c r="M16" s="54"/>
    </row>
    <row r="17" spans="1:13" ht="15.75" thickTop="1" x14ac:dyDescent="0.25">
      <c r="A17" s="97"/>
      <c r="B17" s="98"/>
      <c r="C17" s="98"/>
      <c r="D17" s="99"/>
      <c r="E17" s="50"/>
      <c r="F17" s="67"/>
      <c r="G17" s="68" t="s">
        <v>189</v>
      </c>
      <c r="H17" s="52"/>
      <c r="I17" s="69" t="s">
        <v>190</v>
      </c>
      <c r="J17" s="59"/>
      <c r="K17" s="59"/>
      <c r="L17" s="60"/>
      <c r="M17" s="54"/>
    </row>
    <row r="18" spans="1:13" ht="15.75" thickBot="1" x14ac:dyDescent="0.3">
      <c r="A18" s="97"/>
      <c r="B18" s="98"/>
      <c r="C18" s="98"/>
      <c r="D18" s="99"/>
      <c r="E18" s="50"/>
      <c r="F18" s="70">
        <f>+F15+F16</f>
        <v>114.16340000000001</v>
      </c>
      <c r="G18" s="71">
        <f>+L14</f>
        <v>0</v>
      </c>
      <c r="H18" s="72">
        <f>+I15-G19</f>
        <v>407.78660000000002</v>
      </c>
      <c r="I18" s="73">
        <f>+Tabla4[[#Totals],[RETENCION]]</f>
        <v>25.6</v>
      </c>
      <c r="J18" s="74">
        <f>+H18-I18</f>
        <v>382.1866</v>
      </c>
      <c r="K18" s="59"/>
      <c r="L18" s="60"/>
      <c r="M18" s="54"/>
    </row>
    <row r="19" spans="1:13" ht="15.75" thickBot="1" x14ac:dyDescent="0.3">
      <c r="A19" s="97"/>
      <c r="B19" s="98"/>
      <c r="C19" s="98"/>
      <c r="D19" s="99"/>
      <c r="E19" s="50"/>
      <c r="F19" s="50"/>
      <c r="G19" s="75">
        <f>+F18-G18</f>
        <v>114.16340000000001</v>
      </c>
      <c r="H19" s="59"/>
      <c r="I19" s="59"/>
      <c r="J19" s="59"/>
      <c r="K19" s="59"/>
      <c r="L19" s="60"/>
      <c r="M19" s="54"/>
    </row>
    <row r="20" spans="1:13" ht="15.75" thickBot="1" x14ac:dyDescent="0.3">
      <c r="A20" s="100"/>
      <c r="B20" s="101"/>
      <c r="C20" s="101"/>
      <c r="D20" s="102"/>
      <c r="E20" s="76"/>
      <c r="F20" s="76"/>
      <c r="G20" s="77"/>
      <c r="H20" s="77"/>
      <c r="I20" s="77"/>
      <c r="J20" s="77"/>
      <c r="K20" s="77"/>
      <c r="L20" s="78"/>
      <c r="M20" s="79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40"/>
  <sheetViews>
    <sheetView tabSelected="1" workbookViewId="0">
      <pane ySplit="2" topLeftCell="A3" activePane="bottomLeft" state="frozen"/>
      <selection pane="bottomLeft" activeCell="A2" sqref="A2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1" spans="1:18" x14ac:dyDescent="0.25">
      <c r="F1" s="36" t="s">
        <v>175</v>
      </c>
      <c r="G1" s="33"/>
      <c r="H1" s="49"/>
      <c r="I1" s="49"/>
    </row>
    <row r="2" spans="1:18" x14ac:dyDescent="0.25">
      <c r="A2" t="s">
        <v>17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85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13</v>
      </c>
      <c r="N2" s="3" t="s">
        <v>12</v>
      </c>
      <c r="O2" s="3" t="s">
        <v>14</v>
      </c>
      <c r="P2" s="3" t="s">
        <v>15</v>
      </c>
      <c r="Q2" s="3" t="s">
        <v>95</v>
      </c>
      <c r="R2" t="s">
        <v>16</v>
      </c>
    </row>
    <row r="3" spans="1:18" x14ac:dyDescent="0.25">
      <c r="A3" t="s">
        <v>340</v>
      </c>
      <c r="B3" t="s">
        <v>347</v>
      </c>
      <c r="C3" t="s">
        <v>1</v>
      </c>
      <c r="D3" t="s">
        <v>0</v>
      </c>
      <c r="E3">
        <v>653129</v>
      </c>
      <c r="F3" t="s">
        <v>283</v>
      </c>
      <c r="G3" t="s">
        <v>284</v>
      </c>
      <c r="H3" s="3">
        <v>0.71</v>
      </c>
      <c r="I3" s="3">
        <v>0</v>
      </c>
      <c r="J3" s="3">
        <v>0</v>
      </c>
      <c r="K3" s="3">
        <v>8.2200000000000006</v>
      </c>
      <c r="L3" s="3">
        <v>0</v>
      </c>
      <c r="M3" s="3">
        <v>0</v>
      </c>
      <c r="N3" s="3">
        <v>0</v>
      </c>
      <c r="O3" s="3">
        <v>1.0686000000000002</v>
      </c>
      <c r="P3" s="3">
        <v>9.9985999999999997</v>
      </c>
      <c r="R3">
        <v>3</v>
      </c>
    </row>
    <row r="4" spans="1:18" x14ac:dyDescent="0.25">
      <c r="A4" t="s">
        <v>340</v>
      </c>
      <c r="B4" t="s">
        <v>345</v>
      </c>
      <c r="C4" t="s">
        <v>1</v>
      </c>
      <c r="D4" t="s">
        <v>0</v>
      </c>
      <c r="E4">
        <v>653312</v>
      </c>
      <c r="F4" t="s">
        <v>283</v>
      </c>
      <c r="G4" t="s">
        <v>284</v>
      </c>
      <c r="H4" s="3">
        <v>1.26</v>
      </c>
      <c r="I4" s="3">
        <v>0</v>
      </c>
      <c r="J4" s="3">
        <v>0</v>
      </c>
      <c r="K4" s="3">
        <v>15.26</v>
      </c>
      <c r="L4" s="3">
        <v>0</v>
      </c>
      <c r="M4" s="3">
        <v>0</v>
      </c>
      <c r="N4" s="3">
        <v>0</v>
      </c>
      <c r="O4" s="3">
        <v>1.9838</v>
      </c>
      <c r="P4" s="3">
        <v>18.503799999999998</v>
      </c>
      <c r="R4">
        <v>3</v>
      </c>
    </row>
    <row r="5" spans="1:18" x14ac:dyDescent="0.25">
      <c r="A5" t="s">
        <v>340</v>
      </c>
      <c r="B5" t="s">
        <v>344</v>
      </c>
      <c r="C5" t="s">
        <v>1</v>
      </c>
      <c r="D5" t="s">
        <v>0</v>
      </c>
      <c r="E5">
        <v>24391</v>
      </c>
      <c r="F5" t="s">
        <v>285</v>
      </c>
      <c r="G5" t="s">
        <v>286</v>
      </c>
      <c r="H5" s="3">
        <v>1.84</v>
      </c>
      <c r="I5" s="3">
        <v>0</v>
      </c>
      <c r="J5" s="3">
        <v>0</v>
      </c>
      <c r="K5" s="3">
        <v>19.649999999999999</v>
      </c>
      <c r="L5" s="3">
        <v>0</v>
      </c>
      <c r="M5" s="3">
        <v>0</v>
      </c>
      <c r="N5" s="3">
        <v>0</v>
      </c>
      <c r="O5" s="3">
        <v>2.5545</v>
      </c>
      <c r="P5" s="3">
        <v>24.044499999999999</v>
      </c>
      <c r="R5">
        <v>3</v>
      </c>
    </row>
    <row r="6" spans="1:18" x14ac:dyDescent="0.25">
      <c r="A6" t="s">
        <v>340</v>
      </c>
      <c r="B6" t="s">
        <v>343</v>
      </c>
      <c r="C6" t="s">
        <v>1</v>
      </c>
      <c r="D6" t="s">
        <v>0</v>
      </c>
      <c r="E6">
        <v>654496</v>
      </c>
      <c r="F6" t="s">
        <v>283</v>
      </c>
      <c r="G6" t="s">
        <v>284</v>
      </c>
      <c r="H6" s="3">
        <v>0.63</v>
      </c>
      <c r="I6" s="3">
        <v>0</v>
      </c>
      <c r="J6" s="3">
        <v>0</v>
      </c>
      <c r="K6" s="3">
        <v>7.74</v>
      </c>
      <c r="L6" s="3">
        <v>0</v>
      </c>
      <c r="M6" s="3">
        <v>0</v>
      </c>
      <c r="N6" s="3">
        <v>0</v>
      </c>
      <c r="O6" s="3">
        <v>1.0062</v>
      </c>
      <c r="P6" s="3">
        <v>9.3762000000000008</v>
      </c>
      <c r="R6">
        <v>3</v>
      </c>
    </row>
    <row r="7" spans="1:18" x14ac:dyDescent="0.25">
      <c r="A7" t="s">
        <v>340</v>
      </c>
      <c r="B7" t="s">
        <v>342</v>
      </c>
      <c r="C7" t="s">
        <v>1</v>
      </c>
      <c r="D7" t="s">
        <v>0</v>
      </c>
      <c r="E7">
        <v>247348</v>
      </c>
      <c r="F7" t="s">
        <v>285</v>
      </c>
      <c r="G7" t="s">
        <v>286</v>
      </c>
      <c r="H7" s="3">
        <v>1.27</v>
      </c>
      <c r="I7" s="3">
        <v>0</v>
      </c>
      <c r="J7" s="3">
        <v>0</v>
      </c>
      <c r="K7" s="3">
        <v>13.48</v>
      </c>
      <c r="L7" s="3">
        <v>0</v>
      </c>
      <c r="M7" s="3">
        <v>0</v>
      </c>
      <c r="N7" s="3">
        <v>0</v>
      </c>
      <c r="O7" s="3">
        <v>1.7524000000000002</v>
      </c>
      <c r="P7" s="3">
        <v>16.502400000000002</v>
      </c>
      <c r="R7">
        <v>3</v>
      </c>
    </row>
    <row r="8" spans="1:18" x14ac:dyDescent="0.25">
      <c r="A8" t="s">
        <v>340</v>
      </c>
      <c r="B8" t="s">
        <v>341</v>
      </c>
      <c r="C8" t="s">
        <v>1</v>
      </c>
      <c r="D8" t="s">
        <v>0</v>
      </c>
      <c r="E8">
        <v>25730</v>
      </c>
      <c r="F8" t="s">
        <v>285</v>
      </c>
      <c r="G8" t="s">
        <v>286</v>
      </c>
      <c r="H8" s="3">
        <v>1.65</v>
      </c>
      <c r="I8" s="3">
        <v>0</v>
      </c>
      <c r="J8" s="3">
        <v>0</v>
      </c>
      <c r="K8" s="3">
        <v>19.16</v>
      </c>
      <c r="L8" s="3">
        <v>0</v>
      </c>
      <c r="M8" s="3">
        <v>0</v>
      </c>
      <c r="N8" s="3">
        <v>0</v>
      </c>
      <c r="O8" s="3">
        <v>2.4908000000000001</v>
      </c>
      <c r="P8" s="3">
        <v>23.300799999999999</v>
      </c>
      <c r="R8">
        <v>3</v>
      </c>
    </row>
    <row r="9" spans="1:18" x14ac:dyDescent="0.25">
      <c r="A9" t="s">
        <v>325</v>
      </c>
      <c r="B9" t="s">
        <v>315</v>
      </c>
      <c r="C9" t="s">
        <v>1</v>
      </c>
      <c r="D9" t="s">
        <v>0</v>
      </c>
      <c r="E9">
        <v>1064839</v>
      </c>
      <c r="F9" t="s">
        <v>291</v>
      </c>
      <c r="G9" t="s">
        <v>292</v>
      </c>
      <c r="H9" s="3">
        <v>0</v>
      </c>
      <c r="I9" s="3">
        <v>0</v>
      </c>
      <c r="J9" s="3">
        <v>0</v>
      </c>
      <c r="K9" s="3">
        <v>155.96</v>
      </c>
      <c r="L9" s="3">
        <v>0</v>
      </c>
      <c r="M9" s="3">
        <v>0</v>
      </c>
      <c r="N9" s="3">
        <v>0</v>
      </c>
      <c r="O9" s="3">
        <v>20.274800000000003</v>
      </c>
      <c r="P9" s="3">
        <v>176.23480000000001</v>
      </c>
      <c r="R9">
        <v>3</v>
      </c>
    </row>
    <row r="10" spans="1:18" x14ac:dyDescent="0.25">
      <c r="A10" t="s">
        <v>325</v>
      </c>
      <c r="B10" t="s">
        <v>332</v>
      </c>
      <c r="C10" t="s">
        <v>1</v>
      </c>
      <c r="D10" t="s">
        <v>0</v>
      </c>
      <c r="E10">
        <v>44566</v>
      </c>
      <c r="F10" t="s">
        <v>291</v>
      </c>
      <c r="G10" t="s">
        <v>292</v>
      </c>
      <c r="H10" s="3">
        <v>0</v>
      </c>
      <c r="I10" s="3">
        <v>0</v>
      </c>
      <c r="J10" s="3">
        <v>0</v>
      </c>
      <c r="K10" s="3">
        <v>11.04</v>
      </c>
      <c r="L10" s="3">
        <v>0</v>
      </c>
      <c r="M10" s="3">
        <v>0</v>
      </c>
      <c r="N10" s="3">
        <v>0</v>
      </c>
      <c r="O10" s="3">
        <v>1.4352</v>
      </c>
      <c r="P10" s="3">
        <v>12.475199999999999</v>
      </c>
      <c r="R10">
        <v>3</v>
      </c>
    </row>
    <row r="11" spans="1:18" x14ac:dyDescent="0.25">
      <c r="A11" t="s">
        <v>325</v>
      </c>
      <c r="B11" t="s">
        <v>339</v>
      </c>
      <c r="C11" t="s">
        <v>1</v>
      </c>
      <c r="D11" t="s">
        <v>0</v>
      </c>
      <c r="E11">
        <v>681859</v>
      </c>
      <c r="F11" t="s">
        <v>283</v>
      </c>
      <c r="G11" t="s">
        <v>284</v>
      </c>
      <c r="H11" s="3">
        <v>0.6</v>
      </c>
      <c r="I11" s="3">
        <v>0</v>
      </c>
      <c r="J11" s="3">
        <v>0</v>
      </c>
      <c r="K11" s="3">
        <v>7.43</v>
      </c>
      <c r="L11" s="3">
        <v>0</v>
      </c>
      <c r="M11" s="3">
        <v>0</v>
      </c>
      <c r="N11" s="3">
        <v>0</v>
      </c>
      <c r="O11" s="3">
        <v>0.96589999999999998</v>
      </c>
      <c r="P11" s="3">
        <v>8.9958999999999989</v>
      </c>
      <c r="R11">
        <v>3</v>
      </c>
    </row>
    <row r="12" spans="1:18" x14ac:dyDescent="0.25">
      <c r="A12" t="s">
        <v>325</v>
      </c>
      <c r="B12" t="s">
        <v>338</v>
      </c>
      <c r="C12" t="s">
        <v>1</v>
      </c>
      <c r="D12" t="s">
        <v>0</v>
      </c>
      <c r="E12">
        <v>682470</v>
      </c>
      <c r="F12" t="s">
        <v>283</v>
      </c>
      <c r="G12" t="s">
        <v>284</v>
      </c>
      <c r="H12" s="3">
        <v>0.72</v>
      </c>
      <c r="I12" s="3">
        <v>0</v>
      </c>
      <c r="J12" s="3">
        <v>0</v>
      </c>
      <c r="K12" s="3">
        <v>8.2200000000000006</v>
      </c>
      <c r="L12" s="3">
        <v>0</v>
      </c>
      <c r="M12" s="3">
        <v>0</v>
      </c>
      <c r="N12" s="3">
        <v>0</v>
      </c>
      <c r="O12" s="3">
        <v>1.0686000000000002</v>
      </c>
      <c r="P12" s="3">
        <v>10.008600000000001</v>
      </c>
      <c r="R12">
        <v>3</v>
      </c>
    </row>
    <row r="13" spans="1:18" x14ac:dyDescent="0.25">
      <c r="A13" t="s">
        <v>325</v>
      </c>
      <c r="B13" t="s">
        <v>336</v>
      </c>
      <c r="C13" t="s">
        <v>1</v>
      </c>
      <c r="D13" t="s">
        <v>0</v>
      </c>
      <c r="E13">
        <v>22786</v>
      </c>
      <c r="F13" t="s">
        <v>335</v>
      </c>
      <c r="G13" t="s">
        <v>337</v>
      </c>
      <c r="H13" s="3">
        <v>0.99</v>
      </c>
      <c r="I13" s="3">
        <v>0</v>
      </c>
      <c r="J13" s="3">
        <v>0</v>
      </c>
      <c r="K13" s="3">
        <v>11.08</v>
      </c>
      <c r="L13" s="3">
        <v>0</v>
      </c>
      <c r="M13" s="3">
        <v>0</v>
      </c>
      <c r="N13" s="3">
        <v>0</v>
      </c>
      <c r="O13" s="3">
        <v>1.4404000000000001</v>
      </c>
      <c r="P13" s="3">
        <v>13.510400000000001</v>
      </c>
      <c r="R13">
        <v>3</v>
      </c>
    </row>
    <row r="14" spans="1:18" x14ac:dyDescent="0.25">
      <c r="A14" t="s">
        <v>325</v>
      </c>
      <c r="B14" t="s">
        <v>334</v>
      </c>
      <c r="C14" t="s">
        <v>1</v>
      </c>
      <c r="D14" t="s">
        <v>0</v>
      </c>
      <c r="E14">
        <v>8963</v>
      </c>
      <c r="F14" t="s">
        <v>293</v>
      </c>
      <c r="G14" t="s">
        <v>294</v>
      </c>
      <c r="H14" s="3">
        <v>0.44</v>
      </c>
      <c r="I14" s="3">
        <v>0</v>
      </c>
      <c r="J14" s="3">
        <v>0</v>
      </c>
      <c r="K14" s="3">
        <v>4.92</v>
      </c>
      <c r="L14" s="3">
        <v>0</v>
      </c>
      <c r="M14" s="3">
        <v>0</v>
      </c>
      <c r="N14" s="3">
        <v>0</v>
      </c>
      <c r="O14" s="3">
        <v>0.63960000000000006</v>
      </c>
      <c r="P14" s="3">
        <v>5.9996</v>
      </c>
      <c r="R14">
        <v>3</v>
      </c>
    </row>
    <row r="15" spans="1:18" x14ac:dyDescent="0.25">
      <c r="A15" t="s">
        <v>325</v>
      </c>
      <c r="B15" t="s">
        <v>332</v>
      </c>
      <c r="C15" t="s">
        <v>1</v>
      </c>
      <c r="D15" t="s">
        <v>0</v>
      </c>
      <c r="E15">
        <v>1166020</v>
      </c>
      <c r="F15" t="s">
        <v>291</v>
      </c>
      <c r="G15" t="s">
        <v>292</v>
      </c>
      <c r="H15" s="3">
        <v>0</v>
      </c>
      <c r="I15" s="3">
        <v>0</v>
      </c>
      <c r="J15" s="3">
        <v>0</v>
      </c>
      <c r="K15" s="3">
        <v>10.23</v>
      </c>
      <c r="L15" s="3">
        <v>0</v>
      </c>
      <c r="M15" s="3">
        <v>0</v>
      </c>
      <c r="N15" s="3">
        <v>0</v>
      </c>
      <c r="O15" s="3">
        <v>1.3299000000000001</v>
      </c>
      <c r="P15" s="3">
        <v>11.559900000000001</v>
      </c>
      <c r="R15">
        <v>3</v>
      </c>
    </row>
    <row r="16" spans="1:18" x14ac:dyDescent="0.25">
      <c r="A16" t="s">
        <v>325</v>
      </c>
      <c r="B16" t="s">
        <v>333</v>
      </c>
      <c r="C16" t="s">
        <v>1</v>
      </c>
      <c r="D16" t="s">
        <v>0</v>
      </c>
      <c r="E16">
        <v>130122</v>
      </c>
      <c r="F16" t="s">
        <v>285</v>
      </c>
      <c r="G16" t="s">
        <v>286</v>
      </c>
      <c r="H16" s="3">
        <v>1.47</v>
      </c>
      <c r="I16" s="3">
        <v>0</v>
      </c>
      <c r="J16" s="3">
        <v>0</v>
      </c>
      <c r="K16" s="3">
        <v>16.489999999999998</v>
      </c>
      <c r="L16" s="3">
        <v>0</v>
      </c>
      <c r="M16" s="3">
        <v>0</v>
      </c>
      <c r="N16" s="3">
        <v>0</v>
      </c>
      <c r="O16" s="3">
        <v>2.1436999999999999</v>
      </c>
      <c r="P16" s="3">
        <v>20.103699999999996</v>
      </c>
      <c r="R16">
        <v>3</v>
      </c>
    </row>
    <row r="17" spans="1:18" x14ac:dyDescent="0.25">
      <c r="A17" t="s">
        <v>325</v>
      </c>
      <c r="B17" t="s">
        <v>332</v>
      </c>
      <c r="C17" t="s">
        <v>1</v>
      </c>
      <c r="D17" t="s">
        <v>0</v>
      </c>
      <c r="E17">
        <v>651508</v>
      </c>
      <c r="F17" t="s">
        <v>283</v>
      </c>
      <c r="G17" t="s">
        <v>284</v>
      </c>
      <c r="H17" s="3">
        <v>1.61</v>
      </c>
      <c r="I17" s="3">
        <v>0</v>
      </c>
      <c r="J17" s="3">
        <v>0</v>
      </c>
      <c r="K17" s="3">
        <v>18.489999999999998</v>
      </c>
      <c r="L17" s="3">
        <v>0</v>
      </c>
      <c r="M17" s="3">
        <v>0</v>
      </c>
      <c r="N17" s="3">
        <v>0</v>
      </c>
      <c r="O17" s="3">
        <v>2.4036999999999997</v>
      </c>
      <c r="P17" s="3">
        <v>22.503699999999998</v>
      </c>
      <c r="R17">
        <v>3</v>
      </c>
    </row>
    <row r="18" spans="1:18" x14ac:dyDescent="0.25">
      <c r="A18" t="s">
        <v>325</v>
      </c>
      <c r="B18" t="s">
        <v>331</v>
      </c>
      <c r="C18" t="s">
        <v>1</v>
      </c>
      <c r="D18" t="s">
        <v>0</v>
      </c>
      <c r="E18">
        <v>131373</v>
      </c>
      <c r="F18" t="s">
        <v>285</v>
      </c>
      <c r="G18" t="s">
        <v>286</v>
      </c>
      <c r="H18" s="3">
        <v>0.95</v>
      </c>
      <c r="I18" s="3">
        <v>0</v>
      </c>
      <c r="J18" s="3">
        <v>0</v>
      </c>
      <c r="K18" s="3">
        <v>10.72</v>
      </c>
      <c r="L18" s="3">
        <v>0</v>
      </c>
      <c r="M18" s="3">
        <v>0</v>
      </c>
      <c r="N18" s="3">
        <v>0</v>
      </c>
      <c r="O18" s="3">
        <v>1.3936000000000002</v>
      </c>
      <c r="P18" s="3">
        <v>13.063600000000001</v>
      </c>
      <c r="R18">
        <v>3</v>
      </c>
    </row>
    <row r="19" spans="1:18" x14ac:dyDescent="0.25">
      <c r="A19" t="s">
        <v>325</v>
      </c>
      <c r="B19" t="s">
        <v>330</v>
      </c>
      <c r="C19" t="s">
        <v>1</v>
      </c>
      <c r="D19" t="s">
        <v>0</v>
      </c>
      <c r="E19">
        <v>9327</v>
      </c>
      <c r="F19" t="s">
        <v>293</v>
      </c>
      <c r="G19" t="s">
        <v>294</v>
      </c>
      <c r="H19" s="3">
        <v>0.75</v>
      </c>
      <c r="I19" s="3">
        <v>0</v>
      </c>
      <c r="J19" s="3">
        <v>0</v>
      </c>
      <c r="K19" s="3">
        <v>8.3699999999999992</v>
      </c>
      <c r="L19" s="3">
        <v>0</v>
      </c>
      <c r="M19" s="3">
        <v>0</v>
      </c>
      <c r="N19" s="3">
        <v>0</v>
      </c>
      <c r="O19" s="3">
        <v>1.0880999999999998</v>
      </c>
      <c r="P19" s="3">
        <v>10.208099999999998</v>
      </c>
      <c r="R19">
        <v>3</v>
      </c>
    </row>
    <row r="20" spans="1:18" x14ac:dyDescent="0.25">
      <c r="A20" t="s">
        <v>325</v>
      </c>
      <c r="B20" t="s">
        <v>329</v>
      </c>
      <c r="C20" t="s">
        <v>1</v>
      </c>
      <c r="D20" t="s">
        <v>0</v>
      </c>
      <c r="E20">
        <v>532339</v>
      </c>
      <c r="F20" t="s">
        <v>283</v>
      </c>
      <c r="G20" t="s">
        <v>284</v>
      </c>
      <c r="H20" s="3">
        <v>0.92</v>
      </c>
      <c r="I20" s="3">
        <v>0</v>
      </c>
      <c r="J20" s="3">
        <v>0</v>
      </c>
      <c r="K20" s="3">
        <v>10.61</v>
      </c>
      <c r="L20" s="3">
        <v>0</v>
      </c>
      <c r="M20" s="3">
        <v>0</v>
      </c>
      <c r="N20" s="3">
        <v>0</v>
      </c>
      <c r="O20" s="3">
        <v>1.3793</v>
      </c>
      <c r="P20" s="3">
        <v>12.9093</v>
      </c>
      <c r="R20">
        <v>3</v>
      </c>
    </row>
    <row r="21" spans="1:18" x14ac:dyDescent="0.25">
      <c r="A21" t="s">
        <v>325</v>
      </c>
      <c r="B21" t="s">
        <v>328</v>
      </c>
      <c r="C21" t="s">
        <v>1</v>
      </c>
      <c r="D21" t="s">
        <v>0</v>
      </c>
      <c r="E21">
        <v>65288</v>
      </c>
      <c r="F21" t="s">
        <v>317</v>
      </c>
      <c r="G21" t="s">
        <v>319</v>
      </c>
      <c r="H21" s="3">
        <v>0.71</v>
      </c>
      <c r="I21" s="3">
        <v>0</v>
      </c>
      <c r="J21" s="3">
        <v>0</v>
      </c>
      <c r="K21" s="3">
        <v>8.2200000000000006</v>
      </c>
      <c r="L21" s="3">
        <v>0</v>
      </c>
      <c r="M21" s="3">
        <v>0</v>
      </c>
      <c r="N21" s="3">
        <v>0</v>
      </c>
      <c r="O21" s="3">
        <v>1.0686000000000002</v>
      </c>
      <c r="P21" s="3">
        <v>9.9985999999999997</v>
      </c>
      <c r="R21">
        <v>3</v>
      </c>
    </row>
    <row r="22" spans="1:18" x14ac:dyDescent="0.25">
      <c r="A22" t="s">
        <v>325</v>
      </c>
      <c r="B22" t="s">
        <v>327</v>
      </c>
      <c r="C22" t="s">
        <v>1</v>
      </c>
      <c r="D22" t="s">
        <v>0</v>
      </c>
      <c r="E22">
        <v>47490</v>
      </c>
      <c r="F22" t="s">
        <v>291</v>
      </c>
      <c r="G22" t="s">
        <v>292</v>
      </c>
      <c r="H22" s="3">
        <v>0</v>
      </c>
      <c r="I22" s="3">
        <v>0</v>
      </c>
      <c r="J22" s="3">
        <v>0</v>
      </c>
      <c r="K22" s="3">
        <v>19.27</v>
      </c>
      <c r="L22" s="3">
        <v>0</v>
      </c>
      <c r="M22" s="3">
        <v>0</v>
      </c>
      <c r="N22" s="3">
        <v>0</v>
      </c>
      <c r="O22" s="3">
        <v>2.5051000000000001</v>
      </c>
      <c r="P22" s="3">
        <v>21.775099999999998</v>
      </c>
      <c r="R22">
        <v>3</v>
      </c>
    </row>
    <row r="23" spans="1:18" x14ac:dyDescent="0.25">
      <c r="A23" t="s">
        <v>325</v>
      </c>
      <c r="B23" t="s">
        <v>326</v>
      </c>
      <c r="C23" t="s">
        <v>1</v>
      </c>
      <c r="D23" t="s">
        <v>0</v>
      </c>
      <c r="E23">
        <v>9490</v>
      </c>
      <c r="F23" t="s">
        <v>293</v>
      </c>
      <c r="G23" t="s">
        <v>294</v>
      </c>
      <c r="H23" s="3">
        <v>0.75</v>
      </c>
      <c r="I23" s="3">
        <v>0</v>
      </c>
      <c r="J23" s="3">
        <v>0</v>
      </c>
      <c r="K23" s="3">
        <v>8.3699999999999992</v>
      </c>
      <c r="L23" s="3">
        <v>0</v>
      </c>
      <c r="M23" s="3">
        <v>0</v>
      </c>
      <c r="N23" s="3">
        <v>0</v>
      </c>
      <c r="O23" s="3">
        <v>1.0880999999999998</v>
      </c>
      <c r="P23" s="3">
        <v>10.208099999999998</v>
      </c>
      <c r="R23">
        <v>3</v>
      </c>
    </row>
    <row r="24" spans="1:18" x14ac:dyDescent="0.25">
      <c r="A24" t="s">
        <v>311</v>
      </c>
      <c r="B24" t="s">
        <v>324</v>
      </c>
      <c r="C24" t="s">
        <v>1</v>
      </c>
      <c r="D24" t="s">
        <v>0</v>
      </c>
      <c r="E24">
        <v>930</v>
      </c>
      <c r="F24" t="s">
        <v>302</v>
      </c>
      <c r="G24" t="s">
        <v>304</v>
      </c>
      <c r="H24" s="3">
        <v>0</v>
      </c>
      <c r="I24" s="3">
        <v>0</v>
      </c>
      <c r="J24" s="3">
        <v>0</v>
      </c>
      <c r="K24" s="3">
        <v>24.78</v>
      </c>
      <c r="L24" s="3">
        <v>0</v>
      </c>
      <c r="M24" s="3">
        <v>0</v>
      </c>
      <c r="N24" s="3">
        <v>0</v>
      </c>
      <c r="O24" s="3">
        <v>3.2214</v>
      </c>
      <c r="P24" s="3">
        <v>28.0014</v>
      </c>
      <c r="R24">
        <v>3</v>
      </c>
    </row>
    <row r="25" spans="1:18" x14ac:dyDescent="0.25">
      <c r="A25" t="s">
        <v>311</v>
      </c>
      <c r="B25" t="s">
        <v>324</v>
      </c>
      <c r="C25" t="s">
        <v>1</v>
      </c>
      <c r="D25" t="s">
        <v>0</v>
      </c>
      <c r="E25">
        <v>929</v>
      </c>
      <c r="F25" t="s">
        <v>302</v>
      </c>
      <c r="G25" t="s">
        <v>304</v>
      </c>
      <c r="H25" s="3">
        <v>0</v>
      </c>
      <c r="I25" s="3">
        <v>0</v>
      </c>
      <c r="J25" s="3">
        <v>0</v>
      </c>
      <c r="K25" s="3">
        <v>86.55</v>
      </c>
      <c r="L25" s="3">
        <v>0</v>
      </c>
      <c r="M25" s="3">
        <v>0</v>
      </c>
      <c r="N25" s="3">
        <v>0</v>
      </c>
      <c r="O25" s="3">
        <v>11.2515</v>
      </c>
      <c r="P25" s="3">
        <v>97.801500000000004</v>
      </c>
      <c r="R25">
        <v>3</v>
      </c>
    </row>
    <row r="26" spans="1:18" x14ac:dyDescent="0.25">
      <c r="A26" t="s">
        <v>311</v>
      </c>
      <c r="B26" t="s">
        <v>320</v>
      </c>
      <c r="C26" t="s">
        <v>1</v>
      </c>
      <c r="D26" t="s">
        <v>0</v>
      </c>
      <c r="E26">
        <v>587228</v>
      </c>
      <c r="F26" t="s">
        <v>291</v>
      </c>
      <c r="G26" t="s">
        <v>292</v>
      </c>
      <c r="H26" s="3">
        <v>0</v>
      </c>
      <c r="I26" s="3">
        <v>0</v>
      </c>
      <c r="J26" s="3">
        <v>0</v>
      </c>
      <c r="K26" s="3">
        <v>43.73</v>
      </c>
      <c r="L26" s="3">
        <v>0</v>
      </c>
      <c r="M26" s="3">
        <v>0</v>
      </c>
      <c r="N26" s="3">
        <v>0</v>
      </c>
      <c r="O26" s="3">
        <v>5.6848999999999998</v>
      </c>
      <c r="P26" s="3">
        <v>49.414899999999996</v>
      </c>
      <c r="R26">
        <v>3</v>
      </c>
    </row>
    <row r="27" spans="1:18" x14ac:dyDescent="0.25">
      <c r="A27" t="s">
        <v>311</v>
      </c>
      <c r="B27" t="s">
        <v>322</v>
      </c>
      <c r="C27" t="s">
        <v>1</v>
      </c>
      <c r="D27" t="s">
        <v>0</v>
      </c>
      <c r="E27">
        <v>18490</v>
      </c>
      <c r="F27" t="s">
        <v>321</v>
      </c>
      <c r="G27" t="s">
        <v>323</v>
      </c>
      <c r="H27" s="3">
        <v>0</v>
      </c>
      <c r="I27" s="3">
        <v>0</v>
      </c>
      <c r="J27" s="3">
        <v>0</v>
      </c>
      <c r="K27" s="3">
        <v>55.61</v>
      </c>
      <c r="L27" s="3">
        <v>0</v>
      </c>
      <c r="M27" s="3">
        <v>0</v>
      </c>
      <c r="N27" s="3">
        <v>0</v>
      </c>
      <c r="O27" s="3">
        <v>7.2293000000000003</v>
      </c>
      <c r="P27" s="3">
        <v>62.839300000000001</v>
      </c>
      <c r="R27">
        <v>3</v>
      </c>
    </row>
    <row r="28" spans="1:18" x14ac:dyDescent="0.25">
      <c r="A28" t="s">
        <v>311</v>
      </c>
      <c r="B28" t="s">
        <v>320</v>
      </c>
      <c r="C28" t="s">
        <v>1</v>
      </c>
      <c r="D28" t="s">
        <v>0</v>
      </c>
      <c r="E28">
        <v>551525</v>
      </c>
      <c r="F28" t="s">
        <v>291</v>
      </c>
      <c r="G28" t="s">
        <v>292</v>
      </c>
      <c r="H28" s="3">
        <v>0</v>
      </c>
      <c r="I28" s="3">
        <v>0</v>
      </c>
      <c r="J28" s="3">
        <v>0</v>
      </c>
      <c r="K28" s="3">
        <v>29.14</v>
      </c>
      <c r="L28" s="3">
        <v>0</v>
      </c>
      <c r="M28" s="3">
        <v>0</v>
      </c>
      <c r="N28" s="3">
        <v>0</v>
      </c>
      <c r="O28" s="3">
        <v>3.7882000000000002</v>
      </c>
      <c r="P28" s="3">
        <v>32.928200000000004</v>
      </c>
      <c r="R28">
        <v>3</v>
      </c>
    </row>
    <row r="29" spans="1:18" x14ac:dyDescent="0.25">
      <c r="A29" t="s">
        <v>311</v>
      </c>
      <c r="B29" t="s">
        <v>318</v>
      </c>
      <c r="C29" t="s">
        <v>1</v>
      </c>
      <c r="D29" t="s">
        <v>0</v>
      </c>
      <c r="E29">
        <v>62853</v>
      </c>
      <c r="F29" t="s">
        <v>317</v>
      </c>
      <c r="G29" t="s">
        <v>319</v>
      </c>
      <c r="H29" s="3">
        <v>1.18</v>
      </c>
      <c r="I29" s="3">
        <v>0</v>
      </c>
      <c r="J29" s="3">
        <v>0</v>
      </c>
      <c r="K29" s="3">
        <v>20.73</v>
      </c>
      <c r="L29" s="3">
        <v>0</v>
      </c>
      <c r="M29" s="3">
        <v>0</v>
      </c>
      <c r="N29" s="3">
        <v>0</v>
      </c>
      <c r="O29" s="3">
        <v>2.6949000000000001</v>
      </c>
      <c r="P29" s="3">
        <v>24.604900000000001</v>
      </c>
      <c r="R29">
        <v>3</v>
      </c>
    </row>
    <row r="30" spans="1:18" x14ac:dyDescent="0.25">
      <c r="A30" t="s">
        <v>311</v>
      </c>
      <c r="B30" t="s">
        <v>316</v>
      </c>
      <c r="C30" t="s">
        <v>1</v>
      </c>
      <c r="D30" t="s">
        <v>0</v>
      </c>
      <c r="E30">
        <v>19642</v>
      </c>
      <c r="F30" t="s">
        <v>285</v>
      </c>
      <c r="G30" t="s">
        <v>286</v>
      </c>
      <c r="H30" s="3">
        <v>1.53</v>
      </c>
      <c r="I30" s="3">
        <v>0</v>
      </c>
      <c r="J30" s="3">
        <v>0</v>
      </c>
      <c r="K30" s="3">
        <v>17.68</v>
      </c>
      <c r="L30" s="3">
        <v>0</v>
      </c>
      <c r="M30" s="3">
        <v>0</v>
      </c>
      <c r="N30" s="3">
        <v>0</v>
      </c>
      <c r="O30" s="3">
        <v>2.2984</v>
      </c>
      <c r="P30" s="3">
        <v>21.508400000000002</v>
      </c>
      <c r="R30">
        <v>3</v>
      </c>
    </row>
    <row r="31" spans="1:18" x14ac:dyDescent="0.25">
      <c r="A31" t="s">
        <v>311</v>
      </c>
      <c r="B31" t="s">
        <v>315</v>
      </c>
      <c r="C31" t="s">
        <v>1</v>
      </c>
      <c r="D31" t="s">
        <v>0</v>
      </c>
      <c r="E31">
        <v>77251</v>
      </c>
      <c r="F31" t="s">
        <v>287</v>
      </c>
      <c r="G31" t="s">
        <v>288</v>
      </c>
      <c r="H31" s="3">
        <v>0.63</v>
      </c>
      <c r="I31" s="3">
        <v>0</v>
      </c>
      <c r="J31" s="3">
        <v>0</v>
      </c>
      <c r="K31" s="3">
        <v>8.2899999999999991</v>
      </c>
      <c r="L31" s="3">
        <v>0</v>
      </c>
      <c r="M31" s="3">
        <v>0</v>
      </c>
      <c r="N31" s="3">
        <v>0</v>
      </c>
      <c r="O31" s="3">
        <v>1.0776999999999999</v>
      </c>
      <c r="P31" s="3">
        <v>9.9977</v>
      </c>
      <c r="R31">
        <v>3</v>
      </c>
    </row>
    <row r="32" spans="1:18" x14ac:dyDescent="0.25">
      <c r="A32" t="s">
        <v>311</v>
      </c>
      <c r="B32" t="s">
        <v>313</v>
      </c>
      <c r="C32" t="s">
        <v>1</v>
      </c>
      <c r="D32" t="s">
        <v>0</v>
      </c>
      <c r="E32">
        <v>4217</v>
      </c>
      <c r="F32" t="s">
        <v>312</v>
      </c>
      <c r="G32" t="s">
        <v>314</v>
      </c>
      <c r="H32" s="3">
        <v>0</v>
      </c>
      <c r="I32" s="3">
        <v>0</v>
      </c>
      <c r="J32" s="3">
        <v>0</v>
      </c>
      <c r="K32" s="3">
        <v>19.91</v>
      </c>
      <c r="L32" s="3">
        <v>0</v>
      </c>
      <c r="M32" s="3">
        <v>0</v>
      </c>
      <c r="N32" s="3">
        <v>0</v>
      </c>
      <c r="O32" s="3">
        <v>2.5883000000000003</v>
      </c>
      <c r="P32" s="3">
        <v>22.4983</v>
      </c>
      <c r="R32">
        <v>3</v>
      </c>
    </row>
    <row r="33" spans="1:18" x14ac:dyDescent="0.25">
      <c r="A33" t="s">
        <v>96</v>
      </c>
      <c r="B33" t="s">
        <v>310</v>
      </c>
      <c r="C33" t="s">
        <v>1</v>
      </c>
      <c r="D33" t="s">
        <v>0</v>
      </c>
      <c r="E33">
        <v>618874</v>
      </c>
      <c r="F33" t="s">
        <v>283</v>
      </c>
      <c r="G33" t="s">
        <v>284</v>
      </c>
      <c r="H33" s="3">
        <v>1.3</v>
      </c>
      <c r="I33" s="3">
        <v>0</v>
      </c>
      <c r="J33" s="3">
        <v>0</v>
      </c>
      <c r="K33" s="3">
        <v>14.53</v>
      </c>
      <c r="L33" s="3">
        <v>0</v>
      </c>
      <c r="M33" s="3">
        <v>0</v>
      </c>
      <c r="N33" s="3">
        <v>0</v>
      </c>
      <c r="O33" s="3">
        <v>1.8889</v>
      </c>
      <c r="P33" s="3">
        <v>17.718900000000001</v>
      </c>
      <c r="R33">
        <v>3</v>
      </c>
    </row>
    <row r="34" spans="1:18" x14ac:dyDescent="0.25">
      <c r="A34" t="s">
        <v>96</v>
      </c>
      <c r="B34" t="s">
        <v>309</v>
      </c>
      <c r="C34" t="s">
        <v>1</v>
      </c>
      <c r="D34" t="s">
        <v>0</v>
      </c>
      <c r="E34">
        <v>227026</v>
      </c>
      <c r="F34" t="s">
        <v>285</v>
      </c>
      <c r="G34" t="s">
        <v>286</v>
      </c>
      <c r="H34" s="3">
        <v>2.0299999999999998</v>
      </c>
      <c r="I34" s="3">
        <v>0</v>
      </c>
      <c r="J34" s="3">
        <v>0</v>
      </c>
      <c r="K34" s="3">
        <v>23.88</v>
      </c>
      <c r="L34" s="3">
        <v>0</v>
      </c>
      <c r="M34" s="3">
        <v>0</v>
      </c>
      <c r="N34" s="3">
        <v>0</v>
      </c>
      <c r="O34" s="3">
        <v>3.1044</v>
      </c>
      <c r="P34" s="3">
        <v>29.014400000000002</v>
      </c>
      <c r="R34">
        <v>3</v>
      </c>
    </row>
    <row r="35" spans="1:18" x14ac:dyDescent="0.25">
      <c r="A35" t="s">
        <v>96</v>
      </c>
      <c r="B35" t="s">
        <v>308</v>
      </c>
      <c r="C35" t="s">
        <v>1</v>
      </c>
      <c r="D35" t="s">
        <v>0</v>
      </c>
      <c r="E35">
        <v>618581</v>
      </c>
      <c r="F35" t="s">
        <v>283</v>
      </c>
      <c r="G35" t="s">
        <v>284</v>
      </c>
      <c r="H35" s="3">
        <v>2.2000000000000002</v>
      </c>
      <c r="I35" s="3">
        <v>0</v>
      </c>
      <c r="J35" s="3">
        <v>0</v>
      </c>
      <c r="K35" s="3">
        <v>27.08</v>
      </c>
      <c r="L35" s="3">
        <v>0</v>
      </c>
      <c r="M35" s="3">
        <v>0</v>
      </c>
      <c r="N35" s="3">
        <v>0</v>
      </c>
      <c r="O35" s="3">
        <v>3.5204</v>
      </c>
      <c r="P35" s="3">
        <v>32.800399999999996</v>
      </c>
      <c r="R35">
        <v>3</v>
      </c>
    </row>
    <row r="36" spans="1:18" x14ac:dyDescent="0.25">
      <c r="A36" t="s">
        <v>96</v>
      </c>
      <c r="B36" t="s">
        <v>307</v>
      </c>
      <c r="C36" t="s">
        <v>1</v>
      </c>
      <c r="D36" t="s">
        <v>0</v>
      </c>
      <c r="E36">
        <v>324530</v>
      </c>
      <c r="F36" t="s">
        <v>291</v>
      </c>
      <c r="G36" t="s">
        <v>292</v>
      </c>
      <c r="H36" s="3">
        <v>0</v>
      </c>
      <c r="I36" s="3">
        <v>0</v>
      </c>
      <c r="J36" s="3">
        <v>0</v>
      </c>
      <c r="K36" s="3">
        <v>67.489999999999995</v>
      </c>
      <c r="L36" s="3">
        <v>0</v>
      </c>
      <c r="M36" s="3">
        <v>0</v>
      </c>
      <c r="N36" s="3">
        <v>0</v>
      </c>
      <c r="O36" s="3">
        <v>8.7736999999999998</v>
      </c>
      <c r="P36" s="3">
        <v>76.2637</v>
      </c>
      <c r="R36">
        <v>3</v>
      </c>
    </row>
    <row r="37" spans="1:18" x14ac:dyDescent="0.25">
      <c r="A37" t="s">
        <v>96</v>
      </c>
      <c r="B37" t="s">
        <v>306</v>
      </c>
      <c r="C37" t="s">
        <v>1</v>
      </c>
      <c r="D37" t="s">
        <v>0</v>
      </c>
      <c r="E37">
        <v>73133</v>
      </c>
      <c r="F37" t="s">
        <v>287</v>
      </c>
      <c r="G37" t="s">
        <v>288</v>
      </c>
      <c r="H37" s="3">
        <v>0.81</v>
      </c>
      <c r="I37" s="3">
        <v>0</v>
      </c>
      <c r="J37" s="3">
        <v>0</v>
      </c>
      <c r="K37" s="3">
        <v>10.35</v>
      </c>
      <c r="L37" s="3">
        <v>0</v>
      </c>
      <c r="M37" s="3">
        <v>0</v>
      </c>
      <c r="N37" s="3">
        <v>0</v>
      </c>
      <c r="O37" s="3">
        <v>1.3454999999999999</v>
      </c>
      <c r="P37" s="3">
        <v>12.5055</v>
      </c>
      <c r="R37">
        <v>3</v>
      </c>
    </row>
    <row r="38" spans="1:18" x14ac:dyDescent="0.25">
      <c r="A38" t="s">
        <v>96</v>
      </c>
      <c r="B38" t="s">
        <v>305</v>
      </c>
      <c r="C38" t="s">
        <v>1</v>
      </c>
      <c r="D38" t="s">
        <v>0</v>
      </c>
      <c r="E38">
        <v>7494</v>
      </c>
      <c r="F38" t="s">
        <v>293</v>
      </c>
      <c r="G38" t="s">
        <v>294</v>
      </c>
      <c r="H38" s="3">
        <v>0.77</v>
      </c>
      <c r="I38" s="3">
        <v>0</v>
      </c>
      <c r="J38" s="3">
        <v>0</v>
      </c>
      <c r="K38" s="3">
        <v>8.18</v>
      </c>
      <c r="L38" s="3">
        <v>0</v>
      </c>
      <c r="M38" s="3">
        <v>0</v>
      </c>
      <c r="N38" s="3">
        <v>0</v>
      </c>
      <c r="O38" s="3">
        <v>1.0633999999999999</v>
      </c>
      <c r="P38" s="3">
        <v>10.013399999999999</v>
      </c>
      <c r="R38">
        <v>3</v>
      </c>
    </row>
    <row r="39" spans="1:18" x14ac:dyDescent="0.25">
      <c r="A39" t="s">
        <v>96</v>
      </c>
      <c r="B39" t="s">
        <v>303</v>
      </c>
      <c r="C39" t="s">
        <v>1</v>
      </c>
      <c r="D39" t="s">
        <v>0</v>
      </c>
      <c r="E39">
        <v>1019</v>
      </c>
      <c r="F39" t="s">
        <v>302</v>
      </c>
      <c r="G39" t="s">
        <v>304</v>
      </c>
      <c r="H39" s="3">
        <v>0</v>
      </c>
      <c r="I39" s="3">
        <v>0</v>
      </c>
      <c r="J39" s="3">
        <v>0</v>
      </c>
      <c r="K39" s="3">
        <v>27.32</v>
      </c>
      <c r="L39" s="3">
        <v>0</v>
      </c>
      <c r="M39" s="3">
        <v>0</v>
      </c>
      <c r="N39" s="3">
        <v>0</v>
      </c>
      <c r="O39" s="3">
        <v>3.5516000000000001</v>
      </c>
      <c r="P39" s="3">
        <v>30.871600000000001</v>
      </c>
      <c r="R39">
        <v>3</v>
      </c>
    </row>
    <row r="40" spans="1:18" x14ac:dyDescent="0.25">
      <c r="A40" t="s">
        <v>94</v>
      </c>
      <c r="H40" s="83">
        <f>SUBTOTAL(109,Tabla1[C. EXENTAS])</f>
        <v>27.72</v>
      </c>
      <c r="I40" s="83"/>
      <c r="J40" s="83"/>
      <c r="K40" s="83">
        <f>SUBTOTAL(109,Tabla1[C. GRAVADA])</f>
        <v>878.18000000000006</v>
      </c>
      <c r="L40" s="83"/>
      <c r="M40" s="83"/>
      <c r="N40" s="83"/>
      <c r="O40" s="83">
        <f>SUBTOTAL(109,Tabla1[IVA])</f>
        <v>114.16340000000001</v>
      </c>
      <c r="P40" s="83">
        <f>SUBTOTAL(109,Tabla1[TOTAL C.])</f>
        <v>1020.0634</v>
      </c>
      <c r="Q40" s="82"/>
      <c r="R40">
        <f>SUBTOTAL(109,Tabla1[ANEXO 3])</f>
        <v>111</v>
      </c>
    </row>
  </sheetData>
  <dataConsolidate/>
  <conditionalFormatting sqref="E41:E1048576 E1:E39">
    <cfRule type="duplicateValues" dxfId="5" priority="1"/>
    <cfRule type="duplicateValues" dxfId="4" priority="2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33"/>
    <col min="2" max="2" width="15.140625" style="33" customWidth="1"/>
    <col min="3" max="3" width="3.85546875" style="33" customWidth="1"/>
    <col min="4" max="4" width="25.85546875" style="34" customWidth="1"/>
    <col min="5" max="5" width="7.85546875" style="33" customWidth="1"/>
    <col min="6" max="16384" width="11.42578125" style="33"/>
  </cols>
  <sheetData>
    <row r="1" spans="2:4" ht="90" customHeight="1" thickBot="1" x14ac:dyDescent="0.3"/>
    <row r="2" spans="2:4" x14ac:dyDescent="0.25">
      <c r="B2" s="35" t="s">
        <v>17</v>
      </c>
      <c r="C2" s="36"/>
      <c r="D2" s="38" t="s">
        <v>96</v>
      </c>
    </row>
    <row r="3" spans="2:4" x14ac:dyDescent="0.25">
      <c r="B3" s="35" t="s">
        <v>2</v>
      </c>
      <c r="C3" s="36"/>
      <c r="D3" s="45" t="s">
        <v>348</v>
      </c>
    </row>
    <row r="4" spans="2:4" x14ac:dyDescent="0.25">
      <c r="B4" s="35" t="s">
        <v>3</v>
      </c>
      <c r="C4" s="36"/>
      <c r="D4" s="40" t="s">
        <v>1</v>
      </c>
    </row>
    <row r="5" spans="2:4" x14ac:dyDescent="0.25">
      <c r="B5" s="35" t="s">
        <v>4</v>
      </c>
      <c r="C5" s="36"/>
      <c r="D5" s="40" t="s">
        <v>0</v>
      </c>
    </row>
    <row r="6" spans="2:4" x14ac:dyDescent="0.25">
      <c r="B6" s="37" t="s">
        <v>28</v>
      </c>
      <c r="C6" s="36"/>
      <c r="D6" s="39" t="s">
        <v>281</v>
      </c>
    </row>
    <row r="7" spans="2:4" x14ac:dyDescent="0.25">
      <c r="B7" s="35" t="s">
        <v>27</v>
      </c>
      <c r="C7" s="36"/>
      <c r="D7" s="39" t="s">
        <v>282</v>
      </c>
    </row>
    <row r="8" spans="2:4" x14ac:dyDescent="0.25">
      <c r="B8" s="35" t="s">
        <v>26</v>
      </c>
      <c r="C8" s="36"/>
      <c r="D8" s="46"/>
    </row>
    <row r="9" spans="2:4" x14ac:dyDescent="0.25">
      <c r="B9" s="35" t="s">
        <v>25</v>
      </c>
      <c r="C9" s="36"/>
      <c r="D9" s="41">
        <f>+D8</f>
        <v>0</v>
      </c>
    </row>
    <row r="10" spans="2:4" x14ac:dyDescent="0.25">
      <c r="B10" s="35" t="s">
        <v>24</v>
      </c>
      <c r="C10" s="36"/>
      <c r="D10" s="47" t="s">
        <v>279</v>
      </c>
    </row>
    <row r="11" spans="2:4" x14ac:dyDescent="0.25">
      <c r="B11" s="37" t="s">
        <v>86</v>
      </c>
      <c r="C11" s="36"/>
      <c r="D11" s="42" t="str">
        <f>IFERROR(VLOOKUP(D10,'base de clientes'!A:B,2,0),"No existe")</f>
        <v>UNEX S.A DE C.V.</v>
      </c>
    </row>
    <row r="12" spans="2:4" x14ac:dyDescent="0.25">
      <c r="B12" s="37" t="s">
        <v>88</v>
      </c>
      <c r="C12" s="36"/>
      <c r="D12" s="43">
        <v>0</v>
      </c>
    </row>
    <row r="13" spans="2:4" x14ac:dyDescent="0.25">
      <c r="B13" s="37" t="s">
        <v>87</v>
      </c>
      <c r="C13" s="36"/>
      <c r="D13" s="43">
        <v>0</v>
      </c>
    </row>
    <row r="14" spans="2:4" x14ac:dyDescent="0.25">
      <c r="B14" s="35" t="s">
        <v>23</v>
      </c>
      <c r="C14" s="36"/>
      <c r="D14" s="48">
        <v>0</v>
      </c>
    </row>
    <row r="15" spans="2:4" x14ac:dyDescent="0.25">
      <c r="B15" s="35" t="s">
        <v>22</v>
      </c>
      <c r="C15" s="36"/>
      <c r="D15" s="43">
        <f>+D14*0.13</f>
        <v>0</v>
      </c>
    </row>
    <row r="16" spans="2:4" x14ac:dyDescent="0.25">
      <c r="B16" s="35" t="s">
        <v>21</v>
      </c>
      <c r="C16" s="36"/>
      <c r="D16" s="43">
        <v>0</v>
      </c>
    </row>
    <row r="17" spans="2:4" x14ac:dyDescent="0.25">
      <c r="B17" s="35" t="s">
        <v>20</v>
      </c>
      <c r="C17" s="36"/>
      <c r="D17" s="43">
        <v>0</v>
      </c>
    </row>
    <row r="18" spans="2:4" ht="15" customHeight="1" x14ac:dyDescent="0.25">
      <c r="B18" s="35" t="s">
        <v>89</v>
      </c>
      <c r="C18" s="36"/>
      <c r="D18" s="43">
        <f>+(D12+D13+D14+D15+D16+D17)</f>
        <v>0</v>
      </c>
    </row>
    <row r="19" spans="2:4" ht="15" customHeight="1" x14ac:dyDescent="0.25">
      <c r="B19" s="35" t="s">
        <v>95</v>
      </c>
      <c r="C19" s="36"/>
      <c r="D19" s="81" t="s">
        <v>296</v>
      </c>
    </row>
    <row r="20" spans="2:4" ht="15.75" thickBot="1" x14ac:dyDescent="0.3">
      <c r="B20" s="35" t="s">
        <v>18</v>
      </c>
      <c r="C20" s="36"/>
      <c r="D20" s="44" t="s">
        <v>1</v>
      </c>
    </row>
  </sheetData>
  <conditionalFormatting sqref="D19">
    <cfRule type="containsText" dxfId="3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5"/>
  <sheetViews>
    <sheetView showGridLines="0" topLeftCell="F1" workbookViewId="0">
      <selection activeCell="F2" sqref="F2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3" spans="5:23" x14ac:dyDescent="0.25">
      <c r="E3" t="s">
        <v>340</v>
      </c>
      <c r="F3" t="s">
        <v>348</v>
      </c>
      <c r="G3" t="s">
        <v>1</v>
      </c>
      <c r="H3" t="s">
        <v>0</v>
      </c>
      <c r="I3" t="s">
        <v>281</v>
      </c>
      <c r="J3" t="s">
        <v>282</v>
      </c>
      <c r="K3">
        <v>11</v>
      </c>
      <c r="L3">
        <v>11</v>
      </c>
      <c r="M3" t="s">
        <v>279</v>
      </c>
      <c r="N3" t="s">
        <v>280</v>
      </c>
      <c r="O3" s="3">
        <v>0</v>
      </c>
      <c r="P3" s="3">
        <v>0</v>
      </c>
      <c r="Q3" s="3">
        <v>2560</v>
      </c>
      <c r="R3" s="3">
        <v>332.8</v>
      </c>
      <c r="S3" s="3">
        <v>0</v>
      </c>
      <c r="T3" s="3">
        <v>0</v>
      </c>
      <c r="U3" s="3">
        <v>2892.8</v>
      </c>
      <c r="W3" t="s">
        <v>1</v>
      </c>
    </row>
    <row r="4" spans="5:23" x14ac:dyDescent="0.25">
      <c r="E4" t="s">
        <v>96</v>
      </c>
      <c r="F4" t="s">
        <v>300</v>
      </c>
      <c r="G4" t="s">
        <v>1</v>
      </c>
      <c r="H4" t="s">
        <v>0</v>
      </c>
      <c r="I4" t="s">
        <v>281</v>
      </c>
      <c r="J4" t="s">
        <v>282</v>
      </c>
      <c r="K4">
        <v>10</v>
      </c>
      <c r="L4">
        <v>10</v>
      </c>
      <c r="M4" t="s">
        <v>279</v>
      </c>
      <c r="N4" t="s">
        <v>280</v>
      </c>
      <c r="O4" s="3">
        <v>0</v>
      </c>
      <c r="P4" s="3">
        <v>0</v>
      </c>
      <c r="Q4" s="3">
        <v>1455</v>
      </c>
      <c r="R4" s="3">
        <v>189.15</v>
      </c>
      <c r="S4" s="3">
        <v>0</v>
      </c>
      <c r="T4" s="3">
        <v>0</v>
      </c>
      <c r="U4" s="3">
        <v>1644.15</v>
      </c>
      <c r="W4" t="s">
        <v>1</v>
      </c>
    </row>
    <row r="5" spans="5:23" x14ac:dyDescent="0.25">
      <c r="E5" t="s">
        <v>94</v>
      </c>
      <c r="O5" s="2"/>
      <c r="P5" s="2"/>
      <c r="Q5" s="31">
        <f>SUBTOTAL(109,Tabla2[V. GRAVADA])</f>
        <v>4015</v>
      </c>
      <c r="R5" s="31">
        <f>SUBTOTAL(109,Tabla2[D.FISCAL])</f>
        <v>521.95000000000005</v>
      </c>
      <c r="S5" s="2"/>
      <c r="T5" s="2"/>
      <c r="U5" s="31">
        <f>SUBTOTAL(109,Tabla2[VENTA TOTAL])</f>
        <v>4536.9500000000007</v>
      </c>
      <c r="V5" s="2"/>
      <c r="W5">
        <f>SUBTOTAL(103,Tabla2[ANEXO])</f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03"/>
  <sheetViews>
    <sheetView topLeftCell="A81" workbookViewId="0">
      <selection activeCell="B104" sqref="B104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95</v>
      </c>
    </row>
    <row r="2" spans="1:8" x14ac:dyDescent="0.25">
      <c r="A2" s="1" t="s">
        <v>67</v>
      </c>
      <c r="B2" t="s">
        <v>66</v>
      </c>
      <c r="C2" s="1" t="s">
        <v>97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97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97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97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97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97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97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97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97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97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97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97</v>
      </c>
    </row>
    <row r="14" spans="1:8" x14ac:dyDescent="0.25">
      <c r="A14" s="1" t="s">
        <v>43</v>
      </c>
      <c r="B14" t="s">
        <v>42</v>
      </c>
      <c r="C14" s="1" t="s">
        <v>97</v>
      </c>
    </row>
    <row r="15" spans="1:8" x14ac:dyDescent="0.25">
      <c r="A15" s="1" t="s">
        <v>41</v>
      </c>
      <c r="B15" t="s">
        <v>40</v>
      </c>
      <c r="C15" s="1" t="s">
        <v>97</v>
      </c>
    </row>
    <row r="16" spans="1:8" x14ac:dyDescent="0.25">
      <c r="A16" s="1" t="s">
        <v>39</v>
      </c>
      <c r="B16" t="s">
        <v>38</v>
      </c>
      <c r="C16" s="1" t="s">
        <v>97</v>
      </c>
    </row>
    <row r="17" spans="1:3" x14ac:dyDescent="0.25">
      <c r="A17" s="1" t="s">
        <v>37</v>
      </c>
      <c r="B17" t="s">
        <v>36</v>
      </c>
      <c r="C17" s="1" t="s">
        <v>97</v>
      </c>
    </row>
    <row r="18" spans="1:3" x14ac:dyDescent="0.25">
      <c r="A18" s="1" t="s">
        <v>35</v>
      </c>
      <c r="B18" t="s">
        <v>34</v>
      </c>
      <c r="C18" s="1" t="s">
        <v>97</v>
      </c>
    </row>
    <row r="19" spans="1:3" x14ac:dyDescent="0.25">
      <c r="A19" s="1" t="s">
        <v>33</v>
      </c>
      <c r="B19" t="s">
        <v>32</v>
      </c>
      <c r="C19" s="1" t="s">
        <v>97</v>
      </c>
    </row>
    <row r="20" spans="1:3" x14ac:dyDescent="0.25">
      <c r="A20" s="1" t="s">
        <v>31</v>
      </c>
      <c r="B20" t="s">
        <v>30</v>
      </c>
      <c r="C20" s="1" t="s">
        <v>97</v>
      </c>
    </row>
    <row r="21" spans="1:3" x14ac:dyDescent="0.25">
      <c r="A21" s="1" t="s">
        <v>99</v>
      </c>
      <c r="B21" t="s">
        <v>100</v>
      </c>
      <c r="C21" s="1" t="s">
        <v>97</v>
      </c>
    </row>
    <row r="22" spans="1:3" x14ac:dyDescent="0.25">
      <c r="A22" s="1" t="s">
        <v>101</v>
      </c>
      <c r="B22" t="s">
        <v>102</v>
      </c>
      <c r="C22" s="1" t="s">
        <v>97</v>
      </c>
    </row>
    <row r="23" spans="1:3" x14ac:dyDescent="0.25">
      <c r="A23" s="1" t="s">
        <v>103</v>
      </c>
      <c r="B23" t="s">
        <v>104</v>
      </c>
      <c r="C23" s="1" t="s">
        <v>97</v>
      </c>
    </row>
    <row r="24" spans="1:3" x14ac:dyDescent="0.25">
      <c r="A24" s="1" t="s">
        <v>105</v>
      </c>
      <c r="B24" t="s">
        <v>106</v>
      </c>
      <c r="C24" s="1" t="s">
        <v>97</v>
      </c>
    </row>
    <row r="25" spans="1:3" x14ac:dyDescent="0.25">
      <c r="A25" s="1" t="s">
        <v>107</v>
      </c>
      <c r="B25" t="s">
        <v>108</v>
      </c>
      <c r="C25" s="1" t="s">
        <v>97</v>
      </c>
    </row>
    <row r="26" spans="1:3" x14ac:dyDescent="0.25">
      <c r="A26" s="1" t="s">
        <v>109</v>
      </c>
      <c r="B26" t="s">
        <v>110</v>
      </c>
      <c r="C26" s="1" t="s">
        <v>97</v>
      </c>
    </row>
    <row r="27" spans="1:3" x14ac:dyDescent="0.25">
      <c r="A27" s="1" t="s">
        <v>197</v>
      </c>
      <c r="B27" t="s">
        <v>111</v>
      </c>
      <c r="C27" s="1" t="s">
        <v>97</v>
      </c>
    </row>
    <row r="28" spans="1:3" x14ac:dyDescent="0.25">
      <c r="A28" s="1" t="s">
        <v>198</v>
      </c>
      <c r="B28" t="s">
        <v>112</v>
      </c>
      <c r="C28" s="1" t="s">
        <v>97</v>
      </c>
    </row>
    <row r="29" spans="1:3" x14ac:dyDescent="0.25">
      <c r="A29" s="1" t="s">
        <v>113</v>
      </c>
      <c r="B29" t="s">
        <v>114</v>
      </c>
      <c r="C29" s="1" t="s">
        <v>97</v>
      </c>
    </row>
    <row r="30" spans="1:3" x14ac:dyDescent="0.25">
      <c r="A30" s="1" t="s">
        <v>115</v>
      </c>
      <c r="B30" t="s">
        <v>116</v>
      </c>
      <c r="C30" s="1" t="s">
        <v>97</v>
      </c>
    </row>
    <row r="31" spans="1:3" x14ac:dyDescent="0.25">
      <c r="A31" s="1" t="s">
        <v>117</v>
      </c>
      <c r="B31" t="s">
        <v>118</v>
      </c>
      <c r="C31" s="1" t="s">
        <v>97</v>
      </c>
    </row>
    <row r="32" spans="1:3" x14ac:dyDescent="0.25">
      <c r="A32" s="1" t="s">
        <v>119</v>
      </c>
      <c r="B32" t="s">
        <v>120</v>
      </c>
      <c r="C32" s="1" t="s">
        <v>97</v>
      </c>
    </row>
    <row r="33" spans="1:3" x14ac:dyDescent="0.25">
      <c r="A33" s="1" t="s">
        <v>121</v>
      </c>
      <c r="B33" t="s">
        <v>122</v>
      </c>
      <c r="C33" s="1" t="s">
        <v>97</v>
      </c>
    </row>
    <row r="34" spans="1:3" x14ac:dyDescent="0.25">
      <c r="A34" s="1" t="s">
        <v>199</v>
      </c>
      <c r="B34" t="s">
        <v>123</v>
      </c>
      <c r="C34" s="1" t="s">
        <v>97</v>
      </c>
    </row>
    <row r="35" spans="1:3" x14ac:dyDescent="0.25">
      <c r="A35" s="1" t="s">
        <v>124</v>
      </c>
      <c r="B35" t="s">
        <v>125</v>
      </c>
      <c r="C35" s="1" t="s">
        <v>97</v>
      </c>
    </row>
    <row r="36" spans="1:3" x14ac:dyDescent="0.25">
      <c r="A36" s="1" t="s">
        <v>126</v>
      </c>
      <c r="B36" t="s">
        <v>127</v>
      </c>
      <c r="C36" s="1" t="s">
        <v>97</v>
      </c>
    </row>
    <row r="37" spans="1:3" x14ac:dyDescent="0.25">
      <c r="A37" s="1" t="s">
        <v>128</v>
      </c>
      <c r="B37" t="s">
        <v>129</v>
      </c>
      <c r="C37" s="1" t="s">
        <v>97</v>
      </c>
    </row>
    <row r="38" spans="1:3" x14ac:dyDescent="0.25">
      <c r="A38" s="1" t="s">
        <v>130</v>
      </c>
      <c r="B38" t="s">
        <v>131</v>
      </c>
      <c r="C38" s="1" t="s">
        <v>97</v>
      </c>
    </row>
    <row r="39" spans="1:3" x14ac:dyDescent="0.25">
      <c r="A39" s="1" t="s">
        <v>132</v>
      </c>
      <c r="B39" t="s">
        <v>133</v>
      </c>
      <c r="C39" s="1" t="s">
        <v>97</v>
      </c>
    </row>
    <row r="40" spans="1:3" x14ac:dyDescent="0.25">
      <c r="A40" s="1" t="s">
        <v>134</v>
      </c>
      <c r="B40" t="s">
        <v>135</v>
      </c>
      <c r="C40" s="1" t="s">
        <v>97</v>
      </c>
    </row>
    <row r="41" spans="1:3" x14ac:dyDescent="0.25">
      <c r="A41" s="1" t="s">
        <v>136</v>
      </c>
      <c r="B41" t="s">
        <v>137</v>
      </c>
      <c r="C41" s="1" t="s">
        <v>97</v>
      </c>
    </row>
    <row r="42" spans="1:3" x14ac:dyDescent="0.25">
      <c r="A42" s="1" t="s">
        <v>138</v>
      </c>
      <c r="B42" t="s">
        <v>139</v>
      </c>
      <c r="C42" s="1" t="s">
        <v>97</v>
      </c>
    </row>
    <row r="43" spans="1:3" x14ac:dyDescent="0.25">
      <c r="A43" s="1" t="s">
        <v>140</v>
      </c>
      <c r="B43" t="s">
        <v>141</v>
      </c>
      <c r="C43" s="1" t="s">
        <v>97</v>
      </c>
    </row>
    <row r="44" spans="1:3" x14ac:dyDescent="0.25">
      <c r="A44" s="1" t="s">
        <v>142</v>
      </c>
      <c r="B44" t="s">
        <v>143</v>
      </c>
      <c r="C44" s="1" t="s">
        <v>97</v>
      </c>
    </row>
    <row r="45" spans="1:3" x14ac:dyDescent="0.25">
      <c r="A45" s="1" t="s">
        <v>200</v>
      </c>
      <c r="B45" t="s">
        <v>144</v>
      </c>
      <c r="C45" s="1" t="s">
        <v>97</v>
      </c>
    </row>
    <row r="46" spans="1:3" x14ac:dyDescent="0.25">
      <c r="A46" s="1" t="s">
        <v>145</v>
      </c>
      <c r="B46" t="s">
        <v>146</v>
      </c>
      <c r="C46" s="1" t="s">
        <v>97</v>
      </c>
    </row>
    <row r="47" spans="1:3" x14ac:dyDescent="0.25">
      <c r="A47" s="1" t="s">
        <v>147</v>
      </c>
      <c r="B47" t="s">
        <v>148</v>
      </c>
      <c r="C47" s="1" t="s">
        <v>97</v>
      </c>
    </row>
    <row r="48" spans="1:3" x14ac:dyDescent="0.25">
      <c r="A48" s="1" t="s">
        <v>149</v>
      </c>
      <c r="B48" s="1" t="s">
        <v>29</v>
      </c>
      <c r="C48" s="1" t="s">
        <v>97</v>
      </c>
    </row>
    <row r="49" spans="1:3" x14ac:dyDescent="0.25">
      <c r="A49" s="1" t="s">
        <v>150</v>
      </c>
      <c r="B49" t="s">
        <v>151</v>
      </c>
      <c r="C49" s="1" t="s">
        <v>97</v>
      </c>
    </row>
    <row r="50" spans="1:3" x14ac:dyDescent="0.25">
      <c r="A50" s="1" t="s">
        <v>152</v>
      </c>
      <c r="B50" t="s">
        <v>153</v>
      </c>
      <c r="C50" s="1" t="s">
        <v>97</v>
      </c>
    </row>
    <row r="51" spans="1:3" x14ac:dyDescent="0.25">
      <c r="A51" s="1" t="s">
        <v>154</v>
      </c>
      <c r="B51" t="s">
        <v>155</v>
      </c>
      <c r="C51" s="1" t="s">
        <v>97</v>
      </c>
    </row>
    <row r="52" spans="1:3" x14ac:dyDescent="0.25">
      <c r="A52" s="1" t="s">
        <v>156</v>
      </c>
      <c r="B52" t="s">
        <v>157</v>
      </c>
      <c r="C52" s="1" t="s">
        <v>97</v>
      </c>
    </row>
    <row r="53" spans="1:3" x14ac:dyDescent="0.25">
      <c r="A53" s="1" t="s">
        <v>158</v>
      </c>
      <c r="B53" t="s">
        <v>159</v>
      </c>
      <c r="C53" s="1" t="s">
        <v>97</v>
      </c>
    </row>
    <row r="54" spans="1:3" x14ac:dyDescent="0.25">
      <c r="A54" s="1" t="s">
        <v>160</v>
      </c>
      <c r="B54" t="s">
        <v>161</v>
      </c>
      <c r="C54" s="1" t="s">
        <v>97</v>
      </c>
    </row>
    <row r="55" spans="1:3" x14ac:dyDescent="0.25">
      <c r="A55" s="1" t="s">
        <v>162</v>
      </c>
      <c r="B55" t="s">
        <v>163</v>
      </c>
      <c r="C55" s="1" t="s">
        <v>97</v>
      </c>
    </row>
    <row r="56" spans="1:3" x14ac:dyDescent="0.25">
      <c r="A56" s="1" t="s">
        <v>164</v>
      </c>
      <c r="B56" t="s">
        <v>165</v>
      </c>
      <c r="C56" s="1" t="s">
        <v>97</v>
      </c>
    </row>
    <row r="57" spans="1:3" x14ac:dyDescent="0.25">
      <c r="A57" s="1" t="s">
        <v>166</v>
      </c>
      <c r="B57" t="s">
        <v>167</v>
      </c>
      <c r="C57" s="1" t="s">
        <v>97</v>
      </c>
    </row>
    <row r="58" spans="1:3" x14ac:dyDescent="0.25">
      <c r="A58" s="1" t="s">
        <v>168</v>
      </c>
      <c r="B58" t="s">
        <v>169</v>
      </c>
      <c r="C58" s="1" t="s">
        <v>97</v>
      </c>
    </row>
    <row r="59" spans="1:3" x14ac:dyDescent="0.25">
      <c r="A59" s="1" t="s">
        <v>170</v>
      </c>
      <c r="B59" t="s">
        <v>171</v>
      </c>
      <c r="C59" s="1" t="s">
        <v>97</v>
      </c>
    </row>
    <row r="60" spans="1:3" x14ac:dyDescent="0.25">
      <c r="A60" s="1" t="s">
        <v>172</v>
      </c>
      <c r="B60" t="s">
        <v>173</v>
      </c>
      <c r="C60" s="1" t="s">
        <v>97</v>
      </c>
    </row>
    <row r="61" spans="1:3" x14ac:dyDescent="0.25">
      <c r="A61" s="1" t="s">
        <v>201</v>
      </c>
      <c r="B61" t="s">
        <v>202</v>
      </c>
      <c r="C61" s="1" t="s">
        <v>97</v>
      </c>
    </row>
    <row r="62" spans="1:3" x14ac:dyDescent="0.25">
      <c r="A62" s="1" t="s">
        <v>203</v>
      </c>
      <c r="B62" t="s">
        <v>204</v>
      </c>
      <c r="C62" s="1" t="s">
        <v>97</v>
      </c>
    </row>
    <row r="63" spans="1:3" x14ac:dyDescent="0.25">
      <c r="A63" s="1" t="s">
        <v>205</v>
      </c>
      <c r="B63" t="s">
        <v>206</v>
      </c>
      <c r="C63" s="1" t="s">
        <v>97</v>
      </c>
    </row>
    <row r="64" spans="1:3" x14ac:dyDescent="0.25">
      <c r="A64" s="1" t="s">
        <v>207</v>
      </c>
      <c r="B64" t="s">
        <v>208</v>
      </c>
      <c r="C64" s="1" t="s">
        <v>97</v>
      </c>
    </row>
    <row r="65" spans="1:3" x14ac:dyDescent="0.25">
      <c r="A65" s="1" t="s">
        <v>209</v>
      </c>
      <c r="B65" t="s">
        <v>210</v>
      </c>
      <c r="C65" s="1" t="s">
        <v>97</v>
      </c>
    </row>
    <row r="66" spans="1:3" x14ac:dyDescent="0.25">
      <c r="A66" s="1" t="s">
        <v>211</v>
      </c>
      <c r="B66" t="s">
        <v>212</v>
      </c>
      <c r="C66" s="1" t="s">
        <v>97</v>
      </c>
    </row>
    <row r="67" spans="1:3" x14ac:dyDescent="0.25">
      <c r="A67" s="1" t="s">
        <v>213</v>
      </c>
      <c r="B67" t="s">
        <v>214</v>
      </c>
      <c r="C67" s="1" t="s">
        <v>97</v>
      </c>
    </row>
    <row r="68" spans="1:3" x14ac:dyDescent="0.25">
      <c r="A68" s="1" t="s">
        <v>215</v>
      </c>
      <c r="B68" t="s">
        <v>216</v>
      </c>
      <c r="C68" s="1" t="s">
        <v>97</v>
      </c>
    </row>
    <row r="69" spans="1:3" x14ac:dyDescent="0.25">
      <c r="A69" s="1" t="s">
        <v>217</v>
      </c>
      <c r="B69" t="s">
        <v>218</v>
      </c>
      <c r="C69" s="1" t="s">
        <v>97</v>
      </c>
    </row>
    <row r="70" spans="1:3" x14ac:dyDescent="0.25">
      <c r="A70" s="1" t="s">
        <v>219</v>
      </c>
      <c r="B70" t="s">
        <v>220</v>
      </c>
      <c r="C70" s="1" t="s">
        <v>97</v>
      </c>
    </row>
    <row r="71" spans="1:3" x14ac:dyDescent="0.25">
      <c r="A71" s="1" t="s">
        <v>221</v>
      </c>
      <c r="B71" t="s">
        <v>222</v>
      </c>
      <c r="C71" s="1" t="s">
        <v>97</v>
      </c>
    </row>
    <row r="72" spans="1:3" x14ac:dyDescent="0.25">
      <c r="A72" s="1" t="s">
        <v>223</v>
      </c>
      <c r="B72" t="s">
        <v>224</v>
      </c>
      <c r="C72" s="1" t="s">
        <v>97</v>
      </c>
    </row>
    <row r="73" spans="1:3" x14ac:dyDescent="0.25">
      <c r="A73" s="1" t="s">
        <v>225</v>
      </c>
      <c r="B73" t="s">
        <v>226</v>
      </c>
      <c r="C73" s="1" t="s">
        <v>97</v>
      </c>
    </row>
    <row r="74" spans="1:3" x14ac:dyDescent="0.25">
      <c r="A74" s="1" t="s">
        <v>227</v>
      </c>
      <c r="B74" t="s">
        <v>228</v>
      </c>
      <c r="C74" s="1" t="s">
        <v>97</v>
      </c>
    </row>
    <row r="75" spans="1:3" x14ac:dyDescent="0.25">
      <c r="A75" s="1" t="s">
        <v>229</v>
      </c>
      <c r="B75" t="s">
        <v>230</v>
      </c>
      <c r="C75" s="1" t="s">
        <v>97</v>
      </c>
    </row>
    <row r="76" spans="1:3" x14ac:dyDescent="0.25">
      <c r="A76" s="1" t="s">
        <v>231</v>
      </c>
      <c r="B76" t="s">
        <v>232</v>
      </c>
      <c r="C76" s="1" t="s">
        <v>97</v>
      </c>
    </row>
    <row r="77" spans="1:3" x14ac:dyDescent="0.25">
      <c r="A77" s="1" t="s">
        <v>233</v>
      </c>
      <c r="B77" t="s">
        <v>234</v>
      </c>
      <c r="C77" s="1" t="s">
        <v>97</v>
      </c>
    </row>
    <row r="78" spans="1:3" x14ac:dyDescent="0.25">
      <c r="A78" s="1" t="s">
        <v>235</v>
      </c>
      <c r="B78" s="25" t="s">
        <v>236</v>
      </c>
      <c r="C78" s="1" t="s">
        <v>97</v>
      </c>
    </row>
    <row r="79" spans="1:3" x14ac:dyDescent="0.25">
      <c r="A79" s="1" t="s">
        <v>237</v>
      </c>
      <c r="B79" t="s">
        <v>238</v>
      </c>
      <c r="C79" s="1" t="s">
        <v>97</v>
      </c>
    </row>
    <row r="80" spans="1:3" x14ac:dyDescent="0.25">
      <c r="A80" s="1" t="s">
        <v>239</v>
      </c>
      <c r="B80" t="s">
        <v>240</v>
      </c>
      <c r="C80" s="1" t="s">
        <v>97</v>
      </c>
    </row>
    <row r="81" spans="1:3" x14ac:dyDescent="0.25">
      <c r="A81" s="1" t="s">
        <v>241</v>
      </c>
      <c r="B81" t="s">
        <v>242</v>
      </c>
      <c r="C81" s="1" t="s">
        <v>97</v>
      </c>
    </row>
    <row r="82" spans="1:3" x14ac:dyDescent="0.25">
      <c r="A82" s="1" t="s">
        <v>243</v>
      </c>
      <c r="B82" t="s">
        <v>244</v>
      </c>
      <c r="C82" s="1" t="s">
        <v>97</v>
      </c>
    </row>
    <row r="83" spans="1:3" x14ac:dyDescent="0.25">
      <c r="A83" s="1" t="s">
        <v>245</v>
      </c>
      <c r="B83" t="s">
        <v>246</v>
      </c>
      <c r="C83" s="1" t="s">
        <v>97</v>
      </c>
    </row>
    <row r="84" spans="1:3" x14ac:dyDescent="0.25">
      <c r="A84" s="1" t="s">
        <v>247</v>
      </c>
      <c r="B84" t="s">
        <v>248</v>
      </c>
      <c r="C84" s="1" t="s">
        <v>97</v>
      </c>
    </row>
    <row r="85" spans="1:3" x14ac:dyDescent="0.25">
      <c r="A85" s="1" t="s">
        <v>249</v>
      </c>
      <c r="B85" t="s">
        <v>250</v>
      </c>
      <c r="C85" s="1" t="s">
        <v>97</v>
      </c>
    </row>
    <row r="86" spans="1:3" x14ac:dyDescent="0.25">
      <c r="A86" s="1" t="s">
        <v>251</v>
      </c>
      <c r="B86" t="s">
        <v>252</v>
      </c>
      <c r="C86" s="1" t="s">
        <v>97</v>
      </c>
    </row>
    <row r="87" spans="1:3" x14ac:dyDescent="0.25">
      <c r="A87" s="1" t="s">
        <v>253</v>
      </c>
      <c r="B87" t="s">
        <v>254</v>
      </c>
      <c r="C87" s="1" t="s">
        <v>97</v>
      </c>
    </row>
    <row r="88" spans="1:3" x14ac:dyDescent="0.25">
      <c r="A88" s="1" t="s">
        <v>255</v>
      </c>
      <c r="B88" t="s">
        <v>256</v>
      </c>
      <c r="C88" s="1" t="s">
        <v>97</v>
      </c>
    </row>
    <row r="89" spans="1:3" x14ac:dyDescent="0.25">
      <c r="A89" s="1" t="s">
        <v>257</v>
      </c>
      <c r="B89" t="s">
        <v>258</v>
      </c>
      <c r="C89" s="1" t="s">
        <v>97</v>
      </c>
    </row>
    <row r="90" spans="1:3" x14ac:dyDescent="0.25">
      <c r="A90" s="1" t="s">
        <v>259</v>
      </c>
      <c r="B90" t="s">
        <v>260</v>
      </c>
      <c r="C90" s="1" t="s">
        <v>97</v>
      </c>
    </row>
    <row r="91" spans="1:3" x14ac:dyDescent="0.25">
      <c r="A91" s="1" t="s">
        <v>261</v>
      </c>
      <c r="B91" t="s">
        <v>262</v>
      </c>
      <c r="C91" s="1" t="s">
        <v>97</v>
      </c>
    </row>
    <row r="92" spans="1:3" x14ac:dyDescent="0.25">
      <c r="A92" s="1" t="s">
        <v>263</v>
      </c>
      <c r="B92" s="26" t="s">
        <v>264</v>
      </c>
      <c r="C92" s="1" t="s">
        <v>97</v>
      </c>
    </row>
    <row r="93" spans="1:3" x14ac:dyDescent="0.25">
      <c r="A93" s="1" t="s">
        <v>265</v>
      </c>
      <c r="B93" t="s">
        <v>266</v>
      </c>
      <c r="C93" s="1" t="s">
        <v>97</v>
      </c>
    </row>
    <row r="94" spans="1:3" x14ac:dyDescent="0.25">
      <c r="A94" s="1" t="s">
        <v>267</v>
      </c>
      <c r="B94" t="s">
        <v>268</v>
      </c>
      <c r="C94" s="1" t="s">
        <v>97</v>
      </c>
    </row>
    <row r="95" spans="1:3" x14ac:dyDescent="0.25">
      <c r="A95" s="1" t="s">
        <v>269</v>
      </c>
      <c r="B95" t="s">
        <v>270</v>
      </c>
      <c r="C95" s="1" t="s">
        <v>97</v>
      </c>
    </row>
    <row r="96" spans="1:3" x14ac:dyDescent="0.25">
      <c r="A96" s="1" t="s">
        <v>271</v>
      </c>
      <c r="B96" t="s">
        <v>272</v>
      </c>
      <c r="C96" s="1" t="s">
        <v>97</v>
      </c>
    </row>
    <row r="97" spans="1:3" x14ac:dyDescent="0.25">
      <c r="A97" s="1" t="s">
        <v>273</v>
      </c>
      <c r="B97" t="s">
        <v>274</v>
      </c>
      <c r="C97" s="1" t="s">
        <v>97</v>
      </c>
    </row>
    <row r="98" spans="1:3" x14ac:dyDescent="0.25">
      <c r="A98" s="1" t="s">
        <v>275</v>
      </c>
      <c r="B98" t="s">
        <v>276</v>
      </c>
      <c r="C98" s="1" t="s">
        <v>97</v>
      </c>
    </row>
    <row r="99" spans="1:3" x14ac:dyDescent="0.25">
      <c r="A99" s="1" t="s">
        <v>277</v>
      </c>
      <c r="B99" t="s">
        <v>278</v>
      </c>
      <c r="C99" s="1" t="s">
        <v>97</v>
      </c>
    </row>
    <row r="100" spans="1:3" x14ac:dyDescent="0.25">
      <c r="A100" s="1" t="s">
        <v>279</v>
      </c>
      <c r="B100" t="s">
        <v>280</v>
      </c>
      <c r="C100" s="1" t="s">
        <v>97</v>
      </c>
    </row>
    <row r="101" spans="1:3" x14ac:dyDescent="0.25">
      <c r="A101" s="1" t="s">
        <v>289</v>
      </c>
      <c r="B101" t="s">
        <v>290</v>
      </c>
    </row>
    <row r="102" spans="1:3" x14ac:dyDescent="0.25">
      <c r="A102" s="1" t="s">
        <v>295</v>
      </c>
      <c r="B102" t="s">
        <v>297</v>
      </c>
      <c r="C102" s="1" t="s">
        <v>295</v>
      </c>
    </row>
    <row r="103" spans="1:3" x14ac:dyDescent="0.25">
      <c r="A103" s="1" t="s">
        <v>298</v>
      </c>
      <c r="B103" t="s">
        <v>299</v>
      </c>
    </row>
  </sheetData>
  <conditionalFormatting sqref="A1:A101 A103:A1048576">
    <cfRule type="duplicateValues" dxfId="2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 A102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96</v>
      </c>
    </row>
    <row r="3" spans="2:4" x14ac:dyDescent="0.25">
      <c r="B3" s="5" t="s">
        <v>2</v>
      </c>
      <c r="D3" s="11"/>
    </row>
    <row r="4" spans="2:4" x14ac:dyDescent="0.25">
      <c r="B4" s="5" t="s">
        <v>3</v>
      </c>
      <c r="D4" s="14" t="s">
        <v>1</v>
      </c>
    </row>
    <row r="5" spans="2:4" x14ac:dyDescent="0.25">
      <c r="B5" s="21" t="s">
        <v>4</v>
      </c>
      <c r="D5" s="14" t="s">
        <v>92</v>
      </c>
    </row>
    <row r="6" spans="2:4" x14ac:dyDescent="0.25">
      <c r="B6" s="6" t="s">
        <v>84</v>
      </c>
      <c r="D6" s="14"/>
    </row>
    <row r="7" spans="2:4" x14ac:dyDescent="0.25">
      <c r="B7" s="6" t="s">
        <v>83</v>
      </c>
      <c r="D7" s="14"/>
    </row>
    <row r="8" spans="2:4" x14ac:dyDescent="0.25">
      <c r="B8" s="6" t="s">
        <v>82</v>
      </c>
      <c r="D8" s="15"/>
    </row>
    <row r="9" spans="2:4" x14ac:dyDescent="0.25">
      <c r="B9" s="5" t="s">
        <v>81</v>
      </c>
      <c r="D9" s="16">
        <f>+D8</f>
        <v>0</v>
      </c>
    </row>
    <row r="10" spans="2:4" x14ac:dyDescent="0.25">
      <c r="B10" s="5" t="s">
        <v>82</v>
      </c>
      <c r="D10" s="23">
        <f>+D9</f>
        <v>0</v>
      </c>
    </row>
    <row r="11" spans="2:4" x14ac:dyDescent="0.25">
      <c r="B11" s="5" t="s">
        <v>81</v>
      </c>
      <c r="D11" s="18">
        <f>+D10</f>
        <v>0</v>
      </c>
    </row>
    <row r="12" spans="2:4" x14ac:dyDescent="0.25">
      <c r="B12" s="5" t="s">
        <v>80</v>
      </c>
      <c r="D12" s="18">
        <v>0</v>
      </c>
    </row>
    <row r="13" spans="2:4" x14ac:dyDescent="0.25">
      <c r="B13" s="5" t="s">
        <v>79</v>
      </c>
      <c r="D13" s="8">
        <v>0</v>
      </c>
    </row>
    <row r="14" spans="2:4" x14ac:dyDescent="0.25">
      <c r="B14" s="5" t="s">
        <v>78</v>
      </c>
      <c r="D14" s="17">
        <v>0</v>
      </c>
    </row>
    <row r="15" spans="2:4" x14ac:dyDescent="0.25">
      <c r="B15" s="22" t="s">
        <v>77</v>
      </c>
      <c r="D15" s="17">
        <v>0</v>
      </c>
    </row>
    <row r="16" spans="2:4" x14ac:dyDescent="0.25">
      <c r="B16" s="22" t="s">
        <v>76</v>
      </c>
      <c r="D16" s="13">
        <v>0</v>
      </c>
    </row>
    <row r="17" spans="2:4" x14ac:dyDescent="0.25">
      <c r="B17" s="22" t="s">
        <v>75</v>
      </c>
      <c r="D17" s="8">
        <v>0</v>
      </c>
    </row>
    <row r="18" spans="2:4" x14ac:dyDescent="0.25">
      <c r="B18" s="22" t="s">
        <v>74</v>
      </c>
      <c r="D18" s="8">
        <v>0</v>
      </c>
    </row>
    <row r="19" spans="2:4" x14ac:dyDescent="0.25">
      <c r="B19" s="22" t="s">
        <v>73</v>
      </c>
      <c r="D19" s="8">
        <v>0</v>
      </c>
    </row>
    <row r="20" spans="2:4" x14ac:dyDescent="0.25">
      <c r="B20" s="22" t="s">
        <v>72</v>
      </c>
      <c r="D20" s="8">
        <v>0</v>
      </c>
    </row>
    <row r="21" spans="2:4" x14ac:dyDescent="0.25">
      <c r="B21" s="22" t="s">
        <v>71</v>
      </c>
      <c r="D21" s="8">
        <v>0</v>
      </c>
    </row>
    <row r="22" spans="2:4" x14ac:dyDescent="0.25">
      <c r="B22" s="22" t="s">
        <v>19</v>
      </c>
      <c r="D22" s="19">
        <f>SUM(D13:D21)</f>
        <v>0</v>
      </c>
    </row>
    <row r="23" spans="2:4" ht="15.75" thickBot="1" x14ac:dyDescent="0.3">
      <c r="B23" s="22" t="s">
        <v>18</v>
      </c>
      <c r="D23" s="20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4"/>
  <sheetViews>
    <sheetView showGridLines="0" workbookViewId="0">
      <selection activeCell="A4" sqref="A4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4" spans="1:22" x14ac:dyDescent="0.25">
      <c r="A4" t="s">
        <v>94</v>
      </c>
      <c r="L4" s="2"/>
      <c r="M4" s="2"/>
      <c r="N4" s="2"/>
      <c r="O4" s="31">
        <f>SUBTOTAL(109,Tabla3[V GRAVADAS])</f>
        <v>0</v>
      </c>
      <c r="P4" s="2"/>
      <c r="Q4" s="2"/>
      <c r="R4" s="31">
        <f>SUBTOTAL(109,Tabla3[EX SERVICE])</f>
        <v>0</v>
      </c>
      <c r="S4" s="2"/>
      <c r="T4" s="2"/>
      <c r="U4" s="31">
        <f>SUBTOTAL(109,Tabla3[TOTAL VENTA])</f>
        <v>0</v>
      </c>
      <c r="V4">
        <f>SUBTOTAL(103,Tabla3[ANEXO])</f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637"/>
  <sheetViews>
    <sheetView workbookViewId="0"/>
  </sheetViews>
  <sheetFormatPr baseColWidth="10" defaultRowHeight="15" x14ac:dyDescent="0.25"/>
  <cols>
    <col min="3" max="3" width="11.42578125" style="3"/>
  </cols>
  <sheetData>
    <row r="1" spans="1:7" x14ac:dyDescent="0.25">
      <c r="A1">
        <v>447</v>
      </c>
      <c r="C1" s="1" t="s">
        <v>92</v>
      </c>
      <c r="D1" s="1" t="s">
        <v>98</v>
      </c>
      <c r="E1" s="1" t="s">
        <v>174</v>
      </c>
      <c r="F1" s="1" t="s">
        <v>93</v>
      </c>
      <c r="G1" t="str">
        <f>+C1&amp;F1&amp;D1&amp;F1&amp;E1</f>
        <v>01/12/2021</v>
      </c>
    </row>
    <row r="48" spans="3:3" x14ac:dyDescent="0.25">
      <c r="C48" s="3">
        <v>12119.47</v>
      </c>
    </row>
    <row r="98" spans="3:5" x14ac:dyDescent="0.25">
      <c r="C98" s="3">
        <v>10464.49</v>
      </c>
      <c r="E98" s="31"/>
    </row>
    <row r="148" spans="3:3" x14ac:dyDescent="0.25">
      <c r="C148" s="3">
        <v>10721.05</v>
      </c>
    </row>
    <row r="198" spans="3:3" x14ac:dyDescent="0.25">
      <c r="C198" s="3">
        <v>11024.04</v>
      </c>
    </row>
    <row r="248" spans="3:3" x14ac:dyDescent="0.25">
      <c r="C248" s="3">
        <v>12779.6</v>
      </c>
    </row>
    <row r="298" spans="3:5" x14ac:dyDescent="0.25">
      <c r="C298" s="3">
        <v>15068.38</v>
      </c>
      <c r="E298" s="31"/>
    </row>
    <row r="348" spans="3:3" x14ac:dyDescent="0.25">
      <c r="C348" s="3">
        <v>16239.95</v>
      </c>
    </row>
    <row r="398" spans="3:3" x14ac:dyDescent="0.25">
      <c r="C398" s="3">
        <v>11780.4</v>
      </c>
    </row>
    <row r="448" spans="3:3" x14ac:dyDescent="0.25">
      <c r="C448" s="3">
        <v>11858.96</v>
      </c>
    </row>
    <row r="498" spans="3:3" x14ac:dyDescent="0.25">
      <c r="C498" s="3">
        <v>14383.05</v>
      </c>
    </row>
    <row r="548" spans="3:3" x14ac:dyDescent="0.25">
      <c r="C548" s="3">
        <v>11336.95</v>
      </c>
    </row>
    <row r="598" spans="3:3" x14ac:dyDescent="0.25">
      <c r="C598" s="3">
        <v>7937.18</v>
      </c>
    </row>
    <row r="635" spans="2:4" x14ac:dyDescent="0.25">
      <c r="C635" s="3">
        <v>7277.81</v>
      </c>
    </row>
    <row r="637" spans="2:4" x14ac:dyDescent="0.25">
      <c r="B637">
        <f>SUM(B1:B636)</f>
        <v>0</v>
      </c>
      <c r="C637">
        <f>SUM(C1:C636)</f>
        <v>152991.32999999999</v>
      </c>
      <c r="D637">
        <f>+B637-C637</f>
        <v>-152991.32999999999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J4"/>
  <sheetViews>
    <sheetView zoomScaleNormal="100" workbookViewId="0">
      <selection activeCell="B2" sqref="B2:J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80"/>
    <col min="8" max="9" width="13.28515625" style="80" customWidth="1"/>
    <col min="10" max="10" width="11.42578125" style="1"/>
  </cols>
  <sheetData>
    <row r="1" spans="1:10" x14ac:dyDescent="0.25">
      <c r="A1" t="s">
        <v>17</v>
      </c>
      <c r="B1" s="1" t="s">
        <v>69</v>
      </c>
      <c r="C1" s="1" t="s">
        <v>2</v>
      </c>
      <c r="D1" s="1" t="s">
        <v>191</v>
      </c>
      <c r="E1" s="1" t="s">
        <v>83</v>
      </c>
      <c r="F1" s="1" t="s">
        <v>192</v>
      </c>
      <c r="G1" s="80" t="s">
        <v>193</v>
      </c>
      <c r="H1" s="80" t="s">
        <v>194</v>
      </c>
      <c r="I1" s="80" t="s">
        <v>95</v>
      </c>
      <c r="J1" s="1" t="s">
        <v>18</v>
      </c>
    </row>
    <row r="2" spans="1:10" x14ac:dyDescent="0.25">
      <c r="A2" t="s">
        <v>340</v>
      </c>
      <c r="B2" s="1" t="s">
        <v>279</v>
      </c>
      <c r="C2" s="1" t="s">
        <v>348</v>
      </c>
      <c r="D2" s="1" t="s">
        <v>195</v>
      </c>
      <c r="E2" s="1" t="s">
        <v>349</v>
      </c>
      <c r="F2" s="1" t="s">
        <v>350</v>
      </c>
      <c r="G2" s="80">
        <v>2560</v>
      </c>
      <c r="H2" s="80">
        <v>25.6</v>
      </c>
      <c r="J2" s="1" t="s">
        <v>196</v>
      </c>
    </row>
    <row r="4" spans="1:10" x14ac:dyDescent="0.25">
      <c r="A4" t="s">
        <v>94</v>
      </c>
      <c r="B4"/>
      <c r="C4"/>
      <c r="D4"/>
      <c r="E4"/>
      <c r="F4"/>
      <c r="G4" s="80">
        <f>SUBTOTAL(109,Tabla4[MONTO])</f>
        <v>2560</v>
      </c>
      <c r="H4" s="80">
        <f>SUBTOTAL(109,Tabla4[RETENCION])</f>
        <v>25.6</v>
      </c>
      <c r="J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2023-06-14T21:38:30Z</dcterms:modified>
</cp:coreProperties>
</file>