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CARLOS VIAUD\2024\"/>
    </mc:Choice>
  </mc:AlternateContent>
  <xr:revisionPtr revIDLastSave="0" documentId="13_ncr:1_{D56C3E66-2926-493D-B9AD-5DA6948F93AE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RETENCIONES'!$A$1:$J$8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10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9" l="1"/>
  <c r="D9" i="6" l="1"/>
  <c r="T10" i="7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9" i="13" l="1"/>
  <c r="D17" i="6"/>
  <c r="E5" i="29" l="1"/>
  <c r="E9" i="29"/>
  <c r="E6" i="29" l="1"/>
  <c r="P5" i="30"/>
  <c r="N5" i="30"/>
  <c r="M5" i="30"/>
  <c r="L5" i="30"/>
  <c r="K5" i="30"/>
  <c r="E12" i="29"/>
  <c r="E10" i="29"/>
  <c r="E8" i="29"/>
  <c r="E4" i="29"/>
  <c r="F7" i="29" l="1"/>
  <c r="F11" i="29"/>
  <c r="I4" i="29" l="1"/>
  <c r="I5" i="29"/>
  <c r="E9" i="13"/>
  <c r="I6" i="29" l="1"/>
  <c r="F9" i="13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10" i="7" l="1"/>
  <c r="J9" i="13" l="1"/>
  <c r="H9" i="13"/>
  <c r="M4" i="10" l="1"/>
  <c r="N4" i="10"/>
  <c r="O4" i="10"/>
  <c r="O5" i="10" s="1"/>
  <c r="O6" i="10" s="1"/>
  <c r="P4" i="10"/>
  <c r="Q4" i="10"/>
  <c r="R4" i="10"/>
  <c r="S4" i="10"/>
  <c r="T4" i="10"/>
  <c r="U4" i="10"/>
  <c r="L4" i="10"/>
  <c r="D9" i="9"/>
  <c r="D10" i="9" s="1"/>
  <c r="D11" i="9" s="1"/>
  <c r="D22" i="9" l="1"/>
  <c r="D18" i="5" l="1"/>
  <c r="L6" i="8"/>
  <c r="M6" i="8"/>
  <c r="N6" i="8"/>
  <c r="O6" i="8"/>
  <c r="P6" i="8"/>
  <c r="Q6" i="8"/>
  <c r="K6" i="8"/>
  <c r="J10" i="7" l="1"/>
  <c r="K10" i="7"/>
  <c r="L10" i="7"/>
  <c r="M10" i="7"/>
  <c r="N10" i="7"/>
  <c r="O10" i="7"/>
  <c r="P10" i="7"/>
  <c r="I10" i="7"/>
  <c r="H10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<sst xmlns="http://schemas.openxmlformats.org/spreadsheetml/2006/main" count="26076" uniqueCount="9238">
  <si>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</si>
  <si>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</si>
  <si>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</si>
  <si>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</si>
  <si>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</si>
  <si>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</si>
  <si>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</si>
  <si>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</si>
  <si>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</si>
  <si>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</si>
  <si>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</si>
  <si>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</si>
  <si>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</si>
  <si>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</si>
  <si>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</si>
  <si>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</si>
  <si>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</si>
  <si>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</si>
  <si>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</si>
  <si>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</si>
  <si>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</si>
  <si>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</si>
  <si>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</si>
  <si>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</si>
  <si>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</si>
  <si>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</si>
  <si>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</si>
  <si>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</si>
  <si>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</si>
  <si>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</si>
  <si>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</si>
  <si>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</si>
  <si>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</si>
  <si>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</si>
  <si>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</si>
  <si>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</si>
  <si>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</si>
  <si>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</si>
  <si>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</si>
  <si>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</si>
  <si>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</si>
  <si>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</si>
  <si>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</si>
  <si>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</si>
  <si>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</si>
  <si>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</si>
  <si>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</si>
  <si>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</si>
  <si>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</si>
  <si>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</si>
  <si>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</si>
  <si>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</si>
  <si>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</si>
  <si>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</si>
  <si>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</si>
  <si>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</si>
  <si>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</si>
  <si>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</si>
  <si>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</si>
  <si>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</si>
  <si>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</si>
  <si>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</si>
  <si>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</si>
  <si>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</si>
  <si>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</si>
  <si>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</si>
  <si>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</si>
  <si>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</si>
  <si>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</si>
  <si>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</si>
  <si>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</si>
  <si>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</si>
  <si>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</si>
  <si>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</si>
  <si>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</si>
  <si>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</si>
  <si>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</si>
  <si>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</si>
  <si>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</si>
  <si>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</si>
  <si>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</si>
  <si>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</si>
  <si>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</si>
  <si>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</si>
  <si>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</si>
  <si>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</si>
  <si>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</si>
  <si>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</si>
  <si>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</si>
  <si>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</si>
  <si>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</si>
  <si>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</si>
  <si>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</si>
  <si>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</si>
  <si>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</si>
  <si>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</si>
  <si>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</si>
  <si>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</si>
  <si>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</si>
  <si>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</si>
  <si>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</si>
  <si>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</si>
  <si>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</si>
  <si>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</si>
  <si>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</si>
  <si>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</si>
  <si>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</si>
  <si>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</si>
  <si>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</si>
  <si>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</si>
  <si>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</si>
  <si>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</si>
  <si>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</si>
  <si>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</si>
  <si>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</si>
  <si>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</si>
  <si>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</si>
  <si>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</si>
  <si>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</si>
  <si>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</si>
  <si>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</si>
  <si>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</si>
  <si>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</si>
  <si>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</si>
  <si>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</si>
  <si>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</si>
  <si>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</si>
  <si>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</si>
  <si>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</si>
  <si>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</si>
  <si>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</si>
  <si>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</si>
  <si>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</si>
  <si>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</si>
  <si>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</si>
  <si>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</si>
  <si>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</si>
  <si>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</si>
  <si>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</si>
  <si>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</si>
  <si>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</si>
  <si>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</si>
  <si>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</si>
  <si>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</si>
  <si>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</si>
  <si>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</si>
  <si>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</si>
  <si>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</si>
  <si>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</si>
  <si>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</si>
  <si>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</si>
  <si>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</si>
  <si>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</si>
  <si>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</si>
  <si>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</si>
  <si>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</si>
  <si>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</si>
  <si>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</si>
  <si>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</si>
  <si>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</si>
  <si>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</si>
  <si>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</si>
  <si>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</si>
  <si>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</si>
  <si>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</si>
  <si>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</si>
  <si>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</si>
  <si>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</si>
  <si>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</si>
  <si>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</si>
  <si>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</si>
  <si>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</si>
  <si>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</si>
  <si>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</si>
  <si>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</si>
  <si>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</si>
  <si>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</si>
  <si>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</si>
  <si>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</si>
  <si>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</si>
  <si>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</si>
  <si>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</si>
  <si>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</si>
  <si>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</si>
  <si>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</si>
  <si>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</si>
  <si>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</si>
  <si>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</si>
  <si>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</si>
  <si>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</si>
  <si>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</si>
  <si>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</si>
  <si>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</si>
  <si>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</si>
  <si>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</si>
  <si>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</si>
  <si>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</si>
  <si>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</si>
  <si>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</si>
  <si>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</si>
  <si>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</si>
  <si>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</si>
  <si>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</si>
  <si>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</si>
  <si>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</si>
  <si>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</si>
  <si>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</si>
  <si>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</si>
  <si>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</si>
  <si>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</si>
  <si>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</si>
  <si>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</si>
  <si>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</si>
  <si>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</si>
  <si>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</si>
  <si>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</si>
  <si>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</si>
  <si>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</si>
  <si>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</si>
  <si>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</si>
  <si>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</si>
  <si>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</si>
  <si>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</si>
  <si>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</si>
  <si>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</si>
  <si>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</si>
  <si>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</si>
  <si>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</si>
  <si>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</si>
  <si>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</si>
  <si>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</si>
  <si>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</si>
  <si>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</si>
  <si>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</si>
  <si>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</si>
  <si>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</si>
  <si>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</si>
  <si>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</si>
  <si>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</si>
  <si>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</si>
  <si>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</si>
  <si>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</si>
  <si>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</si>
  <si>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</si>
  <si>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</si>
  <si>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</si>
  <si>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</si>
  <si>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</si>
  <si>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</si>
  <si>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</si>
  <si>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</si>
  <si>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</si>
  <si>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</si>
  <si>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</si>
  <si>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</si>
  <si>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</si>
  <si>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</si>
  <si>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</si>
  <si>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</si>
  <si>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</si>
  <si>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</si>
  <si>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</si>
  <si>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</si>
  <si>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</si>
  <si>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</si>
  <si>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</si>
  <si>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</si>
  <si>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</si>
  <si>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</si>
  <si>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</si>
  <si>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</si>
  <si>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</si>
  <si>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</si>
  <si>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</si>
  <si>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</si>
  <si>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</si>
  <si>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</si>
  <si>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</si>
  <si>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</si>
  <si>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</si>
  <si>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</si>
  <si>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</si>
  <si>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</si>
  <si>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</si>
  <si>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</si>
  <si>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</si>
  <si>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</si>
  <si>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</si>
  <si>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</si>
  <si>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</si>
  <si>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</si>
  <si>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</si>
  <si>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</si>
  <si>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</si>
  <si>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</si>
  <si>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</si>
  <si>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</si>
  <si>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</si>
  <si>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</si>
  <si>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</si>
  <si>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</si>
  <si>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</si>
  <si>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</si>
  <si>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</si>
  <si>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</si>
  <si>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</si>
  <si>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</si>
  <si>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</si>
  <si>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</si>
  <si>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</si>
  <si>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</si>
  <si>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</si>
  <si>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</si>
  <si>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</si>
  <si>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</si>
  <si>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</si>
  <si>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</si>
  <si>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</si>
  <si>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</si>
  <si>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</si>
  <si>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</si>
  <si>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</si>
  <si>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</si>
  <si>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</si>
  <si>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</si>
  <si>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</si>
  <si>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</si>
  <si>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</si>
  <si>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</si>
  <si>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</si>
  <si>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</si>
  <si>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</si>
  <si>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</si>
  <si>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</si>
  <si>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</si>
  <si>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</si>
  <si>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</si>
  <si>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</si>
  <si>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</si>
  <si>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</si>
  <si>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</si>
  <si>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</si>
  <si>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</si>
  <si>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</si>
  <si>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</si>
  <si>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</si>
  <si>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</si>
  <si>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</si>
  <si>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</si>
  <si>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</si>
  <si>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</si>
  <si>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</si>
  <si>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</si>
  <si>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</si>
  <si>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</si>
  <si>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</si>
  <si>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</si>
  <si>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</si>
  <si>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</si>
  <si>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</si>
  <si>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</si>
  <si>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</si>
  <si>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</si>
  <si>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</si>
  <si>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</si>
  <si>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</si>
  <si>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</si>
  <si>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</si>
  <si>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</si>
  <si>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</si>
  <si>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</si>
  <si>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</si>
  <si>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</si>
  <si>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</si>
  <si>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</si>
  <si>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</si>
  <si>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</si>
  <si>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</si>
  <si>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</si>
  <si>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</si>
  <si>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</si>
  <si>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</si>
  <si>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</si>
  <si>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</si>
  <si>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</si>
  <si>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</si>
  <si>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</si>
  <si>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</si>
  <si>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</si>
  <si>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</si>
  <si>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</si>
  <si>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</si>
  <si>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</si>
  <si>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</si>
  <si>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</si>
  <si>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</si>
  <si>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</si>
  <si>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</si>
  <si>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</si>
  <si>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</si>
  <si>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</si>
  <si>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</si>
  <si>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</si>
  <si>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</si>
  <si>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</si>
  <si>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</si>
  <si>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</si>
  <si>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</si>
  <si>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</si>
  <si>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</si>
  <si>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</si>
  <si>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</si>
  <si>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</si>
  <si>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</si>
  <si>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</si>
  <si>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</si>
  <si>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</si>
  <si>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</si>
  <si>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</si>
  <si>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</si>
  <si>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</si>
  <si>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</si>
  <si>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</si>
  <si>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</si>
  <si>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</si>
  <si>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</si>
  <si>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</si>
  <si>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</si>
  <si>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</si>
  <si>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</si>
  <si>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</si>
  <si>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</si>
  <si>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</si>
  <si>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</si>
  <si>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</si>
  <si>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</si>
  <si>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</si>
  <si>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</si>
  <si>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</si>
  <si>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</si>
  <si>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</si>
  <si>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</si>
  <si>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</si>
  <si>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</si>
  <si>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</si>
  <si>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</si>
  <si>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</si>
  <si>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</si>
  <si>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</si>
  <si>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</si>
  <si>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</si>
  <si>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</si>
  <si>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</si>
  <si>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</si>
  <si>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</si>
  <si>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</si>
  <si>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</si>
  <si>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</si>
  <si>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</si>
  <si>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</si>
  <si>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</si>
  <si>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</si>
  <si>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</si>
  <si>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</si>
  <si>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</si>
  <si>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</si>
  <si>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</si>
  <si>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</si>
  <si>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</si>
  <si>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</si>
  <si>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</si>
  <si>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</si>
  <si>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</si>
  <si>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</si>
  <si>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</si>
  <si>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</si>
  <si>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</si>
  <si>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</si>
  <si>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</si>
  <si>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</si>
  <si>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</si>
  <si>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</si>
  <si>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</si>
  <si>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</si>
  <si>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</si>
  <si>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</si>
  <si>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</si>
  <si>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</si>
  <si>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</si>
  <si>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</si>
  <si>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</si>
  <si>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</si>
  <si>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</si>
  <si>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</si>
  <si>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</si>
  <si>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</si>
  <si>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</si>
  <si>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</si>
  <si>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</si>
  <si>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</si>
  <si>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</si>
  <si>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</si>
  <si>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</si>
  <si>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</si>
  <si>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</si>
  <si>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</si>
  <si>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</si>
  <si>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</si>
  <si>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</si>
  <si>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</si>
  <si>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</si>
  <si>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</si>
  <si>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</si>
  <si>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</si>
  <si>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</si>
  <si>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</si>
  <si>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</si>
  <si>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</si>
  <si>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</si>
  <si>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</si>
  <si>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</si>
  <si>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</si>
  <si>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</si>
  <si>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</si>
  <si>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</si>
  <si>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</si>
  <si>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</si>
  <si>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</si>
  <si>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</si>
  <si>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</si>
  <si>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</si>
  <si>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</si>
  <si>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</si>
  <si>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</si>
  <si>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</si>
  <si>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</si>
  <si>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</si>
  <si>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</si>
  <si>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</si>
  <si>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</si>
  <si>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</si>
  <si>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</si>
  <si>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</si>
  <si>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</si>
  <si>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</si>
  <si>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</si>
  <si>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</si>
  <si>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</si>
  <si>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</si>
  <si>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</si>
  <si>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</si>
  <si>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</si>
  <si>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</si>
  <si>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</si>
  <si>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</si>
  <si>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</si>
  <si>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</si>
  <si>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</si>
  <si>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</si>
  <si>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</si>
  <si>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</si>
  <si>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</si>
  <si>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</si>
  <si>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</si>
  <si>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</si>
  <si>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</si>
  <si>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</si>
  <si>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</si>
  <si>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</si>
  <si>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</si>
  <si>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</si>
  <si>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</si>
  <si>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</si>
  <si>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</si>
  <si>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</si>
  <si>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</si>
  <si>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</si>
  <si>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</si>
  <si>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</si>
  <si>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</si>
  <si>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</si>
  <si>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</si>
  <si>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</si>
  <si>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</si>
  <si>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</si>
  <si>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</si>
  <si>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</si>
  <si>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</si>
  <si>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</si>
  <si>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</si>
  <si>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</si>
  <si>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</si>
  <si>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</si>
  <si>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</si>
  <si>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</si>
  <si>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</si>
  <si>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</si>
  <si>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</si>
  <si>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</si>
  <si>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</si>
  <si>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</si>
  <si>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</si>
  <si>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</si>
  <si>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</si>
  <si>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</si>
  <si>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</si>
  <si>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</si>
  <si>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</si>
  <si>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</si>
  <si>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</si>
  <si>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</si>
  <si>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</si>
  <si>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</si>
  <si>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</si>
  <si>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</si>
  <si>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</si>
  <si>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</si>
  <si>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</si>
  <si>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</si>
  <si>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</si>
  <si>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</si>
  <si>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</si>
  <si>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</si>
  <si>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</si>
  <si>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</si>
  <si>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</si>
  <si>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</si>
  <si>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</si>
  <si>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</si>
  <si>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</si>
  <si>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</si>
  <si>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</si>
  <si>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</si>
  <si>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</si>
  <si>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</si>
  <si>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</si>
  <si>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</si>
  <si>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</si>
  <si>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</si>
  <si>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</si>
  <si>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</si>
  <si>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</si>
  <si>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</si>
  <si>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</si>
  <si>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</si>
  <si>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</si>
  <si>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</si>
  <si>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</si>
  <si>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</si>
  <si>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</si>
  <si>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</si>
  <si>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</si>
  <si>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</si>
  <si>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</si>
  <si>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</si>
  <si>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</si>
  <si>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</si>
  <si>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</si>
  <si>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</si>
  <si>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</si>
  <si>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</si>
  <si>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</si>
  <si>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</si>
  <si>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</si>
  <si>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</si>
  <si>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</si>
  <si>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</si>
  <si>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</si>
  <si>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</si>
  <si>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</si>
  <si>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</si>
  <si>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</si>
  <si>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</si>
  <si>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</si>
  <si>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</si>
  <si>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</si>
  <si>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</si>
  <si>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</si>
  <si>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</si>
  <si>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</si>
  <si>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</si>
  <si>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</si>
  <si>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</si>
  <si>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</si>
  <si>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</si>
  <si>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</si>
  <si>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</si>
  <si>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</si>
  <si>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</si>
  <si>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</si>
  <si>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</si>
  <si>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</si>
  <si>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</si>
  <si>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</si>
  <si>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</si>
  <si>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</si>
  <si>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</si>
  <si>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</si>
  <si>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</si>
  <si>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</si>
  <si>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</si>
  <si>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</si>
  <si>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</si>
  <si>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</si>
  <si>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</si>
  <si>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</si>
  <si>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</si>
  <si>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</si>
  <si>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</si>
  <si>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</si>
  <si>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</si>
  <si>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</si>
  <si>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</si>
  <si>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</si>
  <si>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</si>
  <si>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</si>
  <si>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</si>
  <si>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</si>
  <si>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</si>
  <si>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</si>
  <si>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</si>
  <si>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</si>
  <si>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</si>
  <si>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</si>
  <si>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</si>
  <si>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</si>
  <si>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</si>
  <si>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</si>
  <si>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</si>
  <si>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</si>
  <si>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</si>
  <si>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</si>
  <si>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</si>
  <si>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</si>
  <si>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</si>
  <si>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</si>
  <si>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</si>
  <si>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</si>
  <si>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</si>
  <si>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</si>
  <si>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</si>
  <si>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</si>
  <si>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</si>
  <si>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</si>
  <si>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</si>
  <si>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</si>
  <si>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</si>
  <si>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</si>
  <si>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</si>
  <si>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</si>
  <si>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</si>
  <si>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</si>
  <si>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</si>
  <si>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</si>
  <si>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</si>
  <si>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</si>
  <si>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</si>
  <si>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</si>
  <si>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</si>
  <si>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</si>
  <si>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</si>
  <si>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</si>
  <si>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</si>
  <si>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</si>
  <si>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</si>
  <si>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</si>
  <si>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</si>
  <si>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</si>
  <si>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</si>
  <si>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</si>
  <si>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</si>
  <si>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</si>
  <si>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</si>
  <si>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</si>
  <si>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</si>
  <si>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</si>
  <si>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</si>
  <si>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</si>
  <si>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</si>
  <si>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</si>
  <si>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</si>
  <si>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</si>
  <si>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</si>
  <si>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</si>
  <si>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</si>
  <si>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</si>
  <si>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</si>
  <si>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</si>
  <si>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</si>
  <si>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</si>
  <si>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</si>
  <si>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</si>
  <si>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</si>
  <si>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</si>
  <si>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</si>
  <si>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</si>
  <si>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</si>
  <si>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</si>
  <si>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</si>
  <si>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</si>
  <si>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</si>
  <si>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</si>
  <si>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</si>
  <si>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</si>
  <si>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</si>
  <si>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</si>
  <si>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</si>
  <si>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</si>
  <si>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</si>
  <si>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</si>
  <si>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</si>
  <si>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</si>
  <si>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</si>
  <si>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</si>
  <si>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</si>
  <si>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</si>
  <si>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</si>
  <si>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</si>
  <si>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</si>
  <si>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</si>
  <si>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</si>
  <si>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</si>
  <si>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</si>
  <si>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</si>
  <si>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</si>
  <si>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</si>
  <si>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</si>
  <si>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</si>
  <si>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</si>
  <si>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</si>
  <si>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</si>
  <si>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</si>
  <si>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</si>
  <si>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</si>
  <si>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</si>
  <si>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</si>
  <si>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</si>
  <si>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</si>
  <si>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</si>
  <si>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</si>
  <si>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</si>
  <si>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</si>
  <si>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</si>
  <si>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</si>
  <si>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</si>
  <si>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</si>
  <si>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</si>
  <si>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</si>
  <si>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</si>
  <si>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</si>
  <si>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</si>
  <si>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</si>
  <si>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</si>
  <si>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</si>
  <si>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</si>
  <si>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</si>
  <si>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</si>
  <si>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</si>
  <si>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</si>
  <si>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</si>
  <si>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</si>
  <si>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</si>
  <si>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</si>
  <si>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</si>
  <si>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</si>
  <si>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</si>
  <si>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</si>
  <si>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</si>
  <si>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</si>
  <si>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</si>
  <si>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</si>
  <si>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</si>
  <si>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</si>
  <si>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</si>
  <si>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</si>
  <si>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</si>
  <si>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</si>
  <si>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</si>
  <si>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</si>
  <si>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</si>
  <si>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</si>
  <si>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</si>
  <si>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</si>
  <si>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</si>
  <si>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</si>
  <si>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</si>
  <si>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</si>
  <si>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</si>
  <si>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</si>
  <si>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</si>
  <si>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</si>
  <si>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</si>
  <si>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</si>
  <si>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</si>
  <si>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</si>
  <si>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</si>
  <si>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</si>
  <si>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</si>
  <si>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</si>
  <si>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</si>
  <si>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</si>
  <si>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</si>
  <si>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</si>
  <si>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</si>
  <si>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</si>
  <si>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</si>
  <si>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</si>
  <si>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</si>
  <si>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</si>
  <si>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</si>
  <si>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</si>
  <si>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</si>
  <si>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</si>
  <si>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</si>
  <si>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</si>
  <si>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</si>
  <si>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</si>
  <si>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</si>
  <si>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</si>
  <si>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</si>
  <si>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</si>
  <si>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</si>
  <si>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</si>
  <si>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</si>
  <si>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</si>
  <si>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</si>
  <si>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</si>
  <si>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</si>
  <si>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</si>
  <si>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</si>
  <si>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</si>
  <si>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</si>
  <si>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</si>
  <si>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</si>
  <si>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</si>
  <si>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</si>
  <si>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</si>
  <si>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</si>
  <si>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</si>
  <si>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</si>
  <si>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</si>
  <si>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</si>
  <si>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</si>
  <si>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</si>
  <si>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</si>
  <si>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</si>
  <si>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</si>
  <si>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</si>
  <si>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</si>
  <si>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</si>
  <si>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</si>
  <si>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</si>
  <si>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</si>
  <si>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</si>
  <si>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</si>
  <si>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</si>
  <si>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</si>
  <si>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</si>
  <si>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</si>
  <si>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</si>
  <si>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</si>
  <si>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</si>
  <si>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</si>
  <si>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</si>
  <si>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</si>
  <si>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</si>
  <si>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</si>
  <si>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</si>
  <si>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</si>
  <si>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</si>
  <si>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</si>
  <si>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</si>
  <si>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</si>
  <si>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</si>
  <si>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</si>
  <si>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</si>
  <si>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</si>
  <si>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</si>
  <si>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</si>
  <si>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</si>
  <si>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</si>
  <si>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</si>
  <si>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</si>
  <si>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</si>
  <si>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</si>
  <si>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</si>
  <si>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</si>
  <si>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</si>
  <si>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</si>
  <si>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</si>
  <si>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</si>
  <si>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</si>
  <si>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</si>
  <si>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</si>
  <si>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</si>
  <si>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</si>
  <si>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</si>
  <si>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</si>
  <si>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</si>
  <si>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</si>
  <si>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</si>
  <si>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</si>
  <si>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</si>
  <si>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</si>
  <si>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</si>
  <si>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</si>
  <si>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</si>
  <si>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</si>
  <si>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</si>
  <si>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</si>
  <si>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</si>
  <si>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</si>
  <si>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</si>
  <si>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</si>
  <si>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</si>
  <si>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</si>
  <si>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</si>
  <si>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</si>
  <si>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</si>
  <si>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</si>
  <si>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</si>
  <si>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</si>
  <si>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</si>
  <si>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</si>
  <si>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</si>
  <si>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</si>
  <si>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</si>
  <si>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</si>
  <si>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</si>
  <si>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</si>
  <si>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</si>
  <si>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</si>
  <si>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</si>
  <si>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</si>
  <si>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</si>
  <si>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</si>
  <si>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</si>
  <si>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</si>
  <si>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</si>
  <si>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</si>
  <si>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</si>
  <si>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</si>
  <si>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</si>
  <si>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</si>
  <si>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</si>
  <si>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</si>
  <si>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</si>
  <si>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</si>
  <si>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</si>
  <si>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</si>
  <si>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</si>
  <si>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</si>
  <si>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</si>
  <si>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</si>
  <si>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</si>
  <si>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</si>
  <si>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</si>
  <si>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</si>
  <si>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</si>
  <si>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</si>
  <si>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</si>
  <si>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</si>
  <si>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</si>
  <si>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</si>
  <si>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</si>
  <si>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</si>
  <si>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</si>
  <si>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</si>
  <si>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</si>
  <si>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</si>
  <si>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</si>
  <si>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</si>
  <si>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</si>
  <si>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</si>
  <si>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</si>
  <si>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</si>
  <si>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</si>
  <si>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</si>
  <si>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</si>
  <si>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</si>
  <si>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</si>
  <si>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</si>
  <si>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</si>
  <si>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</si>
  <si>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</si>
  <si>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</si>
  <si>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</si>
  <si>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</si>
  <si>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</si>
  <si>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</si>
  <si>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</si>
  <si>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</si>
  <si>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</si>
  <si>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</si>
  <si>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</si>
  <si>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</si>
  <si>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</si>
  <si>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</si>
  <si>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</si>
  <si>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</si>
  <si>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</si>
  <si>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</si>
  <si>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</si>
  <si>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</si>
  <si>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</si>
  <si>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</si>
  <si>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</si>
  <si>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</si>
  <si>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</si>
  <si>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</si>
  <si>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</si>
  <si>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</si>
  <si>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</si>
  <si>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</si>
  <si>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</si>
  <si>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</si>
  <si>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</si>
  <si>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</si>
  <si>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</si>
  <si>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</si>
  <si>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</si>
  <si>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</si>
  <si>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</si>
  <si>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</si>
  <si>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</si>
  <si>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</si>
  <si>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</si>
  <si>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</si>
  <si>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</si>
  <si>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</si>
  <si>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</si>
  <si>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</si>
  <si>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</si>
  <si>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</si>
  <si>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</si>
  <si>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</si>
  <si>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</si>
  <si>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</si>
  <si>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</si>
  <si>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</si>
  <si>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</si>
  <si>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</si>
  <si>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</si>
  <si>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</si>
  <si>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</si>
  <si>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</si>
  <si>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</si>
  <si>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</si>
  <si>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</si>
  <si>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</si>
  <si>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</si>
  <si>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</si>
  <si>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</si>
  <si>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</si>
  <si>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</si>
  <si>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</si>
  <si>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</si>
  <si>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</si>
  <si>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</si>
  <si>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</si>
  <si>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</si>
  <si>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</si>
  <si>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</si>
  <si>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</si>
  <si>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</si>
  <si>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</si>
  <si>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</si>
  <si>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</si>
  <si>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</si>
  <si>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</si>
  <si>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</si>
  <si>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</si>
  <si>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</si>
  <si>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</si>
  <si>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</si>
  <si>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</si>
  <si>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</si>
  <si>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</si>
  <si>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</si>
  <si>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</si>
  <si>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</si>
  <si>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</si>
  <si>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</si>
  <si>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</si>
  <si>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</si>
  <si>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</si>
  <si>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</si>
  <si>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</si>
  <si>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</si>
  <si>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</si>
  <si>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</si>
  <si>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</si>
  <si>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</si>
  <si>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</si>
  <si>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</si>
  <si>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</si>
  <si>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</si>
  <si>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</si>
  <si>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</si>
  <si>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</si>
  <si>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</si>
  <si>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</si>
  <si>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</si>
  <si>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</si>
  <si>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</si>
  <si>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</si>
  <si>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</si>
  <si>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</si>
  <si>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</si>
  <si>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</si>
  <si>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</si>
  <si>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</si>
  <si>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</si>
  <si>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</si>
  <si>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</si>
  <si>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</si>
  <si>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</si>
  <si>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</si>
  <si>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</si>
  <si>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</si>
  <si>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</si>
  <si>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</si>
  <si>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</si>
  <si>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</si>
  <si>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</si>
  <si>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</si>
  <si>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</si>
  <si>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</si>
  <si>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</si>
  <si>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</si>
  <si>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</si>
  <si>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</si>
  <si>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</si>
  <si>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</si>
  <si>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</si>
  <si>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</si>
  <si>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</si>
  <si>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</si>
  <si>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</si>
  <si>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</si>
  <si>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</si>
  <si>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</si>
  <si>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</si>
  <si>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</si>
  <si>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</si>
  <si>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</si>
  <si>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</si>
  <si>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</si>
  <si>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</si>
  <si>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</si>
  <si>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</si>
  <si>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</si>
  <si>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</si>
  <si>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</si>
  <si>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</si>
  <si>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</si>
  <si>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</si>
  <si>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</si>
  <si>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</si>
  <si>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</si>
  <si>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</si>
  <si>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</si>
  <si>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</si>
  <si>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</si>
  <si>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</si>
  <si>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</si>
  <si>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</si>
  <si>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</si>
  <si>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</si>
  <si>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</si>
  <si>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</si>
  <si>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</si>
  <si>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</si>
  <si>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</si>
  <si>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</si>
  <si>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</si>
  <si>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</si>
  <si>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</si>
  <si>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</si>
  <si>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</si>
  <si>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</si>
  <si>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</si>
  <si>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</si>
  <si>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</si>
  <si>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</si>
  <si>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</si>
  <si>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</si>
  <si>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</si>
  <si>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</si>
  <si>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</si>
  <si>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</si>
  <si>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</si>
  <si>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</si>
  <si>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</si>
  <si>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</si>
  <si>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</si>
  <si>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</si>
  <si>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</si>
  <si>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</si>
  <si>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</si>
  <si>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</si>
  <si>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</si>
  <si>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</si>
  <si>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</si>
  <si>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</si>
  <si>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</si>
  <si>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</si>
  <si>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</si>
  <si>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</si>
  <si>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</si>
  <si>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</si>
  <si>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</si>
  <si>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</si>
  <si>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</si>
  <si>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</si>
  <si>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</si>
  <si>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</si>
  <si>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</si>
  <si>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</si>
  <si>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</si>
  <si>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</si>
  <si>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</si>
  <si>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</si>
  <si>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</si>
  <si>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</si>
  <si>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</si>
  <si>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</si>
  <si>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</si>
  <si>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</si>
  <si>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</si>
  <si>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</si>
  <si>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</si>
  <si>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</si>
  <si>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</si>
  <si>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</si>
  <si>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</si>
  <si>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</si>
  <si>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</si>
  <si>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</si>
  <si>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</si>
  <si>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</si>
  <si>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</si>
  <si>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</si>
  <si>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</si>
  <si>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</si>
  <si>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</si>
  <si>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</si>
  <si>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</si>
  <si>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</si>
  <si>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</si>
  <si>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</si>
  <si>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</si>
  <si>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</si>
  <si>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</si>
  <si>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</si>
  <si>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</si>
  <si>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</si>
  <si>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</si>
  <si>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</si>
  <si>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</si>
  <si>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</si>
  <si>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</si>
  <si>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</si>
  <si>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</si>
  <si>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</si>
  <si>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</si>
  <si>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</si>
  <si>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</si>
  <si>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</si>
  <si>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</si>
  <si>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</si>
  <si>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</si>
  <si>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</si>
  <si>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</si>
  <si>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</si>
  <si>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</si>
  <si>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</si>
  <si>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</si>
  <si>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</si>
  <si>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</si>
  <si>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</si>
  <si>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</si>
  <si>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</si>
  <si>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</si>
  <si>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</si>
  <si>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</si>
  <si>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</si>
  <si>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</si>
  <si>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</si>
  <si>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</si>
  <si>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</si>
  <si>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</si>
  <si>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</si>
  <si>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</si>
  <si>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</si>
  <si>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</si>
  <si>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</si>
  <si>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</si>
  <si>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</si>
  <si>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</si>
  <si>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</si>
  <si>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</si>
  <si>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</si>
  <si>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</si>
  <si>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</si>
  <si>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</si>
  <si>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</si>
  <si>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</si>
  <si>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</si>
  <si>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</si>
  <si>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</si>
  <si>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</si>
  <si>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</si>
  <si>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</si>
  <si>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</si>
  <si>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</si>
  <si>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</si>
  <si>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</si>
  <si>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</si>
  <si>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</si>
  <si>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</si>
  <si>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</si>
  <si>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</si>
  <si>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</si>
  <si>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</si>
  <si>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</si>
  <si>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</si>
  <si>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</si>
  <si>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</si>
  <si>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</si>
  <si>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</si>
  <si>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</si>
  <si>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</si>
  <si>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</si>
  <si>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</si>
  <si>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</si>
  <si>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</si>
  <si>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</si>
  <si>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</si>
  <si>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</si>
  <si>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</si>
  <si>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</si>
  <si>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</si>
  <si>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</si>
  <si>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</si>
  <si>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</si>
  <si>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</si>
  <si>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</si>
  <si>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</si>
  <si>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</si>
  <si>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</si>
  <si>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</si>
  <si>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</si>
  <si>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</si>
  <si>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</si>
  <si>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</si>
  <si>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</si>
  <si>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</si>
  <si>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</si>
  <si>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</si>
  <si>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</si>
  <si>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</si>
  <si>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</si>
  <si>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</si>
  <si>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</si>
  <si>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</si>
  <si>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</si>
  <si>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</si>
  <si>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</si>
  <si>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</si>
  <si>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</si>
  <si>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</si>
  <si>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</si>
  <si>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</si>
  <si>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</si>
  <si>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</si>
  <si>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</si>
  <si>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</si>
  <si>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</si>
  <si>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</si>
  <si>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</si>
  <si>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</si>
  <si>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</si>
  <si>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</si>
  <si>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</si>
  <si>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</si>
  <si>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</si>
  <si>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</si>
  <si>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</si>
  <si>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</si>
  <si>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</si>
  <si>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</si>
  <si>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</si>
  <si>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</si>
  <si>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</si>
  <si>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</si>
  <si>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</si>
  <si>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</si>
  <si>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</si>
  <si>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</si>
  <si>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</si>
  <si>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</si>
  <si>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</si>
  <si>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</si>
  <si>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</si>
  <si>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</si>
  <si>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</si>
  <si>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</si>
  <si>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</si>
  <si>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</si>
  <si>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</si>
  <si>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</si>
  <si>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</si>
  <si>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</si>
  <si>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</si>
  <si>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</si>
  <si>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</si>
  <si>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</si>
  <si>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</si>
  <si>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</si>
  <si>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</si>
  <si>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</si>
  <si>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</si>
  <si>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</si>
  <si>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</si>
  <si>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</si>
  <si>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</si>
  <si>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</si>
  <si>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</si>
  <si>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</si>
  <si>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</si>
  <si>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</si>
  <si>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</si>
  <si>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</si>
  <si>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</si>
  <si>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</si>
  <si>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</si>
  <si>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</si>
  <si>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</si>
  <si>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</si>
  <si>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</si>
  <si>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</si>
  <si>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</si>
  <si>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</si>
  <si>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</si>
  <si>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</si>
  <si>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</si>
  <si>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</si>
  <si>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</si>
  <si>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</si>
  <si>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</si>
  <si>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</si>
  <si>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</si>
  <si>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</si>
  <si>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</si>
  <si>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</si>
  <si>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</si>
  <si>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</si>
  <si>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</si>
  <si>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</si>
  <si>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</si>
  <si>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</si>
  <si>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</si>
  <si>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</si>
  <si>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</si>
  <si>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</si>
  <si>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</si>
  <si>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</si>
  <si>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</si>
  <si>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</si>
  <si>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</si>
  <si>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</si>
  <si>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</si>
  <si>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</si>
  <si>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</si>
  <si>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</si>
  <si>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</si>
  <si>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</si>
  <si>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</si>
  <si>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</si>
  <si>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</si>
  <si>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</si>
  <si>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</si>
  <si>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</si>
  <si>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</si>
  <si>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</si>
  <si>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</si>
  <si>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</si>
  <si>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</si>
  <si>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</si>
  <si>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</si>
  <si>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</si>
  <si>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</si>
  <si>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</si>
  <si>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</si>
  <si>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</si>
  <si>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</si>
  <si>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</si>
  <si>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</si>
  <si>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</si>
  <si>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</si>
  <si>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</si>
  <si>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</si>
  <si>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</si>
  <si>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</si>
  <si>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</si>
  <si>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</si>
  <si>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</si>
  <si>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</si>
  <si>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</si>
  <si>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</si>
  <si>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</si>
  <si>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</si>
  <si>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</si>
  <si>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</si>
  <si>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</si>
  <si>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</si>
  <si>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</si>
  <si>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</si>
  <si>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</si>
  <si>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</si>
  <si>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</si>
  <si>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</si>
  <si>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</si>
  <si>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</si>
  <si>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</si>
  <si>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</si>
  <si>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</si>
  <si>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</si>
  <si>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</si>
  <si>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</si>
  <si>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</si>
  <si>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</si>
  <si>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</si>
  <si>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</si>
  <si>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</si>
  <si>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</si>
  <si>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</si>
  <si>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</si>
  <si>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</si>
  <si>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</si>
  <si>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</si>
  <si>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</si>
  <si>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</si>
  <si>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</si>
  <si>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</si>
  <si>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</si>
  <si>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</si>
  <si>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</si>
  <si>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</si>
  <si>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</si>
  <si>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</si>
  <si>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</si>
  <si>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</si>
  <si>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</si>
  <si>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</si>
  <si>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</si>
  <si>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</si>
  <si>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</si>
  <si>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</si>
  <si>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</si>
  <si>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</si>
  <si>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</si>
  <si>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</si>
  <si>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</si>
  <si>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</si>
  <si>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</si>
  <si>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</si>
  <si>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</si>
  <si>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</si>
  <si>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</si>
  <si>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</si>
  <si>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</si>
  <si>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</si>
  <si>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</si>
  <si>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</si>
  <si>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</si>
  <si>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</si>
  <si>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</si>
  <si>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</si>
  <si>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</si>
  <si>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</si>
  <si>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</si>
  <si>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</si>
  <si>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</si>
  <si>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</si>
  <si>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</si>
  <si>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</si>
  <si>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</si>
  <si>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</si>
  <si>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</si>
  <si>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</si>
  <si>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</si>
  <si>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</si>
  <si>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</si>
  <si>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</si>
  <si>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</si>
  <si>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</si>
  <si>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</si>
  <si>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</si>
  <si>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</si>
  <si>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</si>
  <si>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</si>
  <si>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</si>
  <si>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</si>
  <si>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</si>
  <si>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</si>
  <si>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</si>
  <si>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</si>
  <si>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</si>
  <si>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</si>
  <si>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</si>
  <si>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</si>
  <si>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</si>
  <si>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</si>
  <si>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</si>
  <si>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</si>
  <si>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</si>
  <si>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</si>
  <si>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</si>
  <si>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</si>
  <si>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</si>
  <si>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</si>
  <si>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</si>
  <si>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</si>
  <si>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</si>
  <si>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</si>
  <si>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</si>
  <si>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</si>
  <si>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</si>
  <si>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</si>
  <si>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</si>
  <si>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</si>
  <si>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</si>
  <si>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</si>
  <si>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</si>
  <si>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</si>
  <si>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</si>
  <si>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</si>
  <si>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</si>
  <si>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</si>
  <si>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</si>
  <si>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</si>
  <si>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</si>
  <si>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</si>
  <si>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</si>
  <si>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</si>
  <si>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</si>
  <si>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</si>
  <si>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</si>
  <si>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</si>
  <si>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</si>
  <si>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</si>
  <si>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</si>
  <si>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</si>
  <si>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</si>
  <si>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</si>
  <si>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</si>
  <si>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</si>
  <si>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</si>
  <si>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</si>
  <si>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</si>
  <si>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</si>
  <si>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</si>
  <si>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</si>
  <si>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</si>
  <si>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</si>
  <si>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</si>
  <si>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</si>
  <si>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</si>
  <si>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</si>
  <si>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</si>
  <si>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</si>
  <si>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</si>
  <si>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</si>
  <si>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</si>
  <si>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</si>
  <si>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</si>
  <si>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</si>
  <si>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</si>
  <si>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</si>
  <si>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</si>
  <si>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</si>
  <si>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</si>
  <si>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</si>
  <si>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</si>
  <si>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</si>
  <si>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</si>
  <si>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</si>
  <si>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</si>
  <si>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</si>
  <si>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</si>
  <si>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</si>
  <si>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</si>
  <si>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</si>
  <si>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</si>
  <si>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</si>
  <si>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</si>
  <si>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</si>
  <si>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</si>
  <si>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</si>
  <si>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</si>
  <si>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</si>
  <si>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</si>
  <si>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</si>
  <si>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</si>
  <si>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</si>
  <si>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</si>
  <si>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</si>
  <si>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</si>
  <si>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</si>
  <si>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</si>
  <si>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</si>
  <si>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</si>
  <si>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</si>
  <si>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</si>
  <si>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</si>
  <si>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</si>
  <si>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</si>
  <si>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</si>
  <si>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</si>
  <si>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</si>
  <si>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</si>
  <si>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</si>
  <si>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</si>
  <si>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</si>
  <si>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</si>
  <si>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</si>
  <si>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</si>
  <si>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</si>
  <si>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</si>
  <si>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</si>
  <si>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</si>
  <si>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</si>
  <si>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</si>
  <si>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</si>
  <si>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</si>
  <si>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</si>
  <si>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</si>
  <si>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</si>
  <si>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</si>
  <si>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</si>
  <si>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</si>
  <si>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</si>
  <si>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</si>
  <si>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</si>
  <si>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</si>
  <si>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</si>
  <si>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</si>
  <si>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</si>
  <si>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</si>
  <si>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</si>
  <si>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</si>
  <si>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</si>
  <si>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</si>
  <si>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</si>
  <si>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</si>
  <si>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</si>
  <si>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</si>
  <si>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</si>
  <si>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</si>
  <si>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</si>
  <si>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</si>
  <si>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</si>
  <si>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</si>
  <si>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</si>
  <si>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</si>
  <si>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</si>
  <si>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</si>
  <si>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</si>
  <si>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</si>
  <si>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</si>
  <si>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</si>
  <si>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</si>
  <si>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</si>
  <si>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</si>
  <si>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</si>
  <si>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</si>
  <si>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</si>
  <si>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</si>
  <si>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</si>
  <si>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</si>
  <si>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</si>
  <si>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</si>
  <si>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</si>
  <si>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</si>
  <si>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</si>
  <si>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</si>
  <si>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</si>
  <si>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</si>
  <si>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</si>
  <si>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</si>
  <si>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</si>
  <si>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</si>
  <si>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</si>
  <si>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</si>
  <si>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</si>
  <si>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</si>
  <si>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</si>
  <si>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</si>
  <si>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</si>
  <si>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</si>
  <si>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</si>
  <si>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</si>
  <si>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</si>
  <si>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</si>
  <si>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</si>
  <si>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</si>
  <si>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</si>
  <si>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</si>
  <si>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</si>
  <si>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</si>
  <si>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</si>
  <si>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</si>
  <si>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</si>
  <si>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</si>
  <si>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</si>
  <si>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</si>
  <si>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</si>
  <si>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</si>
  <si>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</si>
  <si>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</si>
  <si>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</si>
  <si>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</si>
  <si>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</si>
  <si>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</si>
  <si>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</si>
  <si>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</si>
  <si>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</si>
  <si>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</si>
  <si>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</si>
  <si>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</si>
  <si>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</si>
  <si>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</si>
  <si>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</si>
  <si>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</si>
  <si>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</si>
  <si>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</si>
  <si>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</si>
  <si>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</si>
  <si>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</si>
  <si>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</si>
  <si>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</si>
  <si>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</si>
  <si>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</si>
  <si>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</si>
  <si>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</si>
  <si>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</si>
  <si>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</si>
  <si>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</si>
  <si>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</si>
  <si>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</si>
  <si>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</si>
  <si>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</si>
  <si>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</si>
  <si>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</si>
  <si>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</si>
  <si>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</si>
  <si>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</si>
  <si>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</si>
  <si>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</si>
  <si>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</si>
  <si>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</si>
  <si>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</si>
  <si>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</si>
  <si>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</si>
  <si>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</si>
  <si>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</si>
  <si>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</si>
  <si>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</si>
  <si>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</si>
  <si>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</si>
  <si>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</si>
  <si>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</si>
  <si>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</si>
  <si>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</si>
  <si>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</si>
  <si>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</si>
  <si>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</si>
  <si>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</si>
  <si>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</si>
  <si>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</si>
  <si>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</si>
  <si>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</si>
  <si>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</si>
  <si>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</si>
  <si>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</si>
  <si>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</si>
  <si>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</si>
  <si>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</si>
  <si>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</si>
  <si>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</si>
  <si>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</si>
  <si>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</si>
  <si>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</si>
  <si>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</si>
  <si>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</si>
  <si>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</si>
  <si>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</si>
  <si>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</si>
  <si>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</si>
  <si>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</si>
  <si>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</si>
  <si>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</si>
  <si>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</si>
  <si>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</si>
  <si>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</si>
  <si>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</si>
  <si>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</si>
  <si>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</si>
  <si>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</si>
  <si>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</si>
  <si>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</si>
  <si>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</si>
  <si>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</si>
  <si>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</si>
  <si>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</si>
  <si>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</si>
  <si>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</si>
  <si>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</si>
  <si>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</si>
  <si>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</si>
  <si>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</si>
  <si>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</si>
  <si>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</si>
  <si>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</si>
  <si>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</si>
  <si>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</si>
  <si>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</si>
  <si>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</si>
  <si>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</si>
  <si>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</si>
  <si>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</si>
  <si>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</si>
  <si>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</si>
  <si>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</si>
  <si>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</si>
  <si>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</si>
  <si>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</si>
  <si>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</si>
  <si>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</si>
  <si>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</si>
  <si>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</si>
  <si>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</si>
  <si>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</si>
  <si>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</si>
  <si>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</si>
  <si>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</si>
  <si>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</si>
  <si>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</si>
  <si>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</si>
  <si>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</si>
  <si>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</si>
  <si>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</si>
  <si>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</si>
  <si>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</si>
  <si>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</si>
  <si>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</si>
  <si>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</si>
  <si>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</si>
  <si>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</si>
  <si>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</si>
  <si>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</si>
  <si>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</si>
  <si>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</si>
  <si>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</si>
  <si>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</si>
  <si>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</si>
  <si>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</si>
  <si>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</si>
  <si>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</si>
  <si>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</si>
  <si>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</si>
  <si>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</si>
  <si>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</si>
  <si>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</si>
  <si>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</si>
  <si>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</si>
  <si>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</si>
  <si>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</si>
  <si>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</si>
  <si>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</si>
  <si>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</si>
  <si>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</si>
  <si>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</si>
  <si>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</si>
  <si>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</si>
  <si>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</si>
  <si>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</si>
  <si>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</si>
  <si>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</si>
  <si>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</si>
  <si>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</si>
  <si>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</si>
  <si>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</si>
  <si>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</si>
  <si>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</si>
  <si>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</si>
  <si>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</si>
  <si>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</si>
  <si>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</si>
  <si>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</si>
  <si>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</si>
  <si>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</si>
  <si>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</si>
  <si>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</si>
  <si>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</si>
  <si>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</si>
  <si>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</si>
  <si>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</si>
  <si>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</si>
  <si>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</si>
  <si>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</si>
  <si>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</si>
  <si>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</si>
  <si>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</si>
  <si>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</si>
  <si>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</si>
  <si>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</si>
  <si>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</si>
  <si>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</si>
  <si>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</si>
  <si>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</si>
  <si>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</si>
  <si>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</si>
  <si>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</si>
  <si>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</si>
  <si>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</si>
  <si>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</si>
  <si>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</si>
  <si>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</si>
  <si>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</si>
  <si>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</si>
  <si>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</si>
  <si>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</si>
  <si>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</si>
  <si>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</si>
  <si>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</si>
  <si>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</si>
  <si>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</si>
  <si>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</si>
  <si>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</si>
  <si>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</si>
  <si>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</si>
  <si>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</si>
  <si>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</si>
  <si>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</si>
  <si>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</si>
  <si>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</si>
  <si>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</si>
  <si>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</si>
  <si>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</si>
  <si>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</si>
  <si>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</si>
  <si>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</si>
  <si>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</si>
  <si>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</si>
  <si>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</si>
  <si>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</si>
  <si>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</si>
  <si>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</si>
  <si>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</si>
  <si>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</si>
  <si>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</si>
  <si>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</si>
  <si>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</si>
  <si>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</si>
  <si>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</si>
  <si>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</si>
  <si>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</si>
  <si>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</si>
  <si>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</si>
  <si>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</si>
  <si>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</si>
  <si>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</si>
  <si>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</si>
  <si>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</si>
  <si>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</si>
  <si>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</si>
  <si>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</si>
  <si>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</si>
  <si>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</si>
  <si>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</si>
  <si>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</si>
  <si>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</si>
  <si>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</si>
  <si>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</si>
  <si>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</si>
  <si>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</si>
  <si>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</si>
  <si>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</si>
  <si>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</si>
  <si>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</si>
  <si>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</si>
  <si>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</si>
  <si>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</si>
  <si>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</si>
  <si>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</si>
  <si>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</si>
  <si>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</si>
  <si>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</si>
  <si>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</si>
  <si>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</si>
  <si>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</si>
  <si>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</si>
  <si>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</si>
  <si>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</si>
  <si>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</si>
  <si>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</si>
  <si>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</si>
  <si>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</si>
  <si>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</si>
  <si>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</si>
  <si>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</si>
  <si>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</si>
  <si>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</si>
  <si>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</si>
  <si>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</si>
  <si>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</si>
  <si>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</si>
  <si>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</si>
  <si>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</si>
  <si>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</si>
  <si>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</si>
  <si>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</si>
  <si>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</si>
  <si>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</si>
  <si>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</si>
  <si>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</si>
  <si>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</si>
  <si>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</si>
  <si>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</si>
  <si>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</si>
  <si>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</si>
  <si>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</si>
  <si>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</si>
  <si>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</si>
  <si>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</si>
  <si>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</si>
  <si>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</si>
  <si>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</si>
  <si>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</si>
  <si>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</si>
  <si>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</si>
  <si>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</si>
  <si>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</si>
  <si>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</si>
  <si>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</si>
  <si>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</si>
  <si>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</si>
  <si>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</si>
  <si>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</si>
  <si>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</si>
  <si>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</si>
  <si>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</si>
  <si>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</si>
  <si>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</si>
  <si>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</si>
  <si>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</si>
  <si>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</si>
  <si>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</si>
  <si>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</si>
  <si>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</si>
  <si>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</si>
  <si>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</si>
  <si>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</si>
  <si>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</si>
  <si>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</si>
  <si>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</si>
  <si>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</si>
  <si>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</si>
  <si>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</si>
  <si>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</si>
  <si>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</si>
  <si>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</si>
  <si>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</si>
  <si>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</si>
  <si>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</si>
  <si>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</si>
  <si>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</si>
  <si>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</si>
  <si>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</si>
  <si>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</si>
  <si>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</si>
  <si>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</si>
  <si>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</si>
  <si>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</si>
  <si>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</si>
  <si>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</si>
  <si>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</si>
  <si>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</si>
  <si>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</si>
  <si>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</si>
  <si>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</si>
  <si>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</si>
  <si>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</si>
  <si>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</si>
  <si>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</si>
  <si>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</si>
  <si>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</si>
  <si>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</si>
  <si>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</si>
  <si>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</si>
  <si>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</si>
  <si>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</si>
  <si>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</si>
  <si>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</si>
  <si>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</si>
  <si>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</si>
  <si>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</si>
  <si>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</si>
  <si>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</si>
  <si>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</si>
  <si>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</si>
  <si>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</si>
  <si>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</si>
  <si>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</si>
  <si>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</si>
  <si>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</si>
  <si>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</si>
  <si>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</si>
  <si>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</si>
  <si>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</si>
  <si>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</si>
  <si>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</si>
  <si>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</si>
  <si>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</si>
  <si>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</si>
  <si>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</si>
  <si>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</si>
  <si>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</si>
  <si>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</si>
  <si>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</si>
  <si>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</si>
  <si>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</si>
  <si>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</si>
  <si>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</si>
  <si>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</si>
  <si>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</si>
  <si>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</si>
  <si>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</si>
  <si>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</si>
  <si>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</si>
  <si>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</si>
  <si>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</si>
  <si>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</si>
  <si>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</si>
  <si>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</si>
  <si>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</si>
  <si>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</si>
  <si>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</si>
  <si>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</si>
  <si>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</si>
  <si>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</si>
  <si>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</si>
  <si>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</si>
  <si>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</si>
  <si>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</si>
  <si>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</si>
  <si>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</si>
  <si>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</si>
  <si>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</si>
  <si>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</si>
  <si>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</si>
  <si>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</si>
  <si>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</si>
  <si>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</si>
  <si>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</si>
  <si>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</si>
  <si>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</si>
  <si>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</si>
  <si>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</si>
  <si>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</si>
  <si>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</si>
  <si>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</si>
  <si>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</si>
  <si>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</si>
  <si>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</si>
  <si>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</si>
  <si>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</si>
  <si>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</si>
  <si>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</si>
  <si>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</si>
  <si>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</si>
  <si>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</si>
  <si>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</si>
  <si>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</si>
  <si>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</si>
  <si>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</si>
  <si>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</si>
  <si>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</si>
  <si>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</si>
  <si>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</si>
  <si>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</si>
  <si>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</si>
  <si>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</si>
  <si>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</si>
  <si>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</si>
  <si>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</si>
  <si>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</si>
  <si>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</si>
  <si>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</si>
  <si>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</si>
  <si>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</si>
  <si>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</si>
  <si>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</si>
  <si>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</si>
  <si>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</si>
  <si>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</si>
  <si>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</si>
  <si>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</si>
  <si>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</si>
  <si>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</si>
  <si>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</si>
  <si>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</si>
  <si>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</si>
  <si>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</si>
  <si>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</si>
  <si>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</si>
  <si>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</si>
  <si>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</si>
  <si>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</si>
  <si>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</si>
  <si>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</si>
  <si>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</si>
  <si>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</si>
  <si>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</si>
  <si>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</si>
  <si>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</si>
  <si>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</si>
  <si>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</si>
  <si>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</si>
  <si>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</si>
  <si>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</si>
  <si>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</si>
  <si>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</si>
  <si>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</si>
  <si>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</si>
  <si>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</si>
  <si>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</si>
  <si>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</si>
  <si>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</si>
  <si>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</si>
  <si>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</si>
  <si>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</si>
  <si>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</si>
  <si>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</si>
  <si>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</si>
  <si>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</si>
  <si>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</si>
  <si>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</si>
  <si>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</si>
  <si>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</si>
  <si>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</si>
  <si>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</si>
  <si>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</si>
  <si>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</si>
  <si>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</si>
  <si>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</si>
  <si>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</si>
  <si>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</si>
  <si>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</si>
  <si>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</si>
  <si>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</si>
  <si>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</si>
  <si>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</si>
  <si>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</si>
  <si>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</si>
  <si>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</si>
  <si>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</si>
  <si>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</si>
  <si>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</si>
  <si>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</si>
  <si>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</si>
  <si>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</si>
  <si>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</si>
  <si>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</si>
  <si>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</si>
  <si>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</si>
  <si>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</si>
  <si>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</si>
  <si>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</si>
  <si>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</si>
  <si>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</si>
  <si>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</si>
  <si>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</si>
  <si>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</si>
  <si>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</si>
  <si>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</si>
  <si>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</si>
  <si>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</si>
  <si>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</si>
  <si>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</si>
  <si>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</si>
  <si>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</si>
  <si>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</si>
  <si>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</si>
  <si>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</si>
  <si>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</si>
  <si>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</si>
  <si>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</si>
  <si>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</si>
  <si>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</si>
  <si>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</si>
  <si>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</si>
  <si>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</si>
  <si>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</si>
  <si>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</si>
  <si>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</si>
  <si>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</si>
  <si>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</si>
  <si>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</si>
  <si>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</si>
  <si>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</si>
  <si>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</si>
  <si>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</si>
  <si>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</si>
  <si>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</si>
  <si>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</si>
  <si>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</si>
  <si>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</si>
  <si>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</si>
  <si>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</si>
  <si>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</si>
  <si>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</si>
  <si>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</si>
  <si>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</si>
  <si>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</si>
  <si>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</si>
  <si>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</si>
  <si>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</si>
  <si>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</si>
  <si>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</si>
  <si>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</si>
  <si>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</si>
  <si>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</si>
  <si>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</si>
  <si>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</si>
  <si>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</si>
  <si>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</si>
  <si>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</si>
  <si>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</si>
  <si>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</si>
  <si>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</si>
  <si>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</si>
  <si>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</si>
  <si>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</si>
  <si>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</si>
  <si>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</si>
  <si>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</si>
  <si>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</si>
  <si>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</si>
  <si>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</si>
  <si>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</si>
  <si>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</si>
  <si>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</si>
  <si>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</si>
  <si>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</si>
  <si>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</si>
  <si>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</si>
  <si>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</si>
  <si>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</si>
  <si>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</si>
  <si>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</si>
  <si>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</si>
  <si>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</si>
  <si>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</si>
  <si>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</si>
  <si>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</si>
  <si>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</si>
  <si>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</si>
  <si>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</si>
  <si>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</si>
  <si>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</si>
  <si>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</si>
  <si>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</si>
  <si>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</si>
  <si>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</si>
  <si>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</si>
  <si>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</si>
  <si>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</si>
  <si>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</si>
  <si>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</si>
  <si>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</si>
  <si>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</si>
  <si>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</si>
  <si>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</si>
  <si>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</si>
  <si>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</si>
  <si>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</si>
  <si>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</si>
  <si>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</si>
  <si>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</si>
  <si>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</si>
  <si>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</si>
  <si>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</si>
  <si>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</si>
  <si>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</si>
  <si>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</si>
  <si>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</si>
  <si>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</si>
  <si>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</si>
  <si>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</si>
  <si>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</si>
  <si>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</si>
  <si>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</si>
  <si>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</si>
  <si>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</si>
  <si>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</si>
  <si>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</si>
  <si>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</si>
  <si>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</si>
  <si>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</si>
  <si>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</si>
  <si>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</si>
  <si>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</si>
  <si>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</si>
  <si>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</si>
  <si>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</si>
  <si>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</si>
  <si>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</si>
  <si>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</si>
  <si>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</si>
  <si>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</si>
  <si>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</si>
  <si>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</si>
  <si>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</si>
  <si>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</si>
  <si>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</si>
  <si>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</si>
  <si>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</si>
  <si>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</si>
  <si>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</si>
  <si>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</si>
  <si>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</si>
  <si>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</si>
  <si>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</si>
  <si>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</si>
  <si>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</si>
  <si>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</si>
  <si>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</si>
  <si>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</si>
  <si>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</si>
  <si>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</si>
  <si>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</si>
  <si>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</si>
  <si>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</si>
  <si>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</si>
  <si>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</si>
  <si>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</si>
  <si>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</si>
  <si>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</si>
  <si>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</si>
  <si>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</si>
  <si>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</si>
  <si>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</si>
  <si>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</si>
  <si>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</si>
  <si>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</si>
  <si>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</si>
  <si>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</si>
  <si>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</si>
  <si>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</si>
  <si>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</si>
  <si>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</si>
  <si>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</si>
  <si>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</si>
  <si>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</si>
  <si>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</si>
  <si>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</si>
  <si>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</si>
  <si>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</si>
  <si>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</si>
  <si>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</si>
  <si>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</si>
  <si>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</si>
  <si>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</si>
  <si>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</si>
  <si>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</si>
  <si>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</si>
  <si>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</si>
  <si>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</si>
  <si>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</si>
  <si>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</si>
  <si>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</si>
  <si>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</si>
  <si>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</si>
  <si>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</si>
  <si>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</si>
  <si>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</si>
  <si>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</si>
  <si>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</si>
  <si>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</si>
  <si>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</si>
  <si>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</si>
  <si>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</si>
  <si>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</si>
  <si>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</si>
  <si>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</si>
  <si>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</si>
  <si>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</si>
  <si>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</si>
  <si>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</si>
  <si>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</si>
  <si>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</si>
  <si>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</si>
  <si>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</si>
  <si>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</si>
  <si>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</si>
  <si>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</si>
  <si>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</si>
  <si>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</si>
  <si>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</si>
  <si>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</si>
  <si>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</si>
  <si>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</si>
  <si>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</si>
  <si>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</si>
  <si>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</si>
  <si>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</si>
  <si>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</si>
  <si>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</si>
  <si>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</si>
  <si>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</si>
  <si>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</si>
  <si>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</si>
  <si>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</si>
  <si>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</si>
  <si>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</si>
  <si>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</si>
  <si>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</si>
  <si>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</si>
  <si>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</si>
  <si>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</si>
  <si>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</si>
  <si>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</si>
  <si>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</si>
  <si>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</si>
  <si>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</si>
  <si>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</si>
  <si>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</si>
  <si>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</si>
  <si>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</si>
  <si>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</si>
  <si>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</si>
  <si>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</si>
  <si>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</si>
  <si>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</si>
  <si>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</si>
  <si>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</si>
  <si>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</si>
  <si>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</si>
  <si>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</si>
  <si>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</si>
  <si>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</si>
  <si>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</si>
  <si>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</si>
  <si>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</si>
  <si>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</si>
  <si>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</si>
  <si>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</si>
  <si>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</si>
  <si>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</si>
  <si>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</si>
  <si>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</si>
  <si>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</si>
  <si>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</si>
  <si>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</si>
  <si>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</si>
  <si>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</si>
  <si>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</si>
  <si>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</si>
  <si>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</si>
  <si>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</si>
  <si>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</si>
  <si>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</si>
  <si>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</si>
  <si>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</si>
  <si>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</si>
  <si>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</si>
  <si>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</si>
  <si>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</si>
  <si>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</si>
  <si>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</si>
  <si>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</si>
  <si>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</si>
  <si>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</si>
  <si>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</si>
  <si>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</si>
  <si>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</si>
  <si>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</si>
  <si>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</si>
  <si>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</si>
  <si>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</si>
  <si>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</si>
  <si>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</si>
  <si>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</si>
  <si>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</si>
  <si>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</si>
  <si>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</si>
  <si>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</si>
  <si>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</si>
  <si>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</si>
  <si>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</si>
  <si>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</si>
  <si>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</si>
  <si>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</si>
  <si>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</si>
  <si>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</si>
  <si>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</si>
  <si>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</si>
  <si>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</si>
  <si>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</si>
  <si>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</si>
  <si>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</si>
  <si>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</si>
  <si>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</si>
  <si>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</si>
  <si>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</si>
  <si>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</si>
  <si>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</si>
  <si>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</si>
  <si>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</si>
  <si>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</si>
  <si>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</si>
  <si>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</si>
  <si>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</si>
  <si>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</si>
  <si>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</si>
  <si>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</si>
  <si>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</si>
  <si>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</si>
  <si>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</si>
  <si>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</si>
  <si>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</si>
  <si>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</si>
  <si>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</si>
  <si>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</si>
  <si>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</si>
  <si>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</si>
  <si>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</si>
  <si>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</si>
  <si>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</si>
  <si>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</si>
  <si>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</si>
  <si>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</si>
  <si>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</si>
  <si>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</si>
  <si>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</si>
  <si>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</si>
  <si>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</si>
  <si>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</si>
  <si>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</si>
  <si>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</si>
  <si>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</si>
  <si>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</si>
  <si>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</si>
  <si>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</si>
  <si>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</si>
  <si>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</si>
  <si>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</si>
  <si>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</si>
  <si>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</si>
  <si>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</si>
  <si>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</si>
  <si>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</si>
  <si>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</si>
  <si>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</si>
  <si>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</si>
  <si>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</si>
  <si>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</si>
  <si>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</si>
  <si>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</si>
  <si>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</si>
  <si>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</si>
  <si>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</si>
  <si>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</si>
  <si>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</si>
  <si>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</si>
  <si>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</si>
  <si>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</si>
  <si>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</si>
  <si>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</si>
  <si>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</si>
  <si>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</si>
  <si>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</si>
  <si>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</si>
  <si>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</si>
  <si>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</si>
  <si>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</si>
  <si>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</si>
  <si>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</si>
  <si>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</si>
  <si>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</si>
  <si>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</si>
  <si>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</si>
  <si>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</si>
  <si>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</si>
  <si>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</si>
  <si>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</si>
  <si>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</si>
  <si>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</si>
  <si>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</si>
  <si>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</si>
  <si>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</si>
  <si>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</si>
  <si>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</si>
  <si>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</si>
  <si>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</si>
  <si>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</si>
  <si>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</si>
  <si>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</si>
  <si>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</si>
  <si>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</si>
  <si>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</si>
  <si>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</si>
  <si>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</si>
  <si>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</si>
  <si>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</si>
  <si>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</si>
  <si>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</si>
  <si>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</si>
  <si>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</si>
  <si>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</si>
  <si>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</si>
  <si>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</si>
  <si>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</si>
  <si>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</si>
  <si>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</si>
  <si>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</si>
  <si>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</si>
  <si>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</si>
  <si>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</si>
  <si>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</si>
  <si>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</si>
  <si>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</si>
  <si>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</si>
  <si>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</si>
  <si>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</si>
  <si>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</si>
  <si>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</si>
  <si>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</si>
  <si>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</si>
  <si>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</si>
  <si>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</si>
  <si>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</si>
  <si>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</si>
  <si>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</si>
  <si>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</si>
  <si>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</si>
  <si>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</si>
  <si>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</si>
  <si>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</si>
  <si>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</si>
  <si>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</si>
  <si>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</si>
  <si>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</si>
  <si>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</si>
  <si>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</si>
  <si>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</si>
  <si>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</si>
  <si>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</si>
  <si>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</si>
  <si>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</si>
  <si>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</si>
  <si>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</si>
  <si>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</si>
  <si>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</si>
  <si>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</si>
  <si>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</si>
  <si>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</si>
  <si>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</si>
  <si>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</si>
  <si>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</si>
  <si>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</si>
  <si>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</si>
  <si>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</si>
  <si>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</si>
  <si>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</si>
  <si>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</si>
  <si>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</si>
  <si>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</si>
  <si>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</si>
  <si>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</si>
  <si>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</si>
  <si>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</si>
  <si>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</si>
  <si>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</si>
  <si>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</si>
  <si>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</si>
  <si>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</si>
  <si>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</si>
  <si>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</si>
  <si>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</si>
  <si>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</si>
  <si>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</si>
  <si>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</si>
  <si>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</si>
  <si>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</si>
  <si>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</si>
  <si>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</si>
  <si>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</si>
  <si>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</si>
  <si>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</si>
  <si>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</si>
  <si>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</si>
  <si>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</si>
  <si>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</si>
  <si>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</si>
  <si>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</si>
  <si>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</si>
  <si>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</si>
  <si>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</si>
  <si>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</si>
  <si>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</si>
  <si>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</si>
  <si>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</si>
  <si>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</si>
  <si>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</si>
  <si>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</si>
  <si>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</si>
  <si>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</si>
  <si>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</si>
  <si>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</si>
  <si>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</si>
  <si>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</si>
  <si>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</si>
  <si>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</si>
  <si>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</si>
  <si>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</si>
  <si>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</si>
  <si>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</si>
  <si>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</si>
  <si>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</si>
  <si>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</si>
  <si>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</si>
  <si>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</si>
  <si>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</si>
  <si>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</si>
  <si>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</si>
  <si>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</si>
  <si>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</si>
  <si>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</si>
  <si>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</si>
  <si>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</si>
  <si>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</si>
  <si>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</si>
  <si>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</si>
  <si>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</si>
  <si>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</si>
  <si>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</si>
  <si>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</si>
  <si>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</si>
  <si>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</si>
  <si>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</si>
  <si>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</si>
  <si>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</si>
  <si>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</si>
  <si>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</si>
  <si>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</si>
  <si>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</si>
  <si>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</si>
  <si>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</si>
  <si>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</si>
  <si>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</si>
  <si>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</si>
  <si>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</si>
  <si>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</si>
  <si>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</si>
  <si>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</si>
  <si>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</si>
  <si>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</si>
  <si>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</si>
  <si>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</si>
  <si>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</si>
  <si>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</si>
  <si>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</si>
  <si>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</si>
  <si>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</si>
  <si>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</si>
  <si>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</si>
  <si>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</si>
  <si>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</si>
  <si>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</si>
  <si>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</si>
  <si>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</si>
  <si>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</si>
  <si>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</si>
  <si>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</si>
  <si>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</si>
  <si>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</si>
  <si>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</si>
  <si>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</si>
  <si>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</si>
  <si>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</si>
  <si>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</si>
  <si>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</si>
  <si>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</si>
  <si>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</si>
  <si>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</si>
  <si>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</si>
  <si>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</si>
  <si>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</si>
  <si>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</si>
  <si>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</si>
  <si>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</si>
  <si>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</si>
  <si>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</si>
  <si>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</si>
  <si>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</si>
  <si>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</si>
  <si>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</si>
  <si>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</si>
  <si>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</si>
  <si>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</si>
  <si>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</si>
  <si>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</si>
  <si>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</si>
  <si>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</si>
  <si>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</si>
  <si>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</si>
  <si>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</si>
  <si>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</si>
  <si>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</si>
  <si>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</si>
  <si>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</si>
  <si>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</si>
  <si>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</si>
  <si>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</si>
  <si>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</si>
  <si>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</si>
  <si>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</si>
  <si>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</si>
  <si>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</si>
  <si>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</si>
  <si>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</si>
  <si>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</si>
  <si>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</si>
  <si>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</si>
  <si>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</si>
  <si>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</si>
  <si>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</si>
  <si>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</si>
  <si>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</si>
  <si>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</si>
  <si>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</si>
  <si>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</si>
  <si>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</si>
  <si>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</si>
  <si>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</si>
  <si>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</si>
  <si>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</si>
  <si>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</si>
  <si>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</si>
  <si>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</si>
  <si>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</si>
  <si>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</si>
  <si>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</si>
  <si>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</si>
  <si>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</si>
  <si>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</si>
  <si>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</si>
  <si>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</si>
  <si>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</si>
  <si>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</si>
  <si>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</si>
  <si>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</si>
  <si>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</si>
  <si>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</si>
  <si>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</si>
  <si>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</si>
  <si>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</si>
  <si>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</si>
  <si>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</si>
  <si>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</si>
  <si>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</si>
  <si>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</si>
  <si>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</si>
  <si>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</si>
  <si>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</si>
  <si>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</si>
  <si>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</si>
  <si>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</si>
  <si>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</si>
  <si>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</si>
  <si>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</si>
  <si>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</si>
  <si>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</si>
  <si>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</si>
  <si>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</si>
  <si>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</si>
  <si>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</si>
  <si>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</si>
  <si>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</si>
  <si>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</si>
  <si>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</si>
  <si>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</si>
  <si>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</si>
  <si>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</si>
  <si>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</si>
  <si>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</si>
  <si>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</si>
  <si>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</si>
  <si>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</si>
  <si>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</si>
  <si>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</si>
  <si>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</si>
  <si>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</si>
  <si>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</si>
  <si>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</si>
  <si>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</si>
  <si>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</si>
  <si>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</si>
  <si>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</si>
  <si>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</si>
  <si>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</si>
  <si>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</si>
  <si>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</si>
  <si>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</si>
  <si>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</si>
  <si>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</si>
  <si>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</si>
  <si>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</si>
  <si>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</si>
  <si>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</si>
  <si>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</si>
  <si>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</si>
  <si>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</si>
  <si>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</si>
  <si>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</si>
  <si>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</si>
  <si>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</si>
  <si>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</si>
  <si>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</si>
  <si>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</si>
  <si>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</si>
  <si>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</si>
  <si>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</si>
  <si>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</si>
  <si>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</si>
  <si>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</si>
  <si>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</si>
  <si>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</si>
  <si>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</si>
  <si>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</si>
  <si>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</si>
  <si>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</si>
  <si>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</si>
  <si>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</si>
  <si>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</si>
  <si>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</si>
  <si>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</si>
  <si>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</si>
  <si>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</si>
  <si>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</si>
  <si>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</si>
  <si>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</si>
  <si>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</si>
  <si>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</si>
  <si>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</si>
  <si>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</si>
  <si>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</si>
  <si>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</si>
  <si>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</si>
  <si>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</si>
  <si>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</si>
  <si>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</si>
  <si>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</si>
  <si>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</si>
  <si>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</si>
  <si>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</si>
  <si>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</si>
  <si>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</si>
  <si>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</si>
  <si>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</si>
  <si>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</si>
  <si>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</si>
  <si>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</si>
  <si>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</si>
  <si>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</si>
  <si>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</si>
  <si>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</si>
  <si>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</si>
  <si>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</si>
  <si>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</si>
  <si>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</si>
  <si>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</si>
  <si>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</si>
  <si>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</si>
  <si>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</si>
  <si>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</si>
  <si>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</si>
  <si>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</si>
  <si>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</si>
  <si>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</si>
  <si>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</si>
  <si>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</si>
  <si>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</si>
  <si>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</si>
  <si>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</si>
  <si>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</si>
  <si>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</si>
  <si>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</si>
  <si>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</si>
  <si>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</si>
  <si>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</si>
  <si>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</si>
  <si>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</si>
  <si>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</si>
  <si>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</si>
  <si>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</si>
  <si>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</si>
  <si>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</si>
  <si>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</si>
  <si>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</si>
  <si>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</si>
  <si>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</si>
  <si>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</si>
  <si>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</si>
  <si>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</si>
  <si>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</si>
  <si>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</si>
  <si>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</si>
  <si>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</si>
  <si>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</si>
  <si>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</si>
  <si>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</si>
  <si>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</si>
  <si>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</si>
  <si>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</si>
  <si>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</si>
  <si>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</si>
  <si>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</si>
  <si>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</si>
  <si>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</si>
  <si>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</si>
  <si>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</si>
  <si>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</si>
  <si>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</si>
  <si>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</si>
  <si>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</si>
  <si>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</si>
  <si>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</si>
  <si>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</si>
  <si>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</si>
  <si>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</si>
  <si>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</si>
  <si>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</si>
  <si>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</si>
  <si>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</si>
  <si>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</si>
  <si>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</si>
  <si>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</si>
  <si>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</si>
  <si>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</si>
  <si>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</si>
  <si>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</si>
  <si>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</si>
  <si>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</si>
  <si>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</si>
  <si>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</si>
  <si>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</si>
  <si>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</si>
  <si>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</si>
  <si>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</si>
  <si>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</si>
  <si>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</si>
  <si>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</si>
  <si>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</si>
  <si>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</si>
  <si>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</si>
  <si>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</si>
  <si>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</si>
  <si>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</si>
  <si>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</si>
  <si>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</si>
  <si>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</si>
  <si>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</si>
  <si>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</si>
  <si>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</si>
  <si>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</si>
  <si>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</si>
  <si>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</si>
  <si>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</si>
  <si>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</si>
  <si>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</si>
  <si>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</si>
  <si>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</si>
  <si>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</si>
  <si>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</si>
  <si>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</si>
  <si>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</si>
  <si>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</si>
  <si>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</si>
  <si>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</si>
  <si>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</si>
  <si>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</si>
  <si>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</si>
  <si>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</si>
  <si>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</si>
  <si>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</si>
  <si>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</si>
  <si>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</si>
  <si>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</si>
  <si>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</si>
  <si>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</si>
  <si>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</si>
  <si>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</si>
  <si>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</si>
  <si>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</si>
  <si>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</si>
  <si>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</si>
  <si>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</si>
  <si>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</si>
  <si>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</si>
  <si>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</si>
  <si>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</si>
  <si>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</si>
  <si>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</si>
  <si>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</si>
  <si>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</si>
  <si>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</si>
  <si>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</si>
  <si>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</si>
  <si>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</si>
  <si>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</si>
  <si>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</si>
  <si>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</si>
  <si>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</si>
  <si>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</si>
  <si>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</si>
  <si>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</si>
  <si>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</si>
  <si>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</si>
  <si>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</si>
  <si>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</si>
  <si>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</si>
  <si>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</si>
  <si>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</si>
  <si>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</si>
  <si>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</si>
  <si>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</si>
  <si>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</si>
  <si>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</si>
  <si>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</si>
  <si>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</si>
  <si>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</si>
  <si>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</si>
  <si>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</si>
  <si>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</si>
  <si>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</si>
  <si>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</si>
  <si>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</si>
  <si>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</si>
  <si>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</si>
  <si>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</si>
  <si>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</si>
  <si>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</si>
  <si>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</si>
  <si>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</si>
  <si>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</si>
  <si>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</si>
  <si>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</si>
  <si>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</si>
  <si>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</si>
  <si>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</si>
  <si>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</si>
  <si>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</si>
  <si>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</si>
  <si>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</si>
  <si>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</si>
  <si>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</si>
  <si>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</si>
  <si>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</si>
  <si>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</si>
  <si>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</si>
  <si>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</si>
  <si>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</si>
  <si>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</si>
  <si>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</si>
  <si>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</si>
  <si>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</si>
  <si>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</si>
  <si>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</si>
  <si>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</si>
  <si>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</si>
  <si>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</si>
  <si>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</si>
  <si>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</si>
  <si>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</si>
  <si>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</si>
  <si>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</si>
  <si>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</si>
  <si>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</si>
  <si>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</si>
  <si>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</si>
  <si>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</si>
  <si>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</si>
  <si>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</si>
  <si>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</si>
  <si>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</si>
  <si>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</si>
  <si>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</si>
  <si>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</si>
  <si>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</si>
  <si>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</si>
  <si>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</si>
  <si>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</si>
  <si>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</si>
  <si>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</si>
  <si>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</si>
  <si>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</si>
  <si>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</si>
  <si>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</si>
  <si>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</si>
  <si>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</si>
  <si>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</si>
  <si>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</si>
  <si>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</si>
  <si>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</si>
  <si>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</si>
  <si>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</si>
  <si>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</si>
  <si>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</si>
  <si>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</si>
  <si>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</si>
  <si>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</si>
  <si>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</si>
  <si>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</si>
  <si>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</si>
  <si>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</si>
  <si>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</si>
  <si>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</si>
  <si>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</si>
  <si>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</si>
  <si>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</si>
  <si>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</si>
  <si>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</si>
  <si>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</si>
  <si>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</si>
  <si>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</si>
  <si>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</si>
  <si>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</si>
  <si>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</si>
  <si>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</si>
  <si>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</si>
  <si>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</si>
  <si>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</si>
  <si>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</si>
  <si>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</si>
  <si>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</si>
  <si>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</si>
  <si>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</si>
  <si>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</si>
  <si>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</si>
  <si>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</si>
  <si>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</si>
  <si>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</si>
  <si>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</si>
  <si>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</si>
  <si>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</si>
  <si>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</si>
  <si>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</si>
  <si>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</si>
  <si>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</si>
  <si>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</si>
  <si>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</si>
  <si>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</si>
  <si>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</si>
  <si>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</si>
  <si>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</si>
  <si>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</si>
  <si>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</si>
  <si>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</si>
  <si>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</si>
  <si>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</si>
  <si>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</si>
  <si>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</si>
  <si>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</si>
  <si>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</si>
  <si>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</si>
  <si>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</si>
  <si>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</si>
  <si>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</si>
  <si>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</si>
  <si>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</si>
  <si>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</si>
  <si>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</si>
  <si>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</si>
  <si>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</si>
  <si>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</si>
  <si>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</si>
  <si>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</si>
  <si>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</si>
  <si>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</si>
  <si>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</si>
  <si>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</si>
  <si>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</si>
  <si>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</si>
  <si>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</si>
  <si>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</si>
  <si>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</si>
  <si>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</si>
  <si>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</si>
  <si>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</si>
  <si>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</si>
  <si>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</si>
  <si>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</si>
  <si>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</si>
  <si>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</si>
  <si>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</si>
  <si>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</si>
  <si>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</si>
  <si>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</si>
  <si>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</si>
  <si>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</si>
  <si>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</si>
  <si>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</si>
  <si>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</si>
  <si>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</si>
  <si>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</si>
  <si>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</si>
  <si>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</si>
  <si>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</si>
  <si>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</si>
  <si>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</si>
  <si>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</si>
  <si>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</si>
  <si>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</si>
  <si>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</si>
  <si>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</si>
  <si>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</si>
  <si>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</si>
  <si>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</si>
  <si>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</si>
  <si>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</si>
  <si>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</si>
  <si>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</si>
  <si>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</si>
  <si>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</si>
  <si>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</si>
  <si>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</si>
  <si>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</si>
  <si>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</si>
  <si>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</si>
  <si>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</si>
  <si>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</si>
  <si>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</si>
  <si>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</si>
  <si>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</si>
  <si>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</si>
  <si>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</si>
  <si>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</si>
  <si>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</si>
  <si>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</si>
  <si>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</si>
  <si>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</si>
  <si>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</si>
  <si>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</si>
  <si>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</si>
  <si>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</si>
  <si>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</si>
  <si>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</si>
  <si>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</si>
  <si>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</si>
  <si>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</si>
  <si>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</si>
  <si>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</si>
  <si>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</si>
  <si>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</si>
  <si>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</si>
  <si>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</si>
  <si>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</si>
  <si>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</si>
  <si>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</si>
  <si>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</si>
  <si>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</si>
  <si>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</si>
  <si>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</si>
  <si>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</si>
  <si>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</si>
  <si>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</si>
  <si>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</si>
  <si>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</si>
  <si>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</si>
  <si>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</si>
  <si>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</si>
  <si>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</si>
  <si>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</si>
  <si>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</si>
  <si>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</si>
  <si>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</si>
  <si>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</si>
  <si>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</si>
  <si>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</si>
  <si>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</si>
  <si>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</si>
  <si>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</si>
  <si>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</si>
  <si>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</si>
  <si>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</si>
  <si>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</si>
  <si>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</si>
  <si>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</si>
  <si>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</si>
  <si>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</si>
  <si>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</si>
  <si>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</si>
  <si>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</si>
  <si>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</si>
  <si>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</si>
  <si>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</si>
  <si>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</si>
  <si>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</si>
  <si>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</si>
  <si>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</si>
  <si>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</si>
  <si>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</si>
  <si>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</si>
  <si>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</si>
  <si>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</si>
  <si>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</si>
  <si>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</si>
  <si>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</si>
  <si>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</si>
  <si>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</si>
  <si>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</si>
  <si>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</si>
  <si>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</si>
  <si>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</si>
  <si>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</si>
  <si>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</si>
  <si>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</si>
  <si>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</si>
  <si>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</si>
  <si>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</si>
  <si>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</si>
  <si>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</si>
  <si>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</si>
  <si>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</si>
  <si>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</si>
  <si>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</si>
  <si>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</si>
  <si>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</si>
  <si>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</si>
  <si>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</si>
  <si>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</si>
  <si>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</si>
  <si>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</si>
  <si>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</si>
  <si>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</si>
  <si>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</si>
  <si>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</si>
  <si>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</si>
  <si>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</si>
  <si>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</si>
  <si>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</si>
  <si>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</si>
  <si>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</si>
  <si>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</si>
  <si>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</si>
  <si>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</si>
  <si>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</si>
  <si>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</si>
  <si>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</si>
  <si>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</si>
  <si>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</si>
  <si>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</si>
  <si>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</si>
  <si>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</si>
  <si>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</si>
  <si>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</si>
  <si>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</si>
  <si>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</si>
  <si>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</si>
  <si>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</si>
  <si>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</si>
  <si>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</si>
  <si>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</si>
  <si>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</si>
  <si>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</si>
  <si>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</si>
  <si>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</si>
  <si>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</si>
  <si>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</si>
  <si>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</si>
  <si>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</si>
  <si>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</si>
  <si>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</si>
  <si>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</si>
  <si>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</si>
  <si>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</si>
  <si>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</si>
  <si>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</si>
  <si>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</si>
  <si>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</si>
  <si>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</si>
  <si>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</si>
  <si>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</si>
  <si>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</si>
  <si>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</si>
  <si>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</si>
  <si>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</si>
  <si>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</si>
  <si>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</si>
  <si>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</si>
  <si>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</si>
  <si>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</si>
  <si>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</si>
  <si>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</si>
  <si>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</si>
  <si>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</si>
  <si>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</si>
  <si>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</si>
  <si>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</si>
  <si>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</si>
  <si>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</si>
  <si>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</si>
  <si>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</si>
  <si>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</si>
  <si>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</si>
  <si>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</si>
  <si>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</si>
  <si>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</si>
  <si>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</si>
  <si>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</si>
  <si>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</si>
  <si>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</si>
  <si>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</si>
  <si>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</si>
  <si>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</si>
  <si>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</si>
  <si>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</si>
  <si>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</si>
  <si>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</si>
  <si>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</si>
  <si>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</si>
  <si>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</si>
  <si>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</si>
  <si>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</si>
  <si>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</si>
  <si>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</si>
  <si>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</si>
  <si>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</si>
  <si>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</si>
  <si>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</si>
  <si>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</si>
  <si>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</si>
  <si>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</si>
  <si>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</si>
  <si>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</si>
  <si>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</si>
  <si>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</si>
  <si>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</si>
  <si>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</si>
  <si>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</si>
  <si>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</si>
  <si>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</si>
  <si>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</si>
  <si>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</si>
  <si>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</si>
  <si>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</si>
  <si>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</si>
  <si>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</si>
  <si>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</si>
  <si>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</si>
  <si>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</si>
  <si>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</si>
  <si>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</si>
  <si>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</si>
  <si>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</si>
  <si>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</si>
  <si>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</si>
  <si>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</si>
  <si>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</si>
  <si>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</si>
  <si>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</si>
  <si>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</si>
  <si>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</si>
  <si>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</si>
  <si>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</si>
  <si>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</si>
  <si>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</si>
  <si>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</si>
  <si>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</si>
  <si>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</si>
  <si>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</si>
  <si>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</si>
  <si>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</si>
  <si>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</si>
  <si>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</si>
  <si>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</si>
  <si>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</si>
  <si>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</si>
  <si>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</si>
  <si>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</si>
  <si>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</si>
  <si>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</si>
  <si>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</si>
  <si>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</si>
  <si>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</si>
  <si>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</si>
  <si>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</si>
  <si>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</si>
  <si>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</si>
  <si>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</si>
  <si>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</si>
  <si>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</si>
  <si>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</si>
  <si>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</si>
  <si>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</si>
  <si>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</si>
  <si>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</si>
  <si>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</si>
  <si>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</si>
  <si>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</si>
  <si>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</si>
  <si>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</si>
  <si>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</si>
  <si>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</si>
  <si>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</si>
  <si>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</si>
  <si>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</si>
  <si>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</si>
  <si>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</si>
  <si>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</si>
  <si>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</si>
  <si>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</si>
  <si>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</si>
  <si>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</si>
  <si>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</si>
  <si>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</si>
  <si>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</si>
  <si>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</si>
  <si>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</si>
  <si>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</si>
  <si>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</si>
  <si>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</si>
  <si>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</si>
  <si>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</si>
  <si>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</si>
  <si>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</si>
  <si>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</si>
  <si>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</si>
  <si>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</si>
  <si>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</si>
  <si>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</si>
  <si>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</si>
  <si>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</si>
  <si>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</si>
  <si>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</si>
  <si>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</si>
  <si>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</si>
  <si>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</si>
  <si>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</si>
  <si>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</si>
  <si>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</si>
  <si>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</si>
  <si>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</si>
  <si>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</si>
  <si>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</si>
  <si>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</si>
  <si>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</si>
  <si>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</si>
  <si>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</si>
  <si>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</si>
  <si>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</si>
  <si>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</si>
  <si>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</si>
  <si>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</si>
  <si>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</si>
  <si>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</si>
  <si>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</si>
  <si>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</si>
  <si>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</si>
  <si>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</si>
  <si>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</si>
  <si>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</si>
  <si>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</si>
  <si>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</si>
  <si>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</si>
  <si>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</si>
  <si>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</si>
  <si>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</si>
  <si>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</si>
  <si>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</si>
  <si>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</si>
  <si>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</si>
  <si>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</si>
  <si>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</si>
  <si>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</si>
  <si>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</si>
  <si>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</si>
  <si>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</si>
  <si>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</si>
  <si>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</si>
  <si>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</si>
  <si>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</si>
  <si>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</si>
  <si>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</si>
  <si>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</si>
  <si>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</si>
  <si>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</si>
  <si>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</si>
  <si>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</si>
  <si>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</si>
  <si>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</si>
  <si>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</si>
  <si>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</si>
  <si>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</si>
  <si>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</si>
  <si>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</si>
  <si>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</si>
  <si>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</si>
  <si>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</si>
  <si>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</si>
  <si>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</si>
  <si>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</si>
  <si>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</si>
  <si>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</si>
  <si>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</si>
  <si>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</si>
  <si>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</si>
  <si>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</si>
  <si>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</si>
  <si>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</si>
  <si>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</si>
  <si>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</si>
  <si>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</si>
  <si>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</si>
  <si>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</si>
  <si>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</si>
  <si>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</si>
  <si>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</si>
  <si>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</si>
  <si>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</si>
  <si>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</si>
  <si>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</si>
  <si>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</si>
  <si>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</si>
  <si>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</si>
  <si>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</si>
  <si>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</si>
  <si>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</si>
  <si>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</si>
  <si>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</si>
  <si>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</si>
  <si>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</si>
  <si>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</si>
  <si>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</si>
  <si>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</si>
  <si>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</si>
  <si>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</si>
  <si>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</si>
  <si>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</si>
  <si>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</si>
  <si>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</si>
  <si>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</si>
  <si>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</si>
  <si>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</si>
  <si>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</si>
  <si>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</si>
  <si>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</si>
  <si>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</si>
  <si>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</si>
  <si>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</si>
  <si>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</si>
  <si>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</si>
  <si>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</si>
  <si>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</si>
  <si>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</si>
  <si>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</si>
  <si>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</si>
  <si>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</si>
  <si>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</si>
  <si>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</si>
  <si>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</si>
  <si>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</si>
  <si>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</si>
  <si>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</si>
  <si>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</si>
  <si>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</si>
  <si>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</si>
  <si>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</si>
  <si>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</si>
  <si>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</si>
  <si>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</si>
  <si>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</si>
  <si>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</si>
  <si>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</si>
  <si>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</si>
  <si>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</si>
  <si>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</si>
  <si>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</si>
  <si>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</si>
  <si>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</si>
  <si>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</si>
  <si>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</si>
  <si>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</si>
  <si>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</si>
  <si>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</si>
  <si>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</si>
  <si>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</si>
  <si>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</si>
  <si>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</si>
  <si>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</si>
  <si>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</si>
  <si>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</si>
  <si>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</si>
  <si>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</si>
  <si>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</si>
  <si>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</si>
  <si>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</si>
  <si>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</si>
  <si>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</si>
  <si>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</si>
  <si>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</si>
  <si>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</si>
  <si>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</si>
  <si>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</si>
  <si>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</si>
  <si>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</si>
  <si>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</si>
  <si>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</si>
  <si>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</si>
  <si>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</si>
  <si>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</si>
  <si>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</si>
  <si>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</si>
  <si>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</si>
  <si>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</si>
  <si>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</si>
  <si>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</si>
  <si>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</si>
  <si>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</si>
  <si>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</si>
  <si>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</si>
  <si>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</si>
  <si>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</si>
  <si>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</si>
  <si>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</si>
  <si>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</si>
  <si>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</si>
  <si>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</si>
  <si>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</si>
  <si>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</si>
  <si>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</si>
  <si>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</si>
  <si>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</si>
  <si>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</si>
  <si>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</si>
  <si>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</si>
  <si>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</si>
  <si>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</si>
  <si>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</si>
  <si>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</si>
  <si>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</si>
  <si>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</si>
  <si>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</si>
  <si>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</si>
  <si>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</si>
  <si>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</si>
  <si>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</si>
  <si>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</si>
  <si>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</si>
  <si>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</si>
  <si>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</si>
  <si>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</si>
  <si>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</si>
  <si>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</si>
  <si>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</si>
  <si>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</si>
  <si>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</si>
  <si>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</si>
  <si>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</si>
  <si>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</si>
  <si>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</si>
  <si>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</si>
  <si>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</si>
  <si>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</si>
  <si>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</si>
  <si>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</si>
  <si>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</si>
  <si>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</si>
  <si>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</si>
  <si>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</si>
  <si>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</si>
  <si>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</si>
  <si>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</si>
  <si>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</si>
  <si>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</si>
  <si>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</si>
  <si>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</si>
  <si>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</si>
  <si>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</si>
  <si>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</si>
  <si>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</si>
  <si>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</si>
  <si>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</si>
  <si>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</si>
  <si>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</si>
  <si>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</si>
  <si>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</si>
  <si>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</si>
  <si>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</si>
  <si>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</si>
  <si>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</si>
  <si>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</si>
  <si>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</si>
  <si>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</si>
  <si>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</si>
  <si>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</si>
  <si>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</si>
  <si>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</si>
  <si>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</si>
  <si>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</si>
  <si>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</si>
  <si>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</si>
  <si>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</si>
  <si>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</si>
  <si>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</si>
  <si>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</si>
  <si>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</si>
  <si>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</si>
  <si>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</si>
  <si>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</si>
  <si>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</si>
  <si>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</si>
  <si>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</si>
  <si>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</si>
  <si>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</si>
  <si>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</si>
  <si>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</si>
  <si>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</si>
  <si>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</si>
  <si>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</si>
  <si>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</si>
  <si>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</si>
  <si>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</si>
  <si>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</si>
  <si>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</si>
  <si>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</si>
  <si>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</si>
  <si>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</si>
  <si>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</si>
  <si>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</si>
  <si>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</si>
  <si>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</si>
  <si>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</si>
  <si>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</si>
  <si>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</si>
  <si>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</si>
  <si>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</si>
  <si>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</si>
  <si>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</si>
  <si>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</si>
  <si>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</si>
  <si>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</si>
  <si>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</si>
  <si>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</si>
  <si>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</si>
  <si>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</si>
  <si>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</si>
  <si>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</si>
  <si>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</si>
  <si>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</si>
  <si>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</si>
  <si>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</si>
  <si>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</si>
  <si>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</si>
  <si>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</si>
  <si>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</si>
  <si>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</si>
  <si>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</si>
  <si>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</si>
  <si>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</si>
  <si>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</si>
  <si>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</si>
  <si>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</si>
  <si>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</si>
  <si>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</si>
  <si>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</si>
  <si>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</si>
  <si>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</si>
  <si>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</si>
  <si>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</si>
  <si>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</si>
  <si>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</si>
  <si>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</si>
  <si>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</si>
  <si>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</si>
  <si>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</si>
  <si>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</si>
  <si>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</si>
  <si>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</si>
  <si>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</si>
  <si>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</si>
  <si>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</si>
  <si>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</si>
  <si>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</si>
  <si>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</si>
  <si>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</si>
  <si>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</si>
  <si>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</si>
  <si>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</si>
  <si>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</si>
  <si>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</si>
  <si>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</si>
  <si>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</si>
  <si>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</si>
  <si>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</si>
  <si>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</si>
  <si>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</si>
  <si>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</si>
  <si>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</si>
  <si>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</si>
  <si>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</si>
  <si>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</si>
  <si>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</si>
  <si>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</si>
  <si>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</si>
  <si>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</si>
  <si>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</si>
  <si>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</si>
  <si>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</si>
  <si>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</si>
  <si>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</si>
  <si>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</si>
  <si>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</si>
  <si>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</si>
  <si>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</si>
  <si>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</si>
  <si>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</si>
  <si>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</si>
  <si>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</si>
  <si>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</si>
  <si>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</si>
  <si>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</si>
  <si>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</si>
  <si>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</si>
  <si>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</si>
  <si>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</si>
  <si>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</si>
  <si>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</si>
  <si>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</si>
  <si>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</si>
  <si>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</si>
  <si>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</si>
  <si>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</si>
  <si>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</si>
  <si>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</si>
  <si>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</si>
  <si>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</si>
  <si>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</si>
  <si>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</si>
  <si>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</si>
  <si>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</si>
  <si>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</si>
  <si>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</si>
  <si>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</si>
  <si>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</si>
  <si>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</si>
  <si>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</si>
  <si>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</si>
  <si>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</si>
  <si>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</si>
  <si>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</si>
  <si>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</si>
  <si>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</si>
  <si>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</si>
  <si>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</si>
  <si>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</si>
  <si>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</si>
  <si>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</si>
  <si>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</si>
  <si>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</si>
  <si>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</si>
  <si>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</si>
  <si>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</si>
  <si>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</si>
  <si>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</si>
  <si>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</si>
  <si>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</si>
  <si>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</si>
  <si>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</si>
  <si>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</si>
  <si>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</si>
  <si>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</si>
  <si>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</si>
  <si>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</si>
  <si>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</si>
  <si>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</si>
  <si>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</si>
  <si>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</si>
  <si>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</si>
  <si>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</si>
  <si>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</si>
  <si>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</si>
  <si>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</si>
  <si>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</si>
  <si>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</si>
  <si>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</si>
  <si>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</si>
  <si>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</si>
  <si>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</si>
  <si>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</si>
  <si>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</si>
  <si>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</si>
  <si>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</si>
  <si>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</si>
  <si>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</si>
  <si>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</si>
  <si>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</si>
  <si>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</si>
  <si>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</si>
  <si>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</si>
  <si>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</si>
  <si>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</si>
  <si>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</si>
  <si>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</si>
  <si>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</si>
  <si>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</si>
  <si>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</si>
  <si>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</si>
  <si>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</si>
  <si>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</si>
  <si>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</si>
  <si>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</si>
  <si>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</si>
  <si>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</si>
  <si>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</si>
  <si>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</si>
  <si>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</si>
  <si>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</si>
  <si>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</si>
  <si>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</si>
  <si>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</si>
  <si>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</si>
  <si>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</si>
  <si>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</si>
  <si>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</si>
  <si>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</si>
  <si>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</si>
  <si>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</si>
  <si>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</si>
  <si>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</si>
  <si>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</si>
  <si>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</si>
  <si>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</si>
  <si>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</si>
  <si>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</si>
  <si>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</si>
  <si>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</si>
  <si>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</si>
  <si>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</si>
  <si>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</si>
  <si>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</si>
  <si>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</si>
  <si>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</si>
  <si>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</si>
  <si>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</si>
  <si>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</si>
  <si>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</si>
  <si>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</si>
  <si>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</si>
  <si>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</si>
  <si>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</si>
  <si>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</si>
  <si>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</si>
  <si>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</si>
  <si>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</si>
  <si>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</si>
  <si>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</si>
  <si>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</si>
  <si>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</si>
  <si>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</si>
  <si>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</si>
  <si>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</si>
  <si>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</si>
  <si>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</si>
  <si>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</si>
  <si>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</si>
  <si>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</si>
  <si>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</si>
  <si>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</si>
  <si>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</si>
  <si>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</si>
  <si>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</si>
  <si>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</si>
  <si>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</si>
  <si>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</si>
  <si>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</si>
  <si>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</si>
  <si>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</si>
  <si>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</si>
  <si>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</si>
  <si>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</si>
  <si>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</si>
  <si>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</si>
  <si>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</si>
  <si>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</si>
  <si>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</si>
  <si>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</si>
  <si>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</si>
  <si>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</si>
  <si>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</si>
  <si>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</si>
  <si>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</si>
  <si>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</si>
  <si>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</si>
  <si>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</si>
  <si>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</si>
  <si>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</si>
  <si>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</si>
  <si>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</si>
  <si>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</si>
  <si>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</si>
  <si>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</si>
  <si>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</si>
  <si>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</si>
  <si>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</si>
  <si>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</si>
  <si>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</si>
  <si>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</si>
  <si>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</si>
  <si>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</si>
  <si>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</si>
  <si>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</si>
  <si>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</si>
  <si>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</si>
  <si>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</si>
  <si>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</si>
  <si>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</si>
  <si>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</si>
  <si>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</si>
  <si>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</si>
  <si>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</si>
  <si>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</si>
  <si>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</si>
  <si>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</si>
  <si>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</si>
  <si>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</si>
  <si>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</si>
  <si>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</si>
  <si>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</si>
  <si>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</si>
  <si>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</si>
  <si>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</si>
  <si>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</si>
  <si>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</si>
  <si>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</si>
  <si>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</si>
  <si>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</si>
  <si>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</si>
  <si>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</si>
  <si>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</si>
  <si>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</si>
  <si>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</si>
  <si>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</si>
  <si>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</si>
  <si>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</si>
  <si>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</si>
  <si>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</si>
  <si>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</si>
  <si>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</si>
  <si>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</si>
  <si>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</si>
  <si>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</si>
  <si>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</si>
  <si>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</si>
  <si>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</si>
  <si>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</si>
  <si>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</si>
  <si>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</si>
  <si>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</si>
  <si>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</si>
  <si>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</si>
  <si>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</si>
  <si>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</si>
  <si>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</si>
  <si>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</si>
  <si>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</si>
  <si>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</si>
  <si>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</si>
  <si>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</si>
  <si>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</si>
  <si>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</si>
  <si>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</si>
  <si>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</si>
  <si>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</si>
  <si>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</si>
  <si>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</si>
  <si>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</si>
  <si>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</si>
  <si>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</si>
  <si>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</si>
  <si>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</si>
  <si>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</si>
  <si>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</si>
  <si>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</si>
  <si>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</si>
  <si>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</si>
  <si>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</si>
  <si>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</si>
  <si>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</si>
  <si>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</si>
  <si>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</si>
  <si>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</si>
  <si>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</si>
  <si>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</si>
  <si>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</si>
  <si>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</si>
  <si>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</si>
  <si>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</si>
  <si>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</si>
  <si>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</si>
  <si>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</si>
  <si>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</si>
  <si>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</si>
  <si>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</si>
  <si>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</si>
  <si>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</si>
  <si>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</si>
  <si>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</si>
  <si>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</si>
  <si>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</si>
  <si>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</si>
  <si>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</si>
  <si>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</si>
  <si>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</si>
  <si>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</si>
  <si>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</si>
  <si>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</si>
  <si>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</si>
  <si>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</si>
  <si>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</si>
  <si>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</si>
  <si>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</si>
  <si>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</si>
  <si>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</si>
  <si>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</si>
  <si>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</si>
  <si>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</si>
  <si>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</si>
  <si>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</si>
  <si>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</si>
  <si>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</si>
  <si>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</si>
  <si>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</si>
  <si>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</si>
  <si>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</si>
  <si>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</si>
  <si>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</si>
  <si>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</si>
  <si>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</si>
  <si>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</si>
  <si>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</si>
  <si>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</si>
  <si>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</si>
  <si>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</si>
  <si>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</si>
  <si>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</si>
  <si>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</si>
  <si>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</si>
  <si>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</si>
  <si>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</si>
  <si>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</si>
  <si>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</si>
  <si>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</si>
  <si>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</si>
  <si>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</si>
  <si>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</si>
  <si>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</si>
  <si>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</si>
  <si>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</si>
  <si>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</si>
  <si>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</si>
  <si>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</si>
  <si>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</si>
  <si>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</si>
  <si>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</si>
  <si>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</si>
  <si>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</si>
  <si>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</si>
  <si>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</si>
  <si>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</si>
  <si>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</si>
  <si>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</si>
  <si>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</si>
  <si>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</si>
  <si>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</si>
  <si>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</si>
  <si>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</si>
  <si>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</si>
  <si>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</si>
  <si>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</si>
  <si>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</si>
  <si>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</si>
  <si>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</si>
  <si>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</si>
  <si>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</si>
  <si>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</si>
  <si>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</si>
  <si>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</si>
  <si>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</si>
  <si>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</si>
  <si>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</si>
  <si>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</si>
  <si>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</si>
  <si>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</si>
  <si>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</si>
  <si>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</si>
  <si>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</si>
  <si>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</si>
  <si>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</si>
  <si>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</si>
  <si>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</si>
  <si>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</si>
  <si>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</si>
  <si>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</si>
  <si>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</si>
  <si>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</si>
  <si>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</si>
  <si>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</si>
  <si>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</si>
  <si>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</si>
  <si>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</si>
  <si>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</si>
  <si>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</si>
  <si>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</si>
  <si>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</si>
  <si>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</si>
  <si>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</si>
  <si>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</si>
  <si>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</si>
  <si>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</si>
  <si>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</si>
  <si>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</si>
  <si>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</si>
  <si>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</si>
  <si>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</si>
  <si>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</si>
  <si>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</si>
  <si>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</si>
  <si>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</si>
  <si>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</si>
  <si>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</si>
  <si>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</si>
  <si>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</si>
  <si>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</si>
  <si>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</si>
  <si>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</si>
  <si>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</si>
  <si>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</si>
  <si>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</si>
  <si>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</si>
  <si>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</si>
  <si>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</si>
  <si>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</si>
  <si>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</si>
  <si>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</si>
  <si>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</si>
  <si>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</si>
  <si>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</si>
  <si>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</si>
  <si>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</si>
  <si>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</si>
  <si>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</si>
  <si>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</si>
  <si>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</si>
  <si>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</si>
  <si>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</si>
  <si>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</si>
  <si>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</si>
  <si>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</si>
  <si>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</si>
  <si>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</si>
  <si>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</si>
  <si>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</si>
  <si>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</si>
  <si>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</si>
  <si>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</si>
  <si>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</si>
  <si>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</si>
  <si>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</si>
  <si>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</si>
  <si>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</si>
  <si>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</si>
  <si>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</si>
  <si>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</si>
  <si>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</si>
  <si>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</si>
  <si>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</si>
  <si>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</si>
  <si>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</si>
  <si>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</si>
  <si>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</si>
  <si>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</si>
  <si>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</si>
  <si>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</si>
  <si>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</si>
  <si>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</si>
  <si>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</si>
  <si>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</si>
  <si>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</si>
  <si>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</si>
  <si>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</si>
  <si>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</si>
  <si>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</si>
  <si>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</si>
  <si>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</si>
  <si>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</si>
  <si>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</si>
  <si>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</si>
  <si>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</si>
  <si>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</si>
  <si>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</si>
  <si>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</si>
  <si>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</si>
  <si>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</si>
  <si>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</si>
  <si>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</si>
  <si>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</si>
  <si>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</si>
  <si>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</si>
  <si>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</si>
  <si>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</si>
  <si>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</si>
  <si>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</si>
  <si>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</si>
  <si>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</si>
  <si>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</si>
  <si>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</si>
  <si>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</si>
  <si>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</si>
  <si>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</si>
  <si>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</si>
  <si>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</si>
  <si>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</si>
  <si>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</si>
  <si>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</si>
  <si>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</si>
  <si>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</si>
  <si>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</si>
  <si>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</si>
  <si>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</si>
  <si>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</si>
  <si>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</si>
  <si>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</si>
  <si>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</si>
  <si>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</si>
  <si>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</si>
  <si>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</si>
  <si>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</si>
  <si>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</si>
  <si>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</si>
  <si>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</si>
  <si>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</si>
  <si>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</si>
  <si>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</si>
  <si>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</si>
  <si>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</si>
  <si>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</si>
  <si>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</si>
  <si>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</si>
  <si>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</si>
  <si>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</si>
  <si>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</si>
  <si>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</si>
  <si>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</si>
  <si>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</si>
  <si>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</si>
  <si>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</si>
  <si>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</si>
  <si>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</si>
  <si>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</si>
  <si>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</si>
  <si>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</si>
  <si>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</si>
  <si>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</si>
  <si>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</si>
  <si>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</si>
  <si>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</si>
  <si>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</si>
  <si>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</si>
  <si>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</si>
  <si>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</si>
  <si>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</si>
  <si>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</si>
  <si>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</si>
  <si>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</si>
  <si>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</si>
  <si>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</si>
  <si>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</si>
  <si>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</si>
  <si>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</si>
  <si>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</si>
  <si>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</si>
  <si>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</si>
  <si>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</si>
  <si>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</si>
  <si>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</si>
  <si>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</si>
  <si>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</si>
  <si>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</si>
  <si>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</si>
  <si>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</si>
  <si>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</si>
  <si>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</si>
  <si>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</si>
  <si>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</si>
  <si>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</si>
  <si>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</si>
  <si>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</si>
  <si>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</si>
  <si>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</si>
  <si>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</si>
  <si>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</si>
  <si>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</si>
  <si>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</si>
  <si>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</si>
  <si>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</si>
  <si>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</si>
  <si>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</si>
  <si>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</si>
  <si>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</si>
  <si>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</si>
  <si>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</si>
  <si>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</si>
  <si>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</si>
  <si>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</si>
  <si>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</si>
  <si>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</si>
  <si>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</si>
  <si>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</si>
  <si>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</si>
  <si>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</si>
  <si>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</si>
  <si>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</si>
  <si>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</si>
  <si>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</si>
  <si>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</si>
  <si>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</si>
  <si>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</si>
  <si>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</si>
  <si>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</si>
  <si>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</si>
  <si>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</si>
  <si>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</si>
  <si>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</si>
  <si>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</si>
  <si>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</si>
  <si>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</si>
  <si>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</si>
  <si>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</si>
  <si>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</si>
  <si>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</si>
  <si>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</si>
  <si>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</si>
  <si>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</si>
  <si>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</si>
  <si>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</si>
  <si>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</si>
  <si>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</si>
  <si>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</si>
  <si>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</si>
  <si>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</si>
  <si>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</si>
  <si>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</si>
  <si>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</si>
  <si>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</si>
  <si>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</si>
  <si>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</si>
  <si>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</si>
  <si>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</si>
  <si>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</si>
  <si>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</si>
  <si>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</si>
  <si>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</si>
  <si>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</si>
  <si>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</si>
  <si>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</si>
  <si>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</si>
  <si>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</si>
  <si>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</si>
  <si>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</si>
  <si>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</si>
  <si>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</si>
  <si>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</si>
  <si>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</si>
  <si>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</si>
  <si>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</si>
  <si>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</si>
  <si>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</si>
  <si>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</si>
  <si>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</si>
  <si>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</si>
  <si>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</si>
  <si>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</si>
  <si>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</si>
  <si>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</si>
  <si>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</si>
  <si>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</si>
  <si>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</si>
  <si>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</si>
  <si>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</si>
  <si>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</si>
  <si>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</si>
  <si>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</si>
  <si>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</si>
  <si>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</si>
  <si>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</si>
  <si>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</si>
  <si>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</si>
  <si>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</si>
  <si>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</si>
  <si>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</si>
  <si>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</si>
  <si>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</si>
  <si>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</si>
  <si>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</si>
  <si>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</si>
  <si>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</si>
  <si>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</si>
  <si>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</si>
  <si>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</si>
  <si>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</si>
  <si>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</si>
  <si>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</si>
  <si>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</si>
  <si>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</si>
  <si>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</si>
  <si>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</si>
  <si>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</si>
  <si>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</si>
  <si>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</si>
  <si>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</si>
  <si>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</si>
  <si>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</si>
  <si>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</si>
  <si>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</si>
  <si>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</si>
  <si>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</si>
  <si>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</si>
  <si>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</si>
  <si>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</si>
  <si>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</si>
  <si>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</si>
  <si>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</si>
  <si>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</si>
  <si>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</si>
  <si>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</si>
  <si>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</si>
  <si>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</si>
  <si>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</si>
  <si>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</si>
  <si>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</si>
  <si>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</si>
  <si>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</si>
  <si>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</si>
  <si>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</si>
  <si>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</si>
  <si>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</si>
  <si>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</si>
  <si>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</si>
  <si>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</si>
  <si>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</si>
  <si>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</si>
  <si>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</si>
  <si>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</si>
  <si>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</si>
  <si>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</si>
  <si>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</si>
  <si>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</si>
  <si>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</si>
  <si>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</si>
  <si>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</si>
  <si>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</si>
  <si>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</si>
  <si>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</si>
  <si>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</si>
  <si>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</si>
  <si>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</si>
  <si>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</si>
  <si>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</si>
  <si>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</si>
  <si>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</si>
  <si>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</si>
  <si>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</si>
  <si>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</si>
  <si>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</si>
  <si>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</si>
  <si>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</si>
  <si>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</si>
  <si>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</si>
  <si>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</si>
  <si>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</si>
  <si>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</si>
  <si>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</si>
  <si>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</si>
  <si>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</si>
  <si>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</si>
  <si>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</si>
  <si>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</si>
  <si>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</si>
  <si>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</si>
  <si>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</si>
  <si>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</si>
  <si>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</si>
  <si>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</si>
  <si>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</si>
  <si>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</si>
  <si>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</si>
  <si>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</si>
  <si>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</si>
  <si>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</si>
  <si>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</si>
  <si>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</si>
  <si>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</si>
  <si>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</si>
  <si>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</si>
  <si>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</si>
  <si>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</si>
  <si>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</si>
  <si>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</si>
  <si>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</si>
  <si>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</si>
  <si>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</si>
  <si>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</si>
  <si>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</si>
  <si>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</si>
  <si>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</si>
  <si>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</si>
  <si>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</si>
  <si>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</si>
  <si>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</si>
  <si>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</si>
  <si>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</si>
  <si>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</si>
  <si>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</si>
  <si>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</si>
  <si>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</si>
  <si>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</si>
  <si>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</si>
  <si>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</si>
  <si>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</si>
  <si>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</si>
  <si>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</si>
  <si>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</si>
  <si>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</si>
  <si>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</si>
  <si>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</si>
  <si>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</si>
  <si>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</si>
  <si>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</si>
  <si>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</si>
  <si>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</si>
  <si>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</si>
  <si>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</si>
  <si>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</si>
  <si>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</si>
  <si>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</si>
  <si>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</si>
  <si>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</si>
  <si>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</si>
  <si>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</si>
  <si>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</si>
  <si>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</si>
  <si>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</si>
  <si>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</si>
  <si>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</si>
  <si>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</si>
  <si>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</si>
  <si>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</si>
  <si>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</si>
  <si>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</si>
  <si>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</si>
  <si>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</si>
  <si>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</si>
  <si>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</si>
  <si>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</si>
  <si>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</si>
  <si>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</si>
  <si>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</si>
  <si>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</si>
  <si>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</si>
  <si>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</si>
  <si>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</si>
  <si>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</si>
  <si>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</si>
  <si>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</si>
  <si>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</si>
  <si>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</si>
  <si>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</si>
  <si>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</si>
  <si>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</si>
  <si>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</si>
  <si>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</si>
  <si>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</si>
  <si>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</si>
  <si>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</si>
  <si>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</si>
  <si>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</si>
  <si>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</si>
  <si>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</si>
  <si>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</si>
  <si>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</si>
  <si>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</si>
  <si>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</si>
  <si>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</si>
  <si>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</si>
  <si>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</si>
  <si>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</si>
  <si>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</si>
  <si>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</si>
  <si>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</si>
  <si>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</si>
  <si>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</si>
  <si>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</si>
  <si>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</si>
  <si>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</si>
  <si>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</si>
  <si>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</si>
  <si>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</si>
  <si>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</si>
  <si>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</si>
  <si>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</si>
  <si>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</si>
  <si>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</si>
  <si>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</si>
  <si>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</si>
  <si>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</si>
  <si>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</si>
  <si>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</si>
  <si>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</si>
  <si>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</si>
  <si>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</si>
  <si>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</si>
  <si>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</si>
  <si>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</si>
  <si>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</si>
  <si>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</si>
  <si>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</si>
  <si>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</si>
  <si>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</si>
  <si>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</si>
  <si>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</si>
  <si>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</si>
  <si>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</si>
  <si>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</si>
  <si>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</si>
  <si>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</si>
  <si>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</si>
  <si>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</si>
  <si>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</si>
  <si>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</si>
  <si>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</si>
  <si>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</si>
  <si>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</si>
  <si>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</si>
  <si>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</si>
  <si>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</si>
  <si>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</si>
  <si>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</si>
  <si>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</si>
  <si>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</si>
  <si>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</si>
  <si>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</si>
  <si>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</si>
  <si>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</si>
  <si>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</si>
  <si>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</si>
  <si>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</si>
  <si>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</si>
  <si>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</si>
  <si>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</si>
  <si>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</si>
  <si>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</si>
  <si>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</si>
  <si>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</si>
  <si>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</si>
  <si>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</si>
  <si>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</si>
  <si>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</si>
  <si>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</si>
  <si>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</si>
  <si>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</si>
  <si>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</si>
  <si>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</si>
  <si>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</si>
  <si>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</si>
  <si>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</si>
  <si>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</si>
  <si>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</si>
  <si>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</si>
  <si>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</si>
  <si>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</si>
  <si>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</si>
  <si>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</si>
  <si>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</si>
  <si>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</si>
  <si>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</si>
  <si>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</si>
  <si>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</si>
  <si>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</si>
  <si>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</si>
  <si>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</si>
  <si>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</si>
  <si>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</si>
  <si>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</si>
  <si>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</si>
  <si>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</si>
  <si>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</si>
  <si>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</si>
  <si>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</si>
  <si>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</si>
  <si>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</si>
  <si>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</si>
  <si>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</si>
  <si>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</si>
  <si>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</si>
  <si>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</si>
  <si>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</si>
  <si>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</si>
  <si>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</si>
  <si>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</si>
  <si>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</si>
  <si>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</si>
  <si>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</si>
  <si>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</si>
  <si>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</si>
  <si>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</si>
  <si>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</si>
  <si>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</si>
  <si>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</si>
  <si>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</si>
  <si>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</si>
  <si>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</si>
  <si>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</si>
  <si>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</si>
  <si>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</si>
  <si>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</si>
  <si>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</si>
  <si>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</si>
  <si>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</si>
  <si>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</si>
  <si>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</si>
  <si>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</si>
  <si>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</si>
  <si>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</si>
  <si>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</si>
  <si>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</si>
  <si>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</si>
  <si>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</si>
  <si>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</si>
  <si>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</si>
  <si>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</si>
  <si>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</si>
  <si>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</si>
  <si>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</si>
  <si>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</si>
  <si>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</si>
  <si>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</si>
  <si>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</si>
  <si>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</si>
  <si>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</si>
  <si>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</si>
  <si>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</si>
  <si>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</si>
  <si>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</si>
  <si>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</si>
  <si>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</si>
  <si>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</si>
  <si>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</si>
  <si>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</si>
  <si>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</si>
  <si>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</si>
  <si>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</si>
  <si>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</si>
  <si>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</si>
  <si>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</si>
  <si>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</si>
  <si>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</si>
  <si>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</si>
  <si>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</si>
  <si>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</si>
  <si>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</si>
  <si>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</si>
  <si>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</si>
  <si>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</si>
  <si>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</si>
  <si>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</si>
  <si>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</si>
  <si>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</si>
  <si>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</si>
  <si>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</si>
  <si>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</si>
  <si>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</si>
  <si>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</si>
  <si>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</si>
  <si>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</si>
  <si>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</si>
  <si>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</si>
  <si>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</si>
  <si>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</si>
  <si>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</si>
  <si>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</si>
  <si>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</si>
  <si>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</si>
  <si>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</si>
  <si>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</si>
  <si>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</si>
  <si>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</si>
  <si>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</si>
  <si>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</si>
  <si>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</si>
  <si>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</si>
  <si>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</si>
  <si>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</si>
  <si>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</si>
  <si>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</si>
  <si>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</si>
  <si>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</si>
  <si>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</si>
  <si>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</si>
  <si>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</si>
  <si>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</si>
  <si>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</si>
  <si>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</si>
  <si>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</si>
  <si>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</si>
  <si>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</si>
  <si>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</si>
  <si>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</si>
  <si>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</si>
  <si>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</si>
  <si>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</si>
  <si>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</si>
  <si>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</si>
  <si>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</si>
  <si>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</si>
  <si>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</si>
  <si>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</si>
  <si>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</si>
  <si>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</si>
  <si>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</si>
  <si>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</si>
  <si>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</si>
  <si>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</si>
  <si>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</si>
  <si>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</si>
  <si>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</si>
  <si>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</si>
  <si>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</si>
  <si>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</si>
  <si>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</si>
  <si>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</si>
  <si>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</si>
  <si>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</si>
  <si>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</si>
  <si>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</si>
  <si>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</si>
  <si>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</si>
  <si>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</si>
  <si>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</si>
  <si>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</si>
  <si>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</si>
  <si>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</si>
  <si>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</si>
  <si>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</si>
  <si>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</si>
  <si>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</si>
  <si>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</si>
  <si>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</si>
  <si>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</si>
  <si>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</si>
  <si>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</si>
  <si>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</si>
  <si>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</si>
  <si>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</si>
  <si>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</si>
  <si>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</si>
  <si>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</si>
  <si>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</si>
  <si>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</si>
  <si>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</si>
  <si>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</si>
  <si>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</si>
  <si>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</si>
  <si>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</si>
  <si>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</si>
  <si>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</si>
  <si>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</si>
  <si>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</si>
  <si>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</si>
  <si>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</si>
  <si>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</si>
  <si>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</si>
  <si>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</si>
  <si>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</si>
  <si>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</si>
  <si>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</si>
  <si>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</si>
  <si>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</si>
  <si>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</si>
  <si>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</si>
  <si>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</si>
  <si>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</si>
  <si>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</si>
  <si>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</si>
  <si>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</si>
  <si>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</si>
  <si>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</si>
  <si>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</si>
  <si>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</si>
  <si>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</si>
  <si>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</si>
  <si>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</si>
  <si>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</si>
  <si>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</si>
  <si>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</si>
  <si>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</si>
  <si>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</si>
  <si>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</si>
  <si>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</si>
  <si>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</si>
  <si>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</si>
  <si>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</si>
  <si>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</si>
  <si>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</si>
  <si>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</si>
  <si>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</si>
  <si>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</si>
  <si>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</si>
  <si>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</si>
  <si>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</si>
  <si>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</si>
  <si>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</si>
  <si>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</si>
  <si>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</si>
  <si>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</si>
  <si>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</si>
  <si>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</si>
  <si>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</si>
  <si>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</si>
  <si>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</si>
  <si>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</si>
  <si>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</si>
  <si>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</si>
  <si>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</si>
  <si>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</si>
  <si>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</si>
  <si>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</si>
  <si>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</si>
  <si>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</si>
  <si>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</si>
  <si>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</si>
  <si>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</si>
  <si>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</si>
  <si>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</si>
  <si>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</si>
  <si>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</si>
  <si>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</si>
  <si>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</si>
  <si>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</si>
  <si>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</si>
  <si>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</si>
  <si>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</si>
  <si>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</si>
  <si>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</si>
  <si>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</si>
  <si>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</si>
  <si>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</si>
  <si>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</si>
  <si>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</si>
  <si>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</si>
  <si>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</si>
  <si>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</si>
  <si>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</si>
  <si>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</si>
  <si>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</si>
  <si>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</si>
  <si>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</si>
  <si>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</si>
  <si>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</si>
  <si>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</si>
  <si>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</si>
  <si>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</si>
  <si>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</si>
  <si>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</si>
  <si>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</si>
  <si>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</si>
  <si>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</si>
  <si>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</si>
  <si>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</si>
  <si>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</si>
  <si>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</si>
  <si>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</si>
  <si>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</si>
  <si>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</si>
  <si>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</si>
  <si>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</si>
  <si>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</si>
  <si>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</si>
  <si>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</si>
  <si>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</si>
  <si>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</si>
  <si>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</si>
  <si>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</si>
  <si>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</si>
  <si>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</si>
  <si>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</si>
  <si>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</si>
  <si>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</si>
  <si>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</si>
  <si>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</si>
  <si>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</si>
  <si>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</si>
  <si>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</si>
  <si>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</si>
  <si>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</si>
  <si>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</si>
  <si>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</si>
  <si>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</si>
  <si>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</si>
  <si>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</si>
  <si>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</si>
  <si>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</si>
  <si>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</si>
  <si>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</si>
  <si>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</si>
  <si>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</si>
  <si>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</si>
  <si>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</si>
  <si>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</si>
  <si>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</si>
  <si>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</si>
  <si>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</si>
  <si>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</si>
  <si>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</si>
  <si>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</si>
  <si>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</si>
  <si>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</si>
  <si>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</si>
  <si>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</si>
  <si>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</si>
  <si>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</si>
  <si>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</si>
  <si>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</si>
  <si>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</si>
  <si>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</si>
  <si>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</si>
  <si>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</si>
  <si>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</si>
  <si>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</si>
  <si>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</si>
  <si>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</si>
  <si>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</si>
  <si>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</si>
  <si>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</si>
  <si>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</si>
  <si>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</si>
  <si>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</si>
  <si>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</si>
  <si>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</si>
  <si>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</si>
  <si>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</si>
  <si>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</si>
  <si>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</si>
  <si>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</si>
  <si>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</si>
  <si>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</si>
  <si>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</si>
  <si>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</si>
  <si>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</si>
  <si>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</si>
  <si>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</si>
  <si>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</si>
  <si>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</si>
  <si>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</si>
  <si>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</si>
  <si>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</si>
  <si>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</si>
  <si>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</si>
  <si>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</si>
  <si>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</si>
  <si>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</si>
  <si>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</si>
  <si>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</si>
  <si>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</si>
  <si>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</si>
  <si>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</si>
  <si>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</si>
  <si>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</si>
  <si>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</si>
  <si>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</si>
  <si>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</si>
  <si>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</si>
  <si>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</si>
  <si>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</si>
  <si>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</si>
  <si>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</si>
  <si>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</si>
  <si>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</si>
  <si>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</si>
  <si>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</si>
  <si>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</si>
  <si>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</si>
  <si>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</si>
  <si>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</si>
  <si>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</si>
  <si>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</si>
  <si>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</si>
  <si>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</si>
  <si>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</si>
  <si>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</si>
  <si>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</si>
  <si>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</si>
  <si>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</si>
  <si>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</si>
  <si>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</si>
  <si>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</si>
  <si>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</si>
  <si>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</si>
  <si>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</si>
  <si>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</si>
  <si>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</si>
  <si>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</si>
  <si>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</si>
  <si>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</si>
  <si>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</si>
  <si>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</si>
  <si>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</si>
  <si>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</si>
  <si>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</si>
  <si>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</si>
  <si>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</si>
  <si>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</si>
  <si>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</si>
  <si>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</si>
  <si>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</si>
  <si>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</si>
  <si>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</si>
  <si>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</si>
  <si>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</si>
  <si>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</si>
  <si>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</si>
  <si>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</si>
  <si>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</si>
  <si>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</si>
  <si>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</si>
  <si>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</si>
  <si>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</si>
  <si>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</si>
  <si>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</si>
  <si>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</si>
  <si>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</si>
  <si>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</si>
  <si>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</si>
  <si>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</si>
  <si>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</si>
  <si>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</si>
  <si>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</si>
  <si>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</si>
  <si>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</si>
  <si>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</si>
  <si>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</si>
  <si>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</si>
  <si>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</si>
  <si>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</si>
  <si>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</si>
  <si>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</si>
  <si>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</si>
  <si>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</si>
  <si>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</si>
  <si>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</si>
  <si>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</si>
  <si>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</si>
  <si>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</si>
  <si>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</si>
  <si>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</si>
  <si>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</si>
  <si>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</si>
  <si>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</si>
  <si>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</si>
  <si>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</si>
  <si>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</si>
  <si>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</si>
  <si>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</si>
  <si>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</si>
  <si>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</si>
  <si>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</si>
  <si>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</si>
  <si>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</si>
  <si>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</si>
  <si>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</si>
  <si>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</si>
  <si>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</si>
  <si>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</si>
  <si>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</si>
  <si>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</si>
  <si>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</si>
  <si>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</si>
  <si>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</si>
  <si>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</si>
  <si>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</si>
  <si>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</si>
  <si>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</si>
  <si>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</si>
  <si>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</si>
  <si>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</si>
  <si>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</si>
  <si>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</si>
  <si>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</si>
  <si>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</si>
  <si>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</si>
  <si>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</si>
  <si>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</si>
  <si>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</si>
  <si>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</si>
  <si>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</si>
  <si>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</si>
  <si>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</si>
  <si>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</si>
  <si>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</si>
  <si>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</si>
  <si>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</si>
  <si>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</si>
  <si>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</si>
  <si>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</si>
  <si>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</si>
  <si>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</si>
  <si>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</si>
  <si>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</si>
  <si>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</si>
  <si>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</si>
  <si>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</si>
  <si>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</si>
  <si>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</si>
  <si>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</si>
  <si>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</si>
  <si>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</si>
  <si>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</si>
  <si>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</si>
  <si>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</si>
  <si>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</si>
  <si>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</si>
  <si>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</si>
  <si>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</si>
  <si>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</si>
  <si>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</si>
  <si>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</si>
  <si>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</si>
  <si>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</si>
  <si>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</si>
  <si>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</si>
  <si>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</si>
  <si>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</si>
  <si>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</si>
  <si>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</si>
  <si>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</si>
  <si>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</si>
  <si>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</si>
  <si>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</si>
  <si>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</si>
  <si>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</si>
  <si>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</si>
  <si>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</si>
  <si>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</si>
  <si>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</si>
  <si>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</si>
  <si>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</si>
  <si>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</si>
  <si>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</si>
  <si>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</si>
  <si>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</si>
  <si>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</si>
  <si>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</si>
  <si>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</si>
  <si>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</si>
  <si>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</si>
  <si>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</si>
  <si>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</si>
  <si>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</si>
  <si>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</si>
  <si>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</si>
  <si>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</si>
  <si>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</si>
  <si>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</si>
  <si>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</si>
  <si>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</si>
  <si>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</si>
  <si>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</si>
  <si>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</si>
  <si>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</si>
  <si>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</si>
  <si>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</si>
  <si>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</si>
  <si>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</si>
  <si>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</si>
  <si>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</si>
  <si>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</si>
  <si>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</si>
  <si>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</si>
  <si>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</si>
  <si>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</si>
  <si>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</si>
  <si>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</si>
  <si>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</si>
  <si>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</si>
  <si>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</si>
  <si>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</si>
  <si>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</si>
  <si>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</si>
  <si>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</si>
  <si>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</si>
  <si>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</si>
  <si>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</si>
  <si>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</si>
  <si>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</si>
  <si>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</si>
  <si>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</si>
  <si>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</si>
  <si>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</si>
  <si>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</si>
  <si>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</si>
  <si>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</si>
  <si>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</si>
  <si>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</si>
  <si>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</si>
  <si>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</si>
  <si>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</si>
  <si>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</si>
  <si>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</si>
  <si>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</si>
  <si>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</si>
  <si>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</si>
  <si>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</si>
  <si>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</si>
  <si>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</si>
  <si>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</si>
  <si>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</si>
  <si>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</si>
  <si>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</si>
  <si>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</si>
  <si>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</si>
  <si>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</si>
  <si>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</si>
  <si>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</si>
  <si>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</si>
  <si>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</si>
  <si>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</si>
  <si>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</si>
  <si>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</si>
  <si>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</si>
  <si>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</si>
  <si>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</si>
  <si>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</si>
  <si>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</si>
  <si>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</si>
  <si>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</si>
  <si>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</si>
  <si>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</si>
  <si>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</si>
  <si>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</si>
  <si>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</si>
  <si>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</si>
  <si>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</si>
  <si>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</si>
  <si>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</si>
  <si>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</si>
  <si>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</si>
  <si>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</si>
  <si>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</si>
  <si>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</si>
  <si>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</si>
  <si>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</si>
  <si>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</si>
  <si>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</si>
  <si>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</si>
  <si>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</si>
  <si>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</si>
  <si>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</si>
  <si>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</si>
  <si>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</si>
  <si>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</si>
  <si>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</si>
  <si>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</si>
  <si>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</si>
  <si>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</si>
  <si>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</si>
  <si>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</si>
  <si>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</si>
  <si>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</si>
  <si>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</si>
  <si>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</si>
  <si>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</si>
  <si>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</si>
  <si>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</si>
  <si>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</si>
  <si>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</si>
  <si>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</si>
  <si>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</si>
  <si>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</si>
  <si>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</si>
  <si>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</si>
  <si>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</si>
  <si>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</si>
  <si>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</si>
  <si>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</si>
  <si>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</si>
  <si>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</si>
  <si>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</si>
  <si>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</si>
  <si>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</si>
  <si>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</si>
  <si>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</si>
  <si>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</si>
  <si>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</si>
  <si>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</si>
  <si>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</si>
  <si>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</si>
  <si>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</si>
  <si>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</si>
  <si>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</si>
  <si>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</si>
  <si>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</si>
  <si>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</si>
  <si>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</si>
  <si>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</si>
  <si>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</si>
  <si>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</si>
  <si>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</si>
  <si>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</si>
  <si>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</si>
  <si>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</si>
  <si>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</si>
  <si>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</si>
  <si>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</si>
  <si>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</si>
  <si>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</si>
  <si>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</si>
  <si>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</si>
  <si>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</si>
  <si>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</si>
  <si>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</si>
  <si>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</si>
  <si>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</si>
  <si>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</si>
  <si>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</si>
  <si>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</si>
  <si>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</si>
  <si>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</si>
  <si>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</si>
  <si>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</si>
  <si>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</si>
  <si>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</si>
  <si>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</si>
  <si>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</si>
  <si>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</si>
  <si>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</si>
  <si>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</si>
  <si>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</si>
  <si>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</si>
  <si>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</si>
  <si>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</si>
  <si>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</si>
  <si>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</si>
  <si>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</si>
  <si>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</si>
  <si>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</si>
  <si>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</si>
  <si>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</si>
  <si>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</si>
  <si>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</si>
  <si>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</si>
  <si>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</si>
  <si>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</si>
  <si>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</si>
  <si>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</si>
  <si>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</si>
  <si>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</si>
  <si>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</si>
  <si>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</si>
  <si>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</si>
  <si>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</si>
  <si>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</si>
  <si>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</si>
  <si>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</si>
  <si>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</si>
  <si>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</si>
  <si>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</si>
  <si>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</si>
  <si>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</si>
  <si>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</si>
  <si>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</si>
  <si>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</si>
  <si>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</si>
  <si>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</si>
  <si>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</si>
  <si>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</si>
  <si>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</si>
  <si>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</si>
  <si>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</si>
  <si>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</si>
  <si>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</si>
  <si>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</si>
  <si>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</si>
  <si>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</si>
  <si>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</si>
  <si>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</si>
  <si>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</si>
  <si>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</si>
  <si>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</si>
  <si>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</si>
  <si>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</si>
  <si>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</si>
  <si>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</si>
  <si>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</si>
  <si>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</si>
  <si>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</si>
  <si>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</si>
  <si>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</si>
  <si>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</si>
  <si>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</si>
  <si>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</si>
  <si>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</si>
  <si>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</si>
  <si>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</si>
  <si>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</si>
  <si>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</si>
  <si>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</si>
  <si>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</si>
  <si>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</si>
  <si>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</si>
  <si>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</si>
  <si>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</si>
  <si>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</si>
  <si>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</si>
  <si>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</si>
  <si>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</si>
  <si>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</si>
  <si>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</si>
  <si>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</si>
  <si>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</si>
  <si>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</si>
  <si>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</si>
  <si>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</si>
  <si>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</si>
  <si>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</si>
  <si>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</si>
  <si>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</si>
  <si>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</si>
  <si>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</si>
  <si>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</si>
  <si>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</si>
  <si>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</si>
  <si>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</si>
  <si>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</si>
  <si>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</si>
  <si>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</si>
  <si>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</si>
  <si>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</si>
  <si>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</si>
  <si>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</si>
  <si>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</si>
  <si>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</si>
  <si>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</si>
  <si>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</si>
  <si>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</si>
  <si>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</si>
  <si>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</si>
  <si>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</si>
  <si>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</si>
  <si>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</si>
  <si>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</si>
  <si>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</si>
  <si>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</si>
  <si>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</si>
  <si>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</si>
  <si>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</si>
  <si>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</si>
  <si>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</si>
  <si>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</si>
  <si>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</si>
  <si>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</si>
  <si>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</si>
  <si>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</si>
  <si>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</si>
  <si>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</si>
  <si>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</si>
  <si>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</si>
  <si>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</si>
  <si>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</si>
  <si>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</si>
  <si>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</si>
  <si>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</si>
  <si>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</si>
  <si>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</si>
  <si>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</si>
  <si>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</si>
  <si>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</si>
  <si>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</si>
  <si>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</si>
  <si>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</si>
  <si>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</si>
  <si>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</si>
  <si>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</si>
  <si>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</si>
  <si>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</si>
  <si>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</si>
  <si>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</si>
  <si>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</si>
  <si>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</si>
  <si>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</si>
  <si>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</si>
  <si>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</si>
  <si>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</si>
  <si>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</si>
  <si>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</si>
  <si>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</si>
  <si>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</si>
  <si>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</si>
  <si>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</si>
  <si>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</si>
  <si>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</si>
  <si>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</si>
  <si>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</si>
  <si>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</si>
  <si>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</si>
  <si>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</si>
  <si>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</si>
  <si>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</si>
  <si>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</si>
  <si>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</si>
  <si>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</si>
  <si>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</si>
  <si>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</si>
  <si>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</si>
  <si>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</si>
  <si>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</si>
  <si>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</si>
  <si>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</si>
  <si>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</si>
  <si>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</si>
  <si>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</si>
  <si>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</si>
  <si>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</si>
  <si>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</si>
  <si>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</si>
  <si>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</si>
  <si>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</si>
  <si>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</si>
  <si>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</si>
  <si>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</si>
  <si>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</si>
  <si>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</si>
  <si>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</si>
  <si>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</si>
  <si>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</si>
  <si>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</si>
  <si>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</si>
  <si>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</si>
  <si>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</si>
  <si>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</si>
  <si>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</si>
  <si>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</si>
  <si>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</si>
  <si>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</si>
  <si>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</si>
  <si>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</si>
  <si>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</si>
  <si>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</si>
  <si>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</si>
  <si>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</si>
  <si>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</si>
  <si>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</si>
  <si>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</si>
  <si>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</si>
  <si>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</si>
  <si>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</si>
  <si>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</si>
  <si>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</si>
  <si>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</si>
  <si>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</si>
  <si>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</si>
  <si>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</si>
  <si>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</si>
  <si>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</si>
  <si>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</si>
  <si>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</si>
  <si>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</si>
  <si>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</si>
  <si>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</si>
  <si>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</si>
  <si>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</si>
  <si>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</si>
  <si>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</si>
  <si>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</si>
  <si>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</si>
  <si>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</si>
  <si>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</si>
  <si>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</si>
  <si>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</si>
  <si>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</si>
  <si>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</si>
  <si>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</si>
  <si>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</si>
  <si>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</si>
  <si>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</si>
  <si>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</si>
  <si>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</si>
  <si>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</si>
  <si>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</si>
  <si>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</si>
  <si>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</si>
  <si>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</si>
  <si>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</si>
  <si>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</si>
  <si>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</si>
  <si>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</si>
  <si>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</si>
  <si>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</si>
  <si>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</si>
  <si>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</si>
  <si>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</si>
  <si>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</si>
  <si>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</si>
  <si>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</si>
  <si>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</si>
  <si>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</si>
  <si>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</si>
  <si>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</si>
  <si>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</si>
  <si>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</si>
  <si>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</si>
  <si>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</si>
  <si>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</si>
  <si>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</si>
  <si>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</si>
  <si>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</si>
  <si>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</si>
  <si>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</si>
  <si>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</si>
  <si>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</si>
  <si>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</si>
  <si>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</si>
  <si>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</si>
  <si>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</si>
  <si>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</si>
  <si>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</si>
  <si>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</si>
  <si>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</si>
  <si>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</si>
  <si>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</si>
  <si>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</si>
  <si>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</si>
  <si>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</si>
  <si>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</si>
  <si>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</si>
  <si>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</si>
  <si>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</si>
  <si>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</si>
  <si>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</si>
  <si>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</si>
  <si>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</si>
  <si>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</si>
  <si>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</si>
  <si>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</si>
  <si>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</si>
  <si>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</si>
  <si>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</si>
  <si>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</si>
  <si>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</si>
  <si>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</si>
  <si>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</si>
  <si>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</si>
  <si>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</si>
  <si>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</si>
  <si>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</si>
  <si>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</si>
  <si>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</si>
  <si>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</si>
  <si>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</si>
  <si>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</si>
  <si>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</si>
  <si>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</si>
  <si>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</si>
  <si>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</si>
  <si>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</si>
  <si>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</si>
  <si>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</si>
  <si>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</si>
  <si>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</si>
  <si>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</si>
  <si>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</si>
  <si>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</si>
  <si>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</si>
  <si>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</si>
  <si>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</si>
  <si>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</si>
  <si>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</si>
  <si>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</si>
  <si>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</si>
  <si>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</si>
  <si>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</si>
  <si>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</si>
  <si>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</si>
  <si>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</si>
  <si>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</si>
  <si>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</si>
  <si>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</si>
  <si>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</si>
  <si>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</si>
  <si>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</si>
  <si>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</si>
  <si>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</si>
  <si>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</si>
  <si>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</si>
  <si>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</si>
  <si>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</si>
  <si>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</si>
  <si>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</si>
  <si>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</si>
  <si>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</si>
  <si>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</si>
  <si>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</si>
  <si>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</si>
  <si>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</si>
  <si>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</si>
  <si>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</si>
  <si>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</si>
  <si>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</si>
  <si>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</si>
  <si>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</si>
  <si>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</si>
  <si>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</si>
  <si>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</si>
  <si>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</si>
  <si>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</si>
  <si>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</si>
  <si>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</si>
  <si>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</si>
  <si>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</si>
  <si>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</si>
  <si>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</si>
  <si>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</si>
  <si>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</si>
  <si>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</si>
  <si>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</si>
  <si>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</si>
  <si>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</si>
  <si>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</si>
  <si>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</si>
  <si>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</si>
  <si>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</si>
  <si>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</si>
  <si>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</si>
  <si>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</si>
  <si>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</si>
  <si>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</si>
  <si>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</si>
  <si>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</si>
  <si>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</si>
  <si>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</si>
  <si>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</si>
  <si>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</si>
  <si>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</si>
  <si>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</si>
  <si>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</si>
  <si>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</si>
  <si>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</si>
  <si>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</si>
  <si>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</si>
  <si>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</si>
  <si>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</si>
  <si>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</si>
  <si>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</si>
  <si>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</si>
  <si>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</si>
  <si>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</si>
  <si>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</si>
  <si>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</si>
  <si>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</si>
  <si>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</si>
  <si>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</si>
  <si>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</si>
  <si>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</si>
  <si>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</si>
  <si>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</si>
  <si>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</si>
  <si>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</si>
  <si>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</si>
  <si>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</si>
  <si>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</si>
  <si>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</si>
  <si>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</si>
  <si>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</si>
  <si>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</si>
  <si>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</si>
  <si>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</si>
  <si>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</si>
  <si>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</si>
  <si>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</si>
  <si>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</si>
  <si>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</si>
  <si>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</si>
  <si>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</si>
  <si>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</si>
  <si>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</si>
  <si>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</si>
  <si>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</si>
  <si>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</si>
  <si>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</si>
  <si>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</si>
  <si>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</si>
  <si>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</si>
  <si>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</si>
  <si>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</si>
  <si>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</si>
  <si>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</si>
  <si>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</si>
  <si>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</si>
  <si>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</si>
  <si>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</si>
  <si>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</si>
  <si>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</si>
  <si>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</si>
  <si>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</si>
  <si>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</si>
  <si>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</si>
  <si>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</si>
  <si>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</si>
  <si>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</si>
  <si>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</si>
  <si>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</si>
  <si>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</si>
  <si>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</si>
  <si>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</si>
  <si>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</si>
  <si>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</si>
  <si>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</si>
  <si>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</si>
  <si>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</si>
  <si>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</si>
  <si>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</si>
  <si>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</si>
  <si>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</si>
  <si>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</si>
  <si>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</si>
  <si>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</si>
  <si>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</si>
  <si>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</si>
  <si>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</si>
  <si>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</si>
  <si>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</si>
  <si>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</si>
  <si>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</si>
  <si>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</si>
  <si>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</si>
  <si>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</si>
  <si>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</si>
  <si>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</si>
  <si>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</si>
  <si>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</si>
  <si>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</si>
  <si>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</si>
  <si>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</si>
  <si>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</si>
  <si>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</si>
  <si>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</si>
  <si>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</si>
  <si>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</si>
  <si>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</si>
  <si>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</si>
  <si>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</si>
  <si>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</si>
  <si>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</si>
  <si>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</si>
  <si>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</si>
  <si>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</si>
  <si>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</si>
  <si>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</si>
  <si>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</si>
  <si>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</si>
  <si>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</si>
  <si>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</si>
  <si>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</si>
  <si>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</si>
  <si>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</si>
  <si>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</si>
  <si>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</si>
  <si>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</si>
  <si>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</si>
  <si>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</si>
  <si>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</si>
  <si>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</si>
  <si>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</si>
  <si>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</si>
  <si>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</si>
  <si>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</si>
  <si>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</si>
  <si>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</si>
  <si>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</si>
  <si>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</si>
  <si>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</si>
  <si>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</si>
  <si>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</si>
  <si>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</si>
  <si>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</si>
  <si>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</si>
  <si>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</si>
  <si>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</si>
  <si>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</si>
  <si>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</si>
  <si>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</si>
  <si>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</si>
  <si>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</si>
  <si>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</si>
  <si>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</si>
  <si>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</si>
  <si>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</si>
  <si>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</si>
  <si>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</si>
  <si>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</si>
  <si>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</si>
  <si>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</si>
  <si>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</si>
  <si>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</si>
  <si>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</si>
  <si>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</si>
  <si>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</si>
  <si>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</si>
  <si>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</si>
  <si>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</si>
  <si>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</si>
  <si>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</si>
  <si>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</si>
  <si>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</si>
  <si>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</si>
  <si>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</si>
  <si>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</si>
  <si>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</si>
  <si>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</si>
  <si>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</si>
  <si>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</si>
  <si>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</si>
  <si>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</si>
  <si>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</si>
  <si>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</si>
  <si>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</si>
  <si>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</si>
  <si>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</si>
  <si>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</si>
  <si>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</si>
  <si>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</si>
  <si>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</si>
  <si>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</si>
  <si>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</si>
  <si>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</si>
  <si>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</si>
  <si>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</si>
  <si>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</si>
  <si>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</si>
  <si>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</si>
  <si>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</si>
  <si>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</si>
  <si>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</si>
  <si>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</si>
  <si>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</si>
  <si>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</si>
  <si>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</si>
  <si>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</si>
  <si>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</si>
  <si>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</si>
  <si>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</si>
  <si>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</si>
  <si>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</si>
  <si>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</si>
  <si>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</si>
  <si>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</si>
  <si>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</si>
  <si>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</si>
  <si>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</si>
  <si>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</si>
  <si>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</si>
  <si>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</si>
  <si>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</si>
  <si>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</si>
  <si>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</si>
  <si>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</si>
  <si>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</si>
  <si>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</si>
  <si>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</si>
  <si>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</si>
  <si>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</si>
  <si>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</si>
  <si>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</si>
  <si>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</si>
  <si>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</si>
  <si>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</si>
  <si>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</si>
  <si>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</si>
  <si>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</si>
  <si>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</si>
  <si>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</si>
  <si>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</si>
  <si>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</si>
  <si>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</si>
  <si>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</si>
  <si>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</si>
  <si>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</si>
  <si>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</si>
  <si>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</si>
  <si>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</si>
  <si>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</si>
  <si>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</si>
  <si>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</si>
  <si>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</si>
  <si>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</si>
  <si>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</si>
  <si>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</si>
  <si>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</si>
  <si>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</si>
  <si>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</si>
  <si>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</si>
  <si>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</si>
  <si>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</si>
  <si>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</si>
  <si>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</si>
  <si>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</si>
  <si>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</si>
  <si>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</si>
  <si>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</si>
  <si>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</si>
  <si>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</si>
  <si>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</si>
  <si>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</si>
  <si>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</si>
  <si>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</si>
  <si>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</si>
  <si>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</si>
  <si>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</si>
  <si>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</si>
  <si>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</si>
  <si>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</si>
  <si>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</si>
  <si>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</si>
  <si>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</si>
  <si>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</si>
  <si>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</si>
  <si>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</si>
  <si>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</si>
  <si>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</si>
  <si>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</si>
  <si>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</si>
  <si>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</si>
  <si>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</si>
  <si>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</si>
  <si>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</si>
  <si>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</si>
  <si>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</si>
  <si>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</si>
  <si>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</si>
  <si>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</si>
  <si>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</si>
  <si>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</si>
  <si>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</si>
  <si>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</si>
  <si>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</si>
  <si>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</si>
  <si>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</si>
  <si>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</si>
  <si>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</si>
  <si>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</si>
  <si>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</si>
  <si>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</si>
  <si>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</si>
  <si>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</si>
  <si>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</si>
  <si>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</si>
  <si>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</si>
  <si>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</si>
  <si>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</si>
  <si>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</si>
  <si>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</si>
  <si>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</si>
  <si>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</si>
  <si>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</si>
  <si>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</si>
  <si>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</si>
  <si>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</si>
  <si>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</si>
  <si>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</si>
  <si>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</si>
  <si>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</si>
  <si>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</si>
  <si>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</si>
  <si>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</si>
  <si>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</si>
  <si>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</si>
  <si>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</si>
  <si>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</si>
  <si>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</si>
  <si>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</si>
  <si>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</si>
  <si>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</si>
  <si>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</si>
  <si>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</si>
  <si>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</si>
  <si>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</si>
  <si>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</si>
  <si>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</si>
  <si>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</si>
  <si>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</si>
  <si>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</si>
  <si>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</si>
  <si>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</si>
  <si>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</si>
  <si>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</si>
  <si>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</si>
  <si>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</si>
  <si>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</si>
  <si>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</si>
  <si>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</si>
  <si>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</si>
  <si>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</si>
  <si>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</si>
  <si>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</si>
  <si>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</si>
  <si>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</si>
  <si>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</si>
  <si>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</si>
  <si>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</si>
  <si>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</si>
  <si>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</si>
  <si>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</si>
  <si>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</si>
  <si>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</si>
  <si>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</si>
  <si>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</si>
  <si>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</si>
  <si>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</si>
  <si>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</si>
  <si>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</si>
  <si>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</si>
  <si>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</si>
  <si>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</si>
  <si>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</si>
  <si>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</si>
  <si>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</si>
  <si>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</si>
  <si>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</si>
  <si>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</si>
  <si>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</si>
  <si>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</si>
  <si>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</si>
  <si>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</si>
  <si>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</si>
  <si>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</si>
  <si>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</si>
  <si>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</si>
  <si>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</si>
  <si>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</si>
  <si>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</si>
  <si>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</si>
  <si>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</si>
  <si>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</si>
  <si>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</si>
  <si>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</si>
  <si>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</si>
  <si>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</si>
  <si>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</si>
  <si>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</si>
  <si>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</si>
  <si>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</si>
  <si>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</si>
  <si>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</si>
  <si>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</si>
  <si>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</si>
  <si>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</si>
  <si>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</si>
  <si>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</si>
  <si>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</si>
  <si>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</si>
  <si>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</si>
  <si>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</si>
  <si>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</si>
  <si>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</si>
  <si>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</si>
  <si>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</si>
  <si>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</si>
  <si>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</si>
  <si>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</si>
  <si>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</si>
  <si>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</si>
  <si>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</si>
  <si>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</si>
  <si>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</si>
  <si>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</si>
  <si>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</si>
  <si>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</si>
  <si>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</si>
  <si>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</si>
  <si>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</si>
  <si>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</si>
  <si>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</si>
  <si>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</si>
  <si>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</si>
  <si>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</si>
  <si>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</si>
  <si>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</si>
  <si>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</si>
  <si>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</si>
  <si>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</si>
  <si>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</si>
  <si>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</si>
  <si>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</si>
  <si>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</si>
  <si>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</si>
  <si>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</si>
  <si>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</si>
  <si>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</si>
  <si>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</si>
  <si>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</si>
  <si>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</si>
  <si>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</si>
  <si>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</si>
  <si>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</si>
  <si>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</si>
  <si>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</si>
  <si>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</si>
  <si>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</si>
  <si>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</si>
  <si>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</si>
  <si>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</si>
  <si>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</si>
  <si>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</si>
  <si>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</si>
  <si>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</si>
  <si>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</si>
  <si>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</si>
  <si>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</si>
  <si>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</si>
  <si>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</si>
  <si>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</si>
  <si>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</si>
  <si>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</si>
  <si>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</si>
  <si>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</si>
  <si>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</si>
  <si>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</si>
  <si>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</si>
  <si>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</si>
  <si>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</si>
  <si>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</si>
  <si>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</si>
  <si>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</si>
  <si>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</si>
  <si>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</si>
  <si>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</si>
  <si>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</si>
  <si>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</si>
  <si>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</si>
  <si>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</si>
  <si>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</si>
  <si>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</si>
  <si>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</si>
  <si>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</si>
  <si>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</si>
  <si>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</si>
  <si>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</si>
  <si>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</si>
  <si>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</si>
  <si>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</si>
  <si>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</si>
  <si>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</si>
  <si>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</si>
  <si>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</si>
  <si>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</si>
  <si>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</si>
  <si>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</si>
  <si>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</si>
  <si>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</si>
  <si>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</si>
  <si>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</si>
  <si>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</si>
  <si>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</si>
  <si>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</si>
  <si>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</si>
  <si>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</si>
  <si>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</si>
  <si>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</si>
  <si>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</si>
  <si>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</si>
  <si>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</si>
  <si>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</si>
  <si>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</si>
  <si>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</si>
  <si>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</si>
  <si>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</si>
  <si>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</si>
  <si>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</si>
  <si>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</si>
  <si>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</si>
  <si>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</si>
  <si>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</si>
  <si>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</si>
  <si>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</si>
  <si>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</si>
  <si>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</si>
  <si>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</si>
  <si>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</si>
  <si>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</si>
  <si>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</si>
  <si>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</si>
  <si>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</si>
  <si>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</si>
  <si>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</si>
  <si>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</si>
  <si>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</si>
  <si>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</si>
  <si>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</si>
  <si>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</si>
  <si>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</si>
  <si>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</si>
  <si>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</si>
  <si>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</si>
  <si>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</si>
  <si>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</si>
  <si>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</si>
  <si>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</si>
  <si>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</si>
  <si>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</si>
  <si>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</si>
  <si>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</si>
  <si>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</si>
  <si>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</si>
  <si>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</si>
  <si>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</si>
  <si>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</si>
  <si>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</si>
  <si>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</si>
  <si>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</si>
  <si>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</si>
  <si>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</si>
  <si>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</si>
  <si>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</si>
  <si>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</si>
  <si>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</si>
  <si>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</si>
  <si>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</si>
  <si>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</si>
  <si>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</si>
  <si>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</si>
  <si>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</si>
  <si>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</si>
  <si>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</si>
  <si>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</si>
  <si>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</si>
  <si>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</si>
  <si>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</si>
  <si>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</si>
  <si>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</si>
  <si>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</si>
  <si>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</si>
  <si>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</si>
  <si>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</si>
  <si>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</si>
  <si>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</si>
  <si>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</si>
  <si>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</si>
  <si>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</si>
  <si>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</si>
  <si>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</si>
  <si>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</si>
  <si>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</si>
  <si>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</si>
  <si>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</si>
  <si>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</si>
  <si>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</si>
  <si>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</si>
  <si>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</si>
  <si>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</si>
  <si>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</si>
  <si>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</si>
  <si>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</si>
  <si>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</si>
  <si>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</si>
  <si>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</si>
  <si>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</si>
  <si>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</si>
  <si>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</si>
  <si>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</si>
  <si>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</si>
  <si>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</si>
  <si>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</si>
  <si>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</si>
  <si>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</si>
  <si>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</si>
  <si>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</si>
  <si>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</si>
  <si>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</si>
  <si>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</si>
  <si>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</si>
  <si>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</si>
  <si>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</si>
  <si>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</si>
  <si>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</si>
  <si>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</si>
  <si>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</si>
  <si>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</si>
  <si>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</si>
  <si>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</si>
  <si>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</si>
  <si>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</si>
  <si>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</si>
  <si>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</si>
  <si>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</si>
  <si>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</si>
  <si>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</si>
  <si>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</si>
  <si>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</si>
  <si>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</si>
  <si>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</si>
  <si>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</si>
  <si>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</si>
  <si>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</si>
  <si>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</si>
  <si>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</si>
  <si>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</si>
  <si>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</si>
  <si>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</si>
  <si>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</si>
  <si>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</si>
  <si>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</si>
  <si>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</si>
  <si>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</si>
  <si>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</si>
  <si>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</si>
  <si>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</si>
  <si>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</si>
  <si>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</si>
  <si>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</si>
  <si>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</si>
  <si>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</si>
  <si>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</si>
  <si>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</si>
  <si>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</si>
  <si>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</si>
  <si>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</si>
  <si>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</si>
  <si>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</si>
  <si>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</si>
  <si>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</si>
  <si>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</si>
  <si>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</si>
  <si>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</si>
  <si>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</si>
  <si>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</si>
  <si>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</si>
  <si>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</si>
  <si>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</si>
  <si>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</si>
  <si>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</si>
  <si>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</si>
  <si>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</si>
  <si>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</si>
  <si>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</si>
  <si>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</si>
  <si>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</si>
  <si>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</si>
  <si>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</si>
  <si>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</si>
  <si>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</si>
  <si>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</si>
  <si>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</si>
  <si>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</si>
  <si>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</si>
  <si>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</si>
  <si>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</si>
  <si>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</si>
  <si>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</si>
  <si>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</si>
  <si>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</si>
  <si>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</si>
  <si>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</si>
  <si>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</si>
  <si>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</si>
  <si>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</si>
  <si>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</si>
  <si>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</si>
  <si>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</si>
  <si>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</si>
  <si>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</si>
  <si>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</si>
  <si>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</si>
  <si>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</si>
  <si>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</si>
  <si>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</si>
  <si>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</si>
  <si>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</si>
  <si>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</si>
  <si>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</si>
  <si>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</si>
  <si>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</si>
  <si>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</si>
  <si>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</si>
  <si>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</si>
  <si>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</si>
  <si>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</si>
  <si>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</si>
  <si>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</si>
  <si>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</si>
  <si>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</si>
  <si>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</si>
  <si>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</si>
  <si>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</si>
  <si>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</si>
  <si>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</si>
  <si>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</si>
  <si>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</si>
  <si>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</si>
  <si>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</si>
  <si>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</si>
  <si>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</si>
  <si>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</si>
  <si>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</si>
  <si>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</si>
  <si>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</si>
  <si>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</si>
  <si>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</si>
  <si>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</si>
  <si>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</si>
  <si>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</si>
  <si>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</si>
  <si>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</si>
  <si>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</si>
  <si>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</si>
  <si>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</si>
  <si>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</si>
  <si>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</si>
  <si>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</si>
  <si>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</si>
  <si>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</si>
  <si>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</si>
  <si>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</si>
  <si>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</si>
  <si>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</si>
  <si>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</si>
  <si>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</si>
  <si>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</si>
  <si>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</si>
  <si>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</si>
  <si>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</si>
  <si>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</si>
  <si>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</si>
  <si>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</si>
  <si>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</si>
  <si>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</si>
  <si>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</si>
  <si>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</si>
  <si>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</si>
  <si>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</si>
  <si>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</si>
  <si>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</si>
  <si>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</si>
  <si>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</si>
  <si>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</si>
  <si>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</si>
  <si>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</si>
  <si>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</si>
  <si>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</si>
  <si>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</si>
  <si>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</si>
  <si>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</si>
  <si>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</si>
  <si>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</si>
  <si>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</si>
  <si>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</si>
  <si>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</si>
  <si>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</si>
  <si>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</si>
  <si>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</si>
  <si>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</si>
  <si>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</si>
  <si>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</si>
  <si>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</si>
  <si>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</si>
  <si>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</si>
  <si>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</si>
  <si>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</si>
  <si>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</si>
  <si>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</si>
  <si>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</si>
  <si>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</si>
  <si>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</si>
  <si>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</si>
  <si>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</si>
  <si>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</si>
  <si>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</si>
  <si>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</si>
  <si>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</si>
  <si>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</si>
  <si>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</si>
  <si>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</si>
  <si>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</si>
  <si>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</si>
  <si>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</si>
  <si>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</si>
  <si>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</si>
  <si>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</si>
  <si>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</si>
  <si>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</si>
  <si>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</si>
  <si>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</si>
  <si>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</si>
  <si>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</si>
  <si>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</si>
  <si>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</si>
  <si>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</si>
  <si>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</si>
  <si>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</si>
  <si>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</si>
  <si>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</si>
  <si>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</si>
  <si>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</si>
  <si>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</si>
  <si>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</si>
  <si>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</si>
  <si>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</si>
  <si>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</si>
  <si>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</si>
  <si>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</si>
  <si>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</si>
  <si>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</si>
  <si>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</si>
  <si>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</si>
  <si>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</si>
  <si>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</si>
  <si>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</si>
  <si>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</si>
  <si>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</si>
  <si>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</si>
  <si>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</si>
  <si>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</si>
  <si>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</si>
  <si>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</si>
  <si>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</si>
  <si>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</si>
  <si>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</si>
  <si>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</si>
  <si>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</si>
  <si>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</si>
  <si>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</si>
  <si>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</si>
  <si>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</si>
  <si>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</si>
  <si>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</si>
  <si>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</si>
  <si>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</si>
  <si>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</si>
  <si>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</si>
  <si>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</si>
  <si>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</si>
  <si>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</si>
  <si>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</si>
  <si>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</si>
  <si>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</si>
  <si>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</si>
  <si>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</si>
  <si>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</si>
  <si>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</si>
  <si>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</si>
  <si>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</si>
  <si>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</si>
  <si>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</si>
  <si>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</si>
  <si>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</si>
  <si>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</si>
  <si>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</si>
  <si>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</si>
  <si>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</si>
  <si>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</si>
  <si>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</si>
  <si>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</si>
  <si>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</si>
  <si>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</si>
  <si>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</si>
  <si>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</si>
  <si>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</si>
  <si>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</si>
  <si>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</si>
  <si>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</si>
  <si>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</si>
  <si>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</si>
  <si>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</si>
  <si>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</si>
  <si>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</si>
  <si>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</si>
  <si>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</si>
  <si>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</si>
  <si>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</si>
  <si>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</si>
  <si>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</si>
  <si>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</si>
  <si>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</si>
  <si>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</si>
  <si>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</si>
  <si>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</si>
  <si>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</si>
  <si>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</si>
  <si>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</si>
  <si>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</si>
  <si>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</si>
  <si>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</si>
  <si>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</si>
  <si>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</si>
  <si>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</si>
  <si>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</si>
  <si>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</si>
  <si>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</si>
  <si>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</si>
  <si>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</si>
  <si>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</si>
  <si>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</si>
  <si>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</si>
  <si>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</si>
  <si>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</si>
  <si>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</si>
  <si>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</si>
  <si>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</si>
  <si>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</si>
  <si>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</si>
  <si>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</si>
  <si>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</si>
  <si>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</si>
  <si>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</si>
  <si>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</si>
  <si>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</si>
  <si>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</si>
  <si>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</si>
  <si>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</si>
  <si>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</si>
  <si>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</si>
  <si>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</si>
  <si>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</si>
  <si>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</si>
  <si>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</si>
  <si>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</si>
  <si>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</si>
  <si>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</si>
  <si>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</si>
  <si>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</si>
  <si>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</si>
  <si>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</si>
  <si>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</si>
  <si>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</si>
  <si>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</si>
  <si>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</si>
  <si>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</si>
  <si>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</si>
  <si>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</si>
  <si>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</si>
  <si>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</si>
  <si>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</si>
  <si>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</si>
  <si>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</si>
  <si>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</si>
  <si>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</si>
  <si>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</si>
  <si>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</si>
  <si>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</si>
  <si>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</si>
  <si>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</si>
  <si>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</si>
  <si>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</si>
  <si>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</si>
  <si>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</si>
  <si>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</si>
  <si>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</si>
  <si>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</si>
  <si>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</si>
  <si>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</si>
  <si>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</si>
  <si>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</si>
  <si>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</si>
  <si>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</si>
  <si>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</si>
  <si>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</si>
  <si>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</si>
  <si>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</si>
  <si>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</si>
  <si>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</si>
  <si>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</si>
  <si>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</si>
  <si>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</si>
  <si>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</si>
  <si>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</si>
  <si>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</si>
  <si>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</si>
  <si>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</si>
  <si>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</si>
  <si>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</si>
  <si>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</si>
  <si>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</si>
  <si>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</si>
  <si>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</si>
  <si>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</si>
  <si>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</si>
  <si>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</si>
  <si>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</si>
  <si>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</si>
  <si>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</si>
  <si>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</si>
  <si>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</si>
  <si>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</si>
  <si>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</si>
  <si>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</si>
  <si>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</si>
  <si>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</si>
  <si>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</si>
  <si>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</si>
  <si>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</si>
  <si>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</si>
  <si>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</si>
  <si>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</si>
  <si>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</si>
  <si>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</si>
  <si>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</si>
  <si>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</si>
  <si>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</si>
  <si>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</si>
  <si>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</si>
  <si>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</si>
  <si>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</si>
  <si>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</si>
  <si>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</si>
  <si>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</si>
  <si>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</si>
  <si>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</si>
  <si>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</si>
  <si>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</si>
  <si>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</si>
  <si>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</si>
  <si>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</si>
  <si>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</si>
  <si>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</si>
  <si>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</si>
  <si>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</si>
  <si>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</si>
  <si>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</si>
  <si>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</si>
  <si>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</si>
  <si>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</si>
  <si>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</si>
  <si>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</si>
  <si>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</si>
  <si>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</si>
  <si>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</si>
  <si>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</si>
  <si>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</si>
  <si>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</si>
  <si>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</si>
  <si>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</si>
  <si>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</si>
  <si>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</si>
  <si>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</si>
  <si>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</si>
  <si>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</si>
  <si>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</si>
  <si>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</si>
  <si>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</si>
  <si>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</si>
  <si>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</si>
  <si>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</si>
  <si>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</si>
  <si>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</si>
  <si>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</si>
  <si>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</si>
  <si>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</si>
  <si>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</si>
  <si>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</si>
  <si>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</si>
  <si>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</si>
  <si>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</si>
  <si>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</si>
  <si>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</si>
  <si>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</si>
  <si>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</si>
  <si>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</si>
  <si>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</si>
  <si>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</si>
  <si>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</si>
  <si>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</si>
  <si>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</si>
  <si>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</si>
  <si>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</si>
  <si>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</si>
  <si>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</si>
  <si>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</si>
  <si>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</si>
  <si>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</si>
  <si>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</si>
  <si>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</si>
  <si>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</si>
  <si>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</si>
  <si>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</si>
  <si>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</si>
  <si>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</si>
  <si>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</si>
  <si>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</si>
  <si>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</si>
  <si>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</si>
  <si>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</si>
  <si>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</si>
  <si>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</si>
  <si>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</si>
  <si>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</si>
  <si>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</si>
  <si>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</si>
  <si>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</si>
  <si>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</si>
  <si>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</si>
  <si>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</si>
  <si>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</si>
  <si>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</si>
  <si>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</si>
  <si>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</si>
  <si>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</si>
  <si>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</si>
  <si>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</si>
  <si>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</si>
  <si>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</si>
  <si>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</si>
  <si>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</si>
  <si>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</si>
  <si>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</si>
  <si>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</si>
  <si>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</si>
  <si>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</si>
  <si>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</si>
  <si>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</si>
  <si>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</si>
  <si>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</si>
  <si>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</si>
  <si>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</si>
  <si>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</si>
  <si>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</si>
  <si>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</si>
  <si>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</si>
  <si>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</si>
  <si>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</si>
  <si>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</si>
  <si>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</si>
  <si>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</si>
  <si>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</si>
  <si>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</si>
  <si>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</si>
  <si>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</si>
  <si>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</si>
  <si>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</si>
  <si>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</si>
  <si>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</si>
  <si>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</si>
  <si>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</si>
  <si>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</si>
  <si>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</si>
  <si>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</si>
  <si>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</si>
  <si>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</si>
  <si>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</si>
  <si>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</si>
  <si>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</si>
  <si>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</si>
  <si>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</si>
  <si>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</si>
  <si>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</si>
  <si>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</si>
  <si>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</si>
  <si>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</si>
  <si>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</si>
  <si>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</si>
  <si>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</si>
  <si>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</si>
  <si>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</si>
  <si>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</si>
  <si>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</si>
  <si>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</si>
  <si>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</si>
  <si>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</si>
  <si>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</si>
  <si>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</si>
  <si>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</si>
  <si>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</si>
  <si>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</si>
  <si>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</si>
  <si>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</si>
  <si>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</si>
  <si>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</si>
  <si>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</si>
  <si>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</si>
  <si>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</si>
  <si>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</si>
  <si>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</si>
  <si>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</si>
  <si>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</si>
  <si>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</si>
  <si>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</si>
  <si>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</si>
  <si>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</si>
  <si>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</si>
  <si>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</si>
  <si>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</si>
  <si>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</si>
  <si>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</si>
  <si>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</si>
  <si>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</si>
  <si>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</si>
  <si>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</si>
  <si>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</si>
  <si>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</si>
  <si>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</si>
  <si>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</si>
  <si>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</si>
  <si>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</si>
  <si>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</si>
  <si>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</si>
  <si>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</si>
  <si>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</si>
  <si>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</si>
  <si>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</si>
  <si>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</si>
  <si>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</si>
  <si>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</si>
  <si>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</si>
  <si>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</si>
  <si>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</si>
  <si>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</si>
  <si>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</si>
  <si>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</si>
  <si>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</si>
  <si>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</si>
  <si>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</si>
  <si>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</si>
  <si>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</si>
  <si>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</si>
  <si>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</si>
  <si>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</si>
  <si>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</si>
  <si>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</si>
  <si>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</si>
  <si>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</si>
  <si>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</si>
  <si>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</si>
  <si>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</si>
  <si>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</si>
  <si>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</si>
  <si>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</si>
  <si>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</si>
  <si>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</si>
  <si>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</si>
  <si>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</si>
  <si>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</si>
  <si>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</si>
  <si>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</si>
  <si>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</si>
  <si>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</si>
  <si>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</si>
  <si>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</si>
  <si>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</si>
  <si>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</si>
  <si>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</si>
  <si>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</si>
  <si>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</si>
  <si>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</si>
  <si>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</si>
  <si>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</si>
  <si>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</si>
  <si>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</si>
  <si>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</si>
  <si>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</si>
  <si>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</si>
  <si>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</si>
  <si>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</si>
  <si>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</si>
  <si>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</si>
  <si>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</si>
  <si>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</si>
  <si>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</si>
  <si>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</si>
  <si>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</si>
  <si>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</si>
  <si>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</si>
  <si>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</si>
  <si>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</si>
  <si>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</si>
  <si>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</si>
  <si>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</si>
  <si>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</si>
  <si>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</si>
  <si>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</si>
  <si>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</si>
  <si>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</si>
  <si>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</si>
  <si>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</si>
  <si>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</si>
  <si>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</si>
  <si>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</si>
  <si>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</si>
  <si>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</si>
  <si>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</si>
  <si>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</si>
  <si>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</si>
  <si>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</si>
  <si>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</si>
  <si>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</si>
  <si>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</si>
  <si>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</si>
  <si>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</si>
  <si>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</si>
  <si>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</si>
  <si>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</si>
  <si>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</si>
  <si>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</si>
  <si>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</si>
  <si>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</si>
  <si>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</si>
  <si>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</si>
  <si>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</si>
  <si>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</si>
  <si>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</si>
  <si>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</si>
  <si>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</si>
  <si>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</si>
  <si>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</si>
  <si>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</si>
  <si>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</si>
  <si>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</si>
  <si>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</si>
  <si>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</si>
  <si>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</si>
  <si>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</si>
  <si>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</si>
  <si>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</si>
  <si>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</si>
  <si>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</si>
  <si>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</si>
  <si>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</si>
  <si>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</si>
  <si>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</si>
  <si>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</si>
  <si>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</si>
  <si>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</si>
  <si>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</si>
  <si>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</si>
  <si>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</si>
  <si>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</si>
  <si>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</si>
  <si>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</si>
  <si>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</si>
  <si>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</si>
  <si>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</si>
  <si>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</si>
  <si>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</si>
  <si>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</si>
  <si>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</si>
  <si>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</si>
  <si>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</si>
  <si>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</si>
  <si>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</si>
  <si>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</si>
  <si>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</si>
  <si>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</si>
  <si>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</si>
  <si>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</si>
  <si>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</si>
  <si>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</si>
  <si>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</si>
  <si>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</si>
  <si>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</si>
  <si>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</si>
  <si>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</si>
  <si>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</si>
  <si>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</si>
  <si>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</si>
  <si>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</si>
  <si>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</si>
  <si>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</si>
  <si>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</si>
  <si>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</si>
  <si>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</si>
  <si>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</si>
  <si>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</si>
  <si>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</si>
  <si>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</si>
  <si>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</si>
  <si>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</si>
  <si>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</si>
  <si>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</si>
  <si>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</si>
  <si>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</si>
  <si>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</si>
  <si>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</si>
  <si>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</si>
  <si>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</si>
  <si>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</si>
  <si>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</si>
  <si>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</si>
  <si>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</si>
  <si>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</si>
  <si>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</si>
  <si>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</si>
  <si>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</si>
  <si>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</si>
  <si>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</si>
  <si>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</si>
  <si>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</si>
  <si>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</si>
  <si>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</si>
  <si>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</si>
  <si>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</si>
  <si>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</si>
  <si>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</si>
  <si>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</si>
  <si>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</si>
  <si>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</si>
  <si>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</si>
  <si>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</si>
  <si>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</si>
  <si>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</si>
  <si>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</si>
  <si>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</si>
  <si>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</si>
  <si>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</si>
  <si>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</si>
  <si>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</si>
  <si>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</si>
  <si>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</si>
  <si>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</si>
  <si>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</si>
  <si>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</si>
  <si>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</si>
  <si>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</si>
  <si>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</si>
  <si>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</si>
  <si>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</si>
  <si>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</si>
  <si>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</si>
  <si>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</si>
  <si>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</si>
  <si>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</si>
  <si>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</si>
  <si>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</si>
  <si>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</si>
  <si>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</si>
  <si>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</si>
  <si>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</si>
  <si>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</si>
  <si>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</si>
  <si>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</si>
  <si>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</si>
  <si>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</si>
  <si>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</si>
  <si>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</si>
  <si>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</si>
  <si>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</si>
  <si>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</si>
  <si>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</si>
  <si>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</si>
  <si>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</si>
  <si>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</si>
  <si>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</si>
  <si>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</si>
  <si>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</si>
  <si>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</si>
  <si>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</si>
  <si>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</si>
  <si>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</si>
  <si>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</si>
  <si>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</si>
  <si>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</si>
  <si>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</si>
  <si>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</si>
  <si>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</si>
  <si>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</si>
  <si>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</si>
  <si>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</si>
  <si>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</si>
  <si>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</si>
  <si>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</si>
  <si>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</si>
  <si>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</si>
  <si>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</si>
  <si>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</si>
  <si>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</si>
  <si>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</si>
  <si>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</si>
  <si>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</si>
  <si>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</si>
  <si>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</si>
  <si>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</si>
  <si>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</si>
  <si>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</si>
  <si>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</si>
  <si>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</si>
  <si>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</si>
  <si>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</si>
  <si>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</si>
  <si>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</si>
  <si>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</si>
  <si>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</si>
  <si>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</si>
  <si>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</si>
  <si>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</si>
  <si>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</si>
  <si>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</si>
  <si>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</si>
  <si>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</si>
  <si>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</si>
  <si>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</si>
  <si>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</si>
  <si>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</si>
  <si>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</si>
  <si>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</si>
  <si>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</si>
  <si>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</si>
  <si>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</si>
  <si>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</si>
  <si>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</si>
  <si>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</si>
  <si>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</si>
  <si>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</si>
  <si>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</si>
  <si>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</si>
  <si>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</si>
  <si>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</si>
  <si>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</si>
  <si>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</si>
  <si>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</si>
  <si>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</si>
  <si>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</si>
  <si>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</si>
  <si>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</si>
  <si>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</si>
  <si>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</si>
  <si>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</si>
  <si>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</si>
  <si>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</si>
  <si>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</si>
  <si>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</si>
  <si>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</si>
  <si>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</si>
  <si>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</si>
  <si>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</si>
  <si>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</si>
  <si>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</si>
  <si>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</si>
  <si>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</si>
  <si>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</si>
  <si>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</si>
  <si>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</si>
  <si>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</si>
  <si>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</si>
  <si>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</si>
  <si>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</si>
  <si>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</si>
  <si>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</si>
  <si>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</si>
  <si>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</si>
  <si>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</si>
  <si>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</si>
  <si>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</si>
  <si>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</si>
  <si>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</si>
  <si>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</si>
  <si>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</si>
  <si>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</si>
  <si>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</si>
  <si>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</si>
  <si>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</si>
  <si>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</si>
  <si>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</si>
  <si>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</si>
  <si>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</si>
  <si>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</si>
  <si>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</si>
  <si>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</si>
  <si>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</si>
  <si>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</si>
  <si>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</si>
  <si>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</si>
  <si>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</si>
  <si>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</si>
  <si>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</si>
  <si>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</si>
  <si>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</si>
  <si>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</si>
  <si>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</si>
  <si>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</si>
  <si>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</si>
  <si>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</si>
  <si>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</si>
  <si>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</si>
  <si>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</si>
  <si>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</si>
  <si>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</si>
  <si>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</si>
  <si>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</si>
  <si>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</si>
  <si>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</si>
  <si>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</si>
  <si>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</si>
  <si>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</si>
  <si>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</si>
  <si>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</si>
  <si>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</si>
  <si>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</si>
  <si>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</si>
  <si>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</si>
  <si>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</si>
  <si>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</si>
  <si>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</si>
  <si>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</si>
  <si>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</si>
  <si>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</si>
  <si>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</si>
  <si>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</si>
  <si>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</si>
  <si>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</si>
  <si>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</si>
  <si>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</si>
  <si>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</si>
  <si>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</si>
  <si>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</si>
  <si>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</si>
  <si>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</si>
  <si>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</si>
  <si>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</si>
  <si>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</si>
  <si>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</si>
  <si>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</si>
  <si>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</si>
  <si>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</si>
  <si>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</si>
  <si>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</si>
  <si>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</si>
  <si>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</si>
  <si>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</si>
  <si>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</si>
  <si>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</si>
  <si>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</si>
  <si>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</si>
  <si>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</si>
  <si>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</si>
  <si>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</si>
  <si>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</si>
  <si>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</si>
  <si>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</si>
  <si>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</si>
  <si>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</si>
  <si>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</si>
  <si>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</si>
  <si>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</si>
  <si>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</si>
  <si>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</si>
  <si>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</si>
  <si>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</si>
  <si>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</si>
  <si>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</si>
  <si>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</si>
  <si>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</si>
  <si>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</si>
  <si>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</si>
  <si>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</si>
  <si>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</si>
  <si>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</si>
  <si>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</si>
  <si>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</si>
  <si>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</si>
  <si>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</si>
  <si>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</si>
  <si>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</si>
  <si>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</si>
  <si>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</si>
  <si>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</si>
  <si>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</si>
  <si>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</si>
  <si>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</si>
  <si>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</si>
  <si>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</si>
  <si>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</si>
  <si>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</si>
  <si>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</si>
  <si>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</si>
  <si>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</si>
  <si>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</si>
  <si>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</si>
  <si>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</si>
  <si>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</si>
  <si>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</si>
  <si>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</si>
  <si>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</si>
  <si>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</si>
  <si>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</si>
  <si>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</si>
  <si>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</si>
  <si>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</si>
  <si>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</si>
  <si>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</si>
  <si>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</si>
  <si>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</si>
  <si>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</si>
  <si>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</si>
  <si>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</si>
  <si>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</si>
  <si>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</si>
  <si>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</si>
  <si>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</si>
  <si>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</si>
  <si>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</si>
  <si>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</si>
  <si>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</si>
  <si>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</si>
  <si>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</si>
  <si>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</si>
  <si>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</si>
  <si>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</si>
  <si>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</si>
  <si>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</si>
  <si>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</si>
  <si>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</si>
  <si>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</si>
  <si>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</si>
  <si>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</si>
  <si>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</si>
  <si>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</si>
  <si>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</si>
  <si>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</si>
  <si>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</si>
  <si>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</si>
  <si>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</si>
  <si>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</si>
  <si>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</si>
  <si>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</si>
  <si>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</si>
  <si>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</si>
  <si>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</si>
  <si>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</si>
  <si>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</si>
  <si>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</si>
  <si>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</si>
  <si>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</si>
  <si>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</si>
  <si>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</si>
  <si>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</si>
  <si>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</si>
  <si>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</si>
  <si>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</si>
  <si>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</si>
  <si>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</si>
  <si>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</si>
  <si>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</si>
  <si>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</si>
  <si>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</si>
  <si>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</si>
  <si>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</si>
  <si>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</si>
  <si>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</si>
  <si>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</si>
  <si>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</si>
  <si>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</si>
  <si>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</si>
  <si>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</si>
  <si>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</si>
  <si>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</si>
  <si>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</si>
  <si>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</si>
  <si>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</si>
  <si>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</si>
  <si>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</si>
  <si>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</si>
  <si>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</si>
  <si>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</si>
  <si>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</si>
  <si>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</si>
  <si>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</si>
  <si>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</si>
  <si>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</si>
  <si>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</si>
  <si>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</si>
  <si>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</si>
  <si>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</si>
  <si>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</si>
  <si>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</si>
  <si>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</si>
  <si>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</si>
  <si>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</si>
  <si>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</si>
  <si>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</si>
  <si>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</si>
  <si>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</si>
  <si>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</si>
  <si>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</si>
  <si>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</si>
  <si>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</si>
  <si>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</si>
  <si>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</si>
  <si>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</si>
  <si>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</si>
  <si>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</si>
  <si>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</si>
  <si>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</si>
  <si>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</si>
  <si>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</si>
  <si>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</si>
  <si>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</si>
  <si>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</si>
  <si>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</si>
  <si>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</si>
  <si>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</si>
  <si>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</si>
  <si>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</si>
  <si>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</si>
  <si>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</si>
  <si>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</si>
  <si>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</si>
  <si>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</si>
  <si>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</si>
  <si>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</si>
  <si>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</si>
  <si>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</si>
  <si>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</si>
  <si>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</si>
  <si>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</si>
  <si>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</si>
  <si>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</si>
  <si>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</si>
  <si>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</si>
  <si>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</si>
  <si>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</si>
  <si>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</si>
  <si>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</si>
  <si>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</si>
  <si>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</si>
  <si>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</si>
  <si>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</si>
  <si>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</si>
  <si>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</si>
  <si>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</si>
  <si>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</si>
  <si>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</si>
  <si>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</si>
  <si>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</si>
  <si>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</si>
  <si>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</si>
  <si>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</si>
  <si>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</si>
  <si>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</si>
  <si>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</si>
  <si>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</si>
  <si>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</si>
  <si>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</si>
  <si>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</si>
  <si>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</si>
  <si>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</si>
  <si>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</si>
  <si>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</si>
  <si>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</si>
  <si>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</si>
  <si>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</si>
  <si>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</si>
  <si>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</si>
  <si>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</si>
  <si>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</si>
  <si>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</si>
  <si>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</si>
  <si>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</si>
  <si>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</si>
  <si>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</si>
  <si>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</si>
  <si>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</si>
  <si>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</si>
  <si>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</si>
  <si>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</si>
  <si>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</si>
  <si>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</si>
  <si>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</si>
  <si>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</si>
  <si>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</si>
  <si>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</si>
  <si>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</si>
  <si>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</si>
  <si>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</si>
  <si>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</si>
  <si>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</si>
  <si>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</si>
  <si>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</si>
  <si>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</si>
  <si>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</si>
  <si>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</si>
  <si>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</si>
  <si>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</si>
  <si>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</si>
  <si>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</si>
  <si>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</si>
  <si>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</si>
  <si>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</si>
  <si>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</si>
  <si>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</si>
  <si>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</si>
  <si>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</si>
  <si>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</si>
  <si>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</si>
  <si>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</si>
  <si>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</si>
  <si>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</si>
  <si>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</si>
  <si>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</si>
  <si>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</si>
  <si>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</si>
  <si>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</si>
  <si>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</si>
  <si>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</si>
  <si>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</si>
  <si>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</si>
  <si>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</si>
  <si>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</si>
  <si>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</si>
  <si>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</si>
  <si>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</si>
  <si>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</si>
  <si>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</si>
  <si>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</si>
  <si>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</si>
  <si>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</si>
  <si>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</si>
  <si>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</si>
  <si>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</si>
  <si>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</si>
  <si>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</si>
  <si>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</si>
  <si>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</si>
  <si>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</si>
  <si>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</si>
  <si>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</si>
  <si>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</si>
  <si>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</si>
  <si>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</si>
  <si>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</si>
  <si>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</si>
  <si>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</si>
  <si>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</si>
  <si>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</si>
  <si>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</si>
  <si>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</si>
  <si>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</si>
  <si>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</si>
  <si>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</si>
  <si>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</si>
  <si>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</si>
  <si>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</si>
  <si>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</si>
  <si>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</si>
  <si>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</si>
  <si>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</si>
  <si>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</si>
  <si>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</si>
  <si>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</si>
  <si>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</si>
  <si>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</si>
  <si>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</si>
  <si>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</si>
  <si>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</si>
  <si>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</si>
  <si>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</si>
  <si>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</si>
  <si>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</si>
  <si>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</si>
  <si>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</si>
  <si>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</si>
  <si>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</si>
  <si>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</si>
  <si>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</si>
  <si>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</si>
  <si>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</si>
  <si>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</si>
  <si>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</si>
  <si>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</si>
  <si>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</si>
  <si>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</si>
  <si>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</si>
  <si>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</si>
  <si>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</si>
  <si>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</si>
  <si>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</si>
  <si>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</si>
  <si>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</si>
  <si>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</si>
  <si>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</si>
  <si>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</si>
  <si>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</si>
  <si>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</si>
  <si>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</si>
  <si>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</si>
  <si>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</si>
  <si>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</si>
  <si>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</si>
  <si>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</si>
  <si>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</si>
  <si>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</si>
  <si>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</si>
  <si>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</si>
  <si>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</si>
  <si>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</si>
  <si>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</si>
  <si>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</si>
  <si>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</si>
  <si>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</si>
  <si>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</si>
  <si>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</si>
  <si>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</si>
  <si>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</si>
  <si>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</si>
  <si>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</si>
  <si>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</si>
  <si>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</si>
  <si>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</si>
  <si>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</si>
  <si>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</si>
  <si>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</si>
  <si>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</si>
  <si>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</si>
  <si>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</si>
  <si>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</si>
  <si>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</si>
  <si>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</si>
  <si>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</si>
  <si>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</si>
  <si>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</si>
  <si>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</si>
  <si>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</si>
  <si>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</si>
  <si>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</si>
  <si>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</si>
  <si>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</si>
  <si>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</si>
  <si>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</si>
  <si>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</si>
  <si>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</si>
  <si>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</si>
  <si>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</si>
  <si>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</si>
  <si>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</si>
  <si>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</si>
  <si>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</si>
  <si>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</si>
  <si>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</si>
  <si>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</si>
  <si>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</si>
  <si>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</si>
  <si>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</si>
  <si>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</si>
  <si>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</si>
  <si>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</si>
  <si>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</si>
  <si>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</si>
  <si>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</si>
  <si>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</si>
  <si>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</si>
  <si>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</si>
  <si>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</si>
  <si>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</si>
  <si>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</si>
  <si>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</si>
  <si>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</si>
  <si>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</si>
  <si>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</si>
  <si>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</si>
  <si>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</si>
  <si>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</si>
  <si>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</si>
  <si>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</si>
  <si>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</si>
  <si>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</si>
  <si>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</si>
  <si>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</si>
  <si>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</si>
  <si>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</si>
  <si>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</si>
  <si>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</si>
  <si>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</si>
  <si>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</si>
  <si>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</si>
  <si>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</si>
  <si>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</si>
  <si>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</si>
  <si>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</si>
  <si>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</si>
  <si>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</si>
  <si>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</si>
  <si>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</si>
  <si>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</si>
  <si>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</si>
  <si>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</si>
  <si>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</si>
  <si>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</si>
  <si>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</si>
  <si>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</si>
  <si>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</si>
  <si>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</si>
  <si>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</si>
  <si>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</si>
  <si>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</si>
  <si>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</si>
  <si>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</si>
  <si>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</si>
  <si>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</si>
  <si>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</si>
  <si>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</si>
  <si>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</si>
  <si>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</si>
  <si>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</si>
  <si>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</si>
  <si>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</si>
  <si>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</si>
  <si>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</si>
  <si>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</si>
  <si>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</si>
  <si>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</si>
  <si>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</si>
  <si>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</si>
  <si>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</si>
  <si>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</si>
  <si>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</si>
  <si>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</si>
  <si>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</si>
  <si>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</si>
  <si>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</si>
  <si>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</si>
  <si>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</si>
  <si>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</si>
  <si>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</si>
  <si>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</si>
  <si>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</si>
  <si>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</si>
  <si>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</si>
  <si>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</si>
  <si>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</si>
  <si>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</si>
  <si>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</si>
  <si>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</si>
  <si>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</si>
  <si>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</si>
  <si>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</si>
  <si>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</si>
  <si>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</si>
  <si>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</si>
  <si>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</si>
  <si>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</si>
  <si>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</si>
  <si>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</si>
  <si>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</si>
  <si>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</si>
  <si>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</si>
  <si>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</si>
  <si>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</si>
  <si>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</si>
  <si>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</si>
  <si>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</si>
  <si>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</si>
  <si>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</si>
  <si>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</si>
  <si>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</si>
  <si>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</si>
  <si>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</si>
  <si>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</si>
  <si>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</si>
  <si>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</si>
  <si>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</si>
  <si>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</si>
  <si>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</si>
  <si>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</si>
  <si>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</si>
  <si>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</si>
  <si>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</si>
  <si>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</si>
  <si>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</si>
  <si>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</si>
  <si>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</si>
  <si>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</si>
  <si>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</si>
  <si>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</si>
  <si>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</si>
  <si>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</si>
  <si>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</si>
  <si>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</si>
  <si>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</si>
  <si>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</si>
  <si>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</si>
  <si>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</si>
  <si>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</si>
  <si>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</si>
  <si>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</si>
  <si>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</si>
  <si>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</si>
  <si>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</si>
  <si>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</si>
  <si>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</si>
  <si>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</si>
  <si>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</si>
  <si>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</si>
  <si>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</si>
  <si>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</si>
  <si>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</si>
  <si>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</si>
  <si>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</si>
  <si>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</si>
  <si>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</si>
  <si>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</si>
  <si>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</si>
  <si>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</si>
  <si>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</si>
  <si>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</si>
  <si>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</si>
  <si>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</si>
  <si>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</si>
  <si>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</si>
  <si>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</si>
  <si>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</si>
  <si>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</si>
  <si>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</si>
  <si>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</si>
  <si>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</si>
  <si>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</si>
  <si>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</si>
  <si>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</si>
  <si>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</si>
  <si>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</si>
  <si>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</si>
  <si>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</si>
  <si>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</si>
  <si>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</si>
  <si>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</si>
  <si>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</si>
  <si>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</si>
  <si>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</si>
  <si>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</si>
  <si>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</si>
  <si>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</si>
  <si>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</si>
  <si>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</si>
  <si>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</si>
  <si>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</si>
  <si>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</si>
  <si>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</si>
  <si>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</si>
  <si>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</si>
  <si>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</si>
  <si>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</si>
  <si>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</si>
  <si>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</si>
  <si>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</si>
  <si>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</si>
  <si>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</si>
  <si>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</si>
  <si>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</si>
  <si>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</si>
  <si>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</si>
  <si>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</si>
  <si>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</si>
  <si>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</si>
  <si>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</si>
  <si>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</si>
  <si>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</si>
  <si>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</si>
  <si>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</si>
  <si>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</si>
  <si>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</si>
  <si>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</si>
  <si>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</si>
  <si>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</si>
  <si>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</si>
  <si>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</si>
  <si>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</si>
  <si>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</si>
  <si>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</si>
  <si>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</si>
  <si>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</si>
  <si>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</si>
  <si>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</si>
  <si>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</si>
  <si>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</si>
  <si>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</si>
  <si>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</si>
  <si>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</si>
  <si>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</si>
  <si>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</si>
  <si>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</si>
  <si>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</si>
  <si>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</si>
  <si>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</si>
  <si>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</si>
  <si>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</si>
  <si>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</si>
  <si>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</si>
  <si>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</si>
  <si>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</si>
  <si>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</si>
  <si>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</si>
  <si>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</si>
  <si>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</si>
  <si>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</si>
  <si>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</si>
  <si>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</si>
  <si>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</si>
  <si>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</si>
  <si>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</si>
  <si>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</si>
  <si>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</si>
  <si>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</si>
  <si>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</si>
  <si>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</si>
  <si>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</si>
  <si>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</si>
  <si>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</si>
  <si>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</si>
  <si>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</si>
  <si>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</si>
  <si>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</si>
  <si>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</si>
  <si>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</si>
  <si>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</si>
  <si>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</si>
  <si>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</si>
  <si>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</si>
  <si>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</si>
  <si>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</si>
  <si>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</si>
  <si>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</si>
  <si>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</si>
  <si>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</si>
  <si>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</si>
  <si>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</si>
  <si>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</si>
  <si>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</si>
  <si>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</si>
  <si>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</si>
  <si>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</si>
  <si>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</si>
  <si>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</si>
  <si>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</si>
  <si>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</si>
  <si>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</si>
  <si>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</si>
  <si>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</si>
  <si>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</si>
  <si>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</si>
  <si>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</si>
  <si>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</si>
  <si>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</si>
  <si>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</si>
  <si>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</si>
  <si>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</si>
  <si>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</si>
  <si>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</si>
  <si>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</si>
  <si>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</si>
  <si>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</si>
  <si>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</si>
  <si>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</si>
  <si>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</si>
  <si>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</si>
  <si>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</si>
  <si>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</si>
  <si>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</si>
  <si>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</si>
  <si>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</si>
  <si>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</si>
  <si>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</si>
  <si>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</si>
  <si>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</si>
  <si>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</si>
  <si>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</si>
  <si>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</si>
  <si>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</si>
  <si>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</si>
  <si>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</si>
  <si>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</si>
  <si>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</si>
  <si>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</si>
  <si>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</si>
  <si>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</si>
  <si>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</si>
  <si>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</si>
  <si>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</si>
  <si>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</si>
  <si>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</si>
  <si>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</si>
  <si>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</si>
  <si>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</si>
  <si>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</si>
  <si>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</si>
  <si>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</si>
  <si>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</si>
  <si>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</si>
  <si>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</si>
  <si>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</si>
  <si>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</si>
  <si>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</si>
  <si>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</si>
  <si>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</si>
  <si>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</si>
  <si>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</si>
  <si>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</si>
  <si>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</si>
  <si>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</si>
  <si>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</si>
  <si>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</si>
  <si>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</si>
  <si>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</si>
  <si>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</si>
  <si>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</si>
  <si>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</si>
  <si>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</si>
  <si>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</si>
  <si>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</si>
  <si>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</si>
  <si>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</si>
  <si>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</si>
  <si>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</si>
  <si>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</si>
  <si>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</si>
  <si>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</si>
  <si>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</si>
  <si>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</si>
  <si>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</si>
  <si>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</si>
  <si>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</si>
  <si>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</si>
  <si>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</si>
  <si>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</si>
  <si>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</si>
  <si>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</si>
  <si>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</si>
  <si>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</si>
  <si>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</si>
  <si>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</si>
  <si>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</si>
  <si>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</si>
  <si>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</si>
  <si>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</si>
  <si>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</si>
  <si>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</si>
  <si>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</si>
  <si>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</si>
  <si>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</si>
  <si>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</si>
  <si>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</si>
  <si>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</si>
  <si>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</si>
  <si>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</si>
  <si>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</si>
  <si>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</si>
  <si>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</si>
  <si>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</si>
  <si>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</si>
  <si>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</si>
  <si>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</si>
  <si>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</si>
  <si>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</si>
  <si>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</si>
  <si>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</si>
  <si>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</si>
  <si>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</si>
  <si>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</si>
  <si>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</si>
  <si>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</si>
  <si>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</si>
  <si>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</si>
  <si>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</si>
  <si>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</si>
  <si>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</si>
  <si>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</si>
  <si>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</si>
  <si>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</si>
  <si>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</si>
  <si>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</si>
  <si>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</si>
  <si>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</si>
  <si>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</si>
  <si>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</si>
  <si>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</si>
  <si>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</si>
  <si>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</si>
  <si>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</si>
  <si>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</si>
  <si>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</si>
  <si>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</si>
  <si>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</si>
  <si>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</si>
  <si>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</si>
  <si>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</si>
  <si>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</si>
  <si>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</si>
  <si>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</si>
  <si>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</si>
  <si>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</si>
  <si>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</si>
  <si>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</si>
  <si>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</si>
  <si>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</si>
  <si>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</si>
  <si>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31/01/2023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</si>
  <si>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</si>
  <si>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</si>
  <si>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</si>
  <si>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</si>
  <si>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</si>
  <si>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</si>
  <si>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</si>
  <si>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</si>
  <si>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</si>
  <si>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</si>
  <si>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</si>
  <si>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</si>
  <si>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</si>
  <si>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</si>
  <si>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</si>
  <si>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</si>
  <si>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</si>
  <si>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</si>
  <si>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</si>
  <si>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</si>
  <si>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</si>
  <si>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</si>
  <si>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</si>
  <si>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</si>
  <si>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</si>
  <si>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</si>
  <si>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</si>
  <si>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</si>
  <si>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</si>
  <si>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</si>
  <si>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</si>
  <si>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</si>
  <si>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</si>
  <si>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</si>
  <si>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</si>
  <si>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</si>
  <si>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</si>
  <si>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</si>
  <si>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</si>
  <si>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</si>
  <si>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</si>
  <si>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</si>
  <si>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06141704211028</t>
  </si>
  <si>
    <t>PANTING BY TIRE EXPRES, S.A. DE C.V.</t>
  </si>
  <si>
    <t>ROCELLI CONSULTORES, SA DE CV</t>
  </si>
  <si>
    <t>ALMACENES VIDRI SA DE CV</t>
  </si>
  <si>
    <t>GUILLERMO E. MIGUEL B.</t>
  </si>
  <si>
    <t>013780986</t>
  </si>
  <si>
    <t>03/05/2023</t>
  </si>
  <si>
    <t>UNEX S.A DE C.V.</t>
  </si>
  <si>
    <t>12/04/2023</t>
  </si>
  <si>
    <t>07</t>
  </si>
  <si>
    <t>21DS000E</t>
  </si>
  <si>
    <t>2667</t>
  </si>
  <si>
    <t>2668</t>
  </si>
  <si>
    <t>2650</t>
  </si>
  <si>
    <t>03152810640022</t>
  </si>
  <si>
    <t>MIGUEL HENRIQUEZ CHAVEZ</t>
  </si>
  <si>
    <t>01081604851010</t>
  </si>
  <si>
    <t>FRANCISCO JESUS MELARA SORIANO</t>
  </si>
  <si>
    <t>02032202631017</t>
  </si>
  <si>
    <t>MARIA DEL SOCORRO ANCHETA</t>
  </si>
  <si>
    <t>01100608711013</t>
  </si>
  <si>
    <t>CELESTINO PEREZ JACOBO</t>
  </si>
  <si>
    <t>03152006881020</t>
  </si>
  <si>
    <t>RIGOBERTO SERRANO QUINTANILLA</t>
  </si>
  <si>
    <t>14012611611014</t>
  </si>
  <si>
    <t>JOSE MARIA GUTIERREZ FLORES</t>
  </si>
  <si>
    <t>96000310480018</t>
  </si>
  <si>
    <t>ANA PATRICIA SALAVERRIA DE ESCOBAR</t>
  </si>
  <si>
    <t>06143006101060</t>
  </si>
  <si>
    <t>LOTICOMER S.A DE C.V.</t>
  </si>
  <si>
    <t>06142702021058</t>
  </si>
  <si>
    <t>CASAS AMERICANAS S.A DE C.V.</t>
  </si>
  <si>
    <t>03150502711027</t>
  </si>
  <si>
    <t>AVELARDO ESPINOZA RIVAS</t>
  </si>
  <si>
    <t>UDP POLICLINICA</t>
  </si>
  <si>
    <t>02020807510018</t>
  </si>
  <si>
    <t>DINORA MAGAÑA</t>
  </si>
  <si>
    <t>03150707841020</t>
  </si>
  <si>
    <t>JUAN ANTONIO MONTERROSA HERNANDEZ</t>
  </si>
  <si>
    <t>06141202151072</t>
  </si>
  <si>
    <t>GRUPO VOLCANO, S.A DE C.V.</t>
  </si>
  <si>
    <t>06140807711154</t>
  </si>
  <si>
    <t>DAVID ANTONIO MOLINA SILVA</t>
  </si>
  <si>
    <t>06141905780037</t>
  </si>
  <si>
    <t>BUFISA S.A DE C.V.</t>
  </si>
  <si>
    <t>01081704541019</t>
  </si>
  <si>
    <t>MARIA ELENA ZUNIGA VDA DE ALVARENGA</t>
  </si>
  <si>
    <t>EL GRANJERO S.A DE C.V.</t>
  </si>
  <si>
    <t>05121506660010</t>
  </si>
  <si>
    <t>JOSE ANGEL VALENCIA PEREZ</t>
  </si>
  <si>
    <t>03061811941018</t>
  </si>
  <si>
    <t>KEVIN ROLANDO SOFOCLES RECINOS</t>
  </si>
  <si>
    <t>CONSTRUCTORA DISA S.A DE C.V.</t>
  </si>
  <si>
    <t>03122006771016</t>
  </si>
  <si>
    <t>MIRIAM HARDEE ESCOBAR</t>
  </si>
  <si>
    <t>MOTORES Y VEHICULOS S.A DE C.V.</t>
  </si>
  <si>
    <t>MEGABLOCK S.A DE C.V.</t>
  </si>
  <si>
    <t>06143006991020</t>
  </si>
  <si>
    <t>AMERICAN PETROLEUM DE EL SALVADOR</t>
  </si>
  <si>
    <t>LEOS S.A DE C.V.</t>
  </si>
  <si>
    <t>02100808071012</t>
  </si>
  <si>
    <t>SYMTEK S.A DE C.V.</t>
  </si>
  <si>
    <t>03151505691015</t>
  </si>
  <si>
    <t>ROBERTO ELIAS RODRIGUEZ</t>
  </si>
  <si>
    <t>06141703001046</t>
  </si>
  <si>
    <t>COOP DE CAFETALEROS SIGLO XXI</t>
  </si>
  <si>
    <t>06143005191030</t>
  </si>
  <si>
    <t>PRODUCTOS DE BIOMASA S.A DE C.V.</t>
  </si>
  <si>
    <t>05010702161018</t>
  </si>
  <si>
    <t>GASPRO DE EL SALVADOR S.A DE C.V.</t>
  </si>
  <si>
    <t>05071611851017</t>
  </si>
  <si>
    <t>ERICK ARMANDO BARAHONA</t>
  </si>
  <si>
    <t>06142112951025</t>
  </si>
  <si>
    <t>ACNEPRO S.A DE C.V.</t>
  </si>
  <si>
    <t>SARAN S.A DE C.V.</t>
  </si>
  <si>
    <t>03010907741016</t>
  </si>
  <si>
    <t>MANUEL DE JESUS AGUIRRE ACOSTA</t>
  </si>
  <si>
    <t>CORPORIN S.A DE C.V.</t>
  </si>
  <si>
    <t>06141112201046</t>
  </si>
  <si>
    <t>MCCORMICK TRACTORES DE CENTROAMERICA</t>
  </si>
  <si>
    <t>09082608580010</t>
  </si>
  <si>
    <t>LUIS ALBERTO HERNANDEZ ALDANA</t>
  </si>
  <si>
    <t>05151409041015</t>
  </si>
  <si>
    <t>GORCO LIMITADO S.A DE C.V.</t>
  </si>
  <si>
    <t>TEJEMET S.A DE C.V.</t>
  </si>
  <si>
    <t>06140102840029</t>
  </si>
  <si>
    <t>NOBS HIDRODIFUCION</t>
  </si>
  <si>
    <t>05032407751016</t>
  </si>
  <si>
    <t>MILTON RAFAEL PANIAGUA AGUILAR</t>
  </si>
  <si>
    <t>TECNUTRAL S.A DE C.V</t>
  </si>
  <si>
    <t>06081603661011</t>
  </si>
  <si>
    <t>OSCAR HERIBERTO QUINTANILLA HERNANDEZ</t>
  </si>
  <si>
    <t>00</t>
  </si>
  <si>
    <t>06143105790034</t>
  </si>
  <si>
    <t>CAFECOYO S.A DE C.V.</t>
  </si>
  <si>
    <t>IMPORTADORA DE FRUTAS S.A DE C.V.</t>
  </si>
  <si>
    <t>RAMIREZ VENTURA S.A DE C.V</t>
  </si>
  <si>
    <t>BORGONOVO POHL S.A DE C.V.</t>
  </si>
  <si>
    <t>DEL TROPICFOOD S.A DE C.V.</t>
  </si>
  <si>
    <t>06142711201018</t>
  </si>
  <si>
    <t>DISTRIBUIDORA DE EQUIPOS Y SERVICIOS</t>
  </si>
  <si>
    <t>AGROINDUSTRIA CENTROAMERICANA</t>
  </si>
  <si>
    <t>PEDRERA PROTERSA S.A DE C.V.</t>
  </si>
  <si>
    <t>ASFALTOS DE CENTROAMERICA S.A DE C.V.</t>
  </si>
  <si>
    <t>06141502131049</t>
  </si>
  <si>
    <t>LLANTAS Y ACCESORIOS</t>
  </si>
  <si>
    <t>EXPORTADORA PACAS MARTINEZ</t>
  </si>
  <si>
    <t>CASA BAZZYNI S.A DE C.V.</t>
  </si>
  <si>
    <t>08150905750014</t>
  </si>
  <si>
    <t>A.C.P.A COMUNIDADES UNIDAS DE RL</t>
  </si>
  <si>
    <t>ADINCE S.A DE C.V.</t>
  </si>
  <si>
    <t>94500501121011</t>
  </si>
  <si>
    <t>JESV INC SUCURSAL EL SALVADOR</t>
  </si>
  <si>
    <t>06142002151023</t>
  </si>
  <si>
    <t>OFG EL SALVADOR S.A DE C.V</t>
  </si>
  <si>
    <t>INMUEBLES S.A DE C.V</t>
  </si>
  <si>
    <t>06141306161010</t>
  </si>
  <si>
    <t>EDIFICACION, CONSTRUCCION, Y ASESORIA S.A DE C.V</t>
  </si>
  <si>
    <t>05012309191010</t>
  </si>
  <si>
    <t>FONDO DE TITULARIZACION DE INMUEBLES</t>
  </si>
  <si>
    <t>O &amp; M MANTENIMIENTO Y SERVICIOS S.A DE C.V</t>
  </si>
  <si>
    <t>11061508801026</t>
  </si>
  <si>
    <t>JIMMY EDGARDO CALERO MARAVILLA</t>
  </si>
  <si>
    <t>11151906460011</t>
  </si>
  <si>
    <t>MOISES ELIAS CARCAMO</t>
  </si>
  <si>
    <t>06141603131023</t>
  </si>
  <si>
    <t>CARDEU S.A DE C.V</t>
  </si>
  <si>
    <t>06141909031057</t>
  </si>
  <si>
    <t>ORGANIKA S.A DE C.V</t>
  </si>
  <si>
    <t>03151403510011</t>
  </si>
  <si>
    <t>RINA ALFARO CASTRO</t>
  </si>
  <si>
    <t>06152309490011</t>
  </si>
  <si>
    <t>SARA ALFARO CASTRO</t>
  </si>
  <si>
    <t>06142801141049</t>
  </si>
  <si>
    <t>SERVICORP S.A DE C.V</t>
  </si>
  <si>
    <t>PRODUCTOS CARNICOS S.A DE C.V.</t>
  </si>
  <si>
    <t>NEGOCIOS CAMYRAM S.A DE C.V</t>
  </si>
  <si>
    <t>INDUSTRIAS MIKE MIKE S.A DE C.V.</t>
  </si>
  <si>
    <t>LA CONSTANCIA LTDA DE C.V.</t>
  </si>
  <si>
    <t>INVERSIONES STANLEY PACIFICO S.A DE C.V.</t>
  </si>
  <si>
    <t>ENMANUEL S.A DE C.V.</t>
  </si>
  <si>
    <t>POLYBAG S.A DE C.V.</t>
  </si>
  <si>
    <t>NEMTEX S.A DE C.V.</t>
  </si>
  <si>
    <t>06142411181015</t>
  </si>
  <si>
    <t>INGENIERIA BEM S.A DE C.V.</t>
  </si>
  <si>
    <t>UNILEVER EL SALVADOR SCC S.A DE C.V.</t>
  </si>
  <si>
    <t>SUPER REPUESTOS EL SALVADOR S.A DE C.V.</t>
  </si>
  <si>
    <t>06140202021024</t>
  </si>
  <si>
    <t>PROGURSA S.A DE C.V.</t>
  </si>
  <si>
    <t>HOTELES S.A DE C.V.</t>
  </si>
  <si>
    <t>PINTURA Y ENDEREZADO S.A DE C.V.</t>
  </si>
  <si>
    <t>DIDEA S.A DE C.V.</t>
  </si>
  <si>
    <t>GRUPO PAILL S.A DE C.V.</t>
  </si>
  <si>
    <t>06142311981022</t>
  </si>
  <si>
    <t>COMTRI S.A DE C.V.</t>
  </si>
  <si>
    <t>06142402121034</t>
  </si>
  <si>
    <t>BOMBOM S.A DE C.V.</t>
  </si>
  <si>
    <t>ESTABLECIMIENTOS ANCALMO, S.A DE C.V</t>
  </si>
  <si>
    <t>06140702001011</t>
  </si>
  <si>
    <t>CORPORACION GRS S.A DE C.V.</t>
  </si>
  <si>
    <t>GRANJA EL ROBLE S.A DE C.V.</t>
  </si>
  <si>
    <t>05111912911017</t>
  </si>
  <si>
    <t>NEDECAZA S.A DE C.V.</t>
  </si>
  <si>
    <t>025591767</t>
  </si>
  <si>
    <t>JUAN PABLO VIAUD MEDINA</t>
  </si>
  <si>
    <t>06142502211030</t>
  </si>
  <si>
    <t>GRUPO TIRE EXPRESS, S.A.  DE C.V.</t>
  </si>
  <si>
    <t>04</t>
  </si>
  <si>
    <t>06141912141092</t>
  </si>
  <si>
    <t>GRUPO FE EL SALVADOR, S.A. DE C.V.</t>
  </si>
  <si>
    <t>21SD000E</t>
  </si>
  <si>
    <t>2805</t>
  </si>
  <si>
    <t>06143112791113</t>
  </si>
  <si>
    <t>MAURICIO ANTONIO CANALES</t>
  </si>
  <si>
    <t>2926</t>
  </si>
  <si>
    <t>16/01/2024</t>
  </si>
  <si>
    <t>23/01/2024</t>
  </si>
  <si>
    <t>CF74087DD0AF49ACA09F74589AA12D7B</t>
  </si>
  <si>
    <t>31/01/2024</t>
  </si>
  <si>
    <t>112104316A6036972969788377058934</t>
  </si>
  <si>
    <t>2DA3FB336832447797C881E8D1312A55</t>
  </si>
  <si>
    <t>22/01/2024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</si>
</sst>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6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3" fillId="0" borderId="0" xfId="0" applyNumberFormat="1" applyFont="1" applyAlignment="1">
      <alignment horizontal="center" vertical="center" wrapText="1"/>
    </xf>
    <xf numFmtId="44" fontId="3" fillId="0" borderId="0" xfId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right" vertical="center" wrapText="1"/>
    </xf>
    <xf numFmtId="0" fontId="11" fillId="7" borderId="6" xfId="0" quotePrefix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94"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2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10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9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89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88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5" totalsRowShown="0">
  <tableColumns count="19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86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85" dataCellStyle="Moneda"/>
    <tableColumn id="18" xr3:uid="{00000000-0010-0000-0100-000012000000}" name="ANEXO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3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4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9" totalsRowCount="1" headerRowDxfId="83" headerRowBorderDxfId="82" tableBorderDxfId="81">
  <autoFilter ref="A1:J8" xr:uid="{00000000-0009-0000-0100-000007000000}">
    <filterColumn colId="0">
      <filters>
        <filter val="DICIEMBRE"/>
      </filters>
    </filterColumn>
  </autoFilter>
  <tableColumns count="10">
    <tableColumn id="1" xr3:uid="{00000000-0010-0000-0300-000001000000}" name="Mes" totalsRowLabel="Total" dataDxfId="80"/>
    <tableColumn id="10" xr3:uid="{00000000-0010-0000-0300-00000A000000}" name="NCR" dataDxfId="79"/>
    <tableColumn id="2" xr3:uid="{00000000-0010-0000-0300-000002000000}" name="NIT Agente" dataDxfId="78"/>
    <tableColumn id="3" xr3:uid="{00000000-0010-0000-0300-000003000000}" name="Fecha de emisión" dataDxfId="77" totalsRowDxfId="76"/>
    <tableColumn id="4" xr3:uid="{00000000-0010-0000-0300-000004000000}" name="Tipo de documento" totalsRowFunction="sum" dataDxfId="75" totalsRowDxfId="74"/>
    <tableColumn id="5" xr3:uid="{00000000-0010-0000-0300-000005000000}" name="Serie" totalsRowFunction="sum" dataDxfId="73" totalsRowDxfId="72"/>
    <tableColumn id="6" xr3:uid="{00000000-0010-0000-0300-000006000000}" name="Número de documento" dataDxfId="71" totalsRowDxfId="70"/>
    <tableColumn id="7" xr3:uid="{00000000-0010-0000-0300-000007000000}" name="Monto sujeto" totalsRowFunction="sum" dataDxfId="69" totalsRowDxfId="68" dataCellStyle="Moneda"/>
    <tableColumn id="13" xr3:uid="{00000000-0010-0000-0300-00000D000000}" name="Monto Retención 1%" totalsRowFunction="sum" dataDxfId="67" totalsRowDxfId="66" dataCellStyle="Moneda"/>
    <tableColumn id="8" xr3:uid="{00000000-0010-0000-0300-000008000000}" name="ANEXO" totalsRowFunction="sum" dataDxfId="65" totalsRowDxfId="64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3" headerRowBorderDxfId="62" tableBorderDxfId="61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0"/>
    <tableColumn id="10" xr3:uid="{00000000-0010-0000-0400-00000A000000}" name="NCR" dataDxfId="59"/>
    <tableColumn id="2" xr3:uid="{00000000-0010-0000-0400-000002000000}" name="NIT Agente" dataDxfId="58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57">
      <calculatedColumnFormula>VLOOKUP(Tabla69[[#This Row],[Columna5]],'[2]LIBRO '!$A$1:$B$1007,2,FALSE)</calculatedColumnFormula>
    </tableColumn>
    <tableColumn id="17" xr3:uid="{00000000-0010-0000-0400-000011000000}" name="Columna5" dataDxfId="56">
      <calculatedColumnFormula>VLOOKUP(Tabla69[[#This Row],[NIT Agente]],Tabla4[#All],2,FALSE)</calculatedColumnFormula>
    </tableColumn>
    <tableColumn id="12" xr3:uid="{00000000-0010-0000-0400-00000C000000}" name="Columna2" dataDxfId="55" totalsRowDxfId="54">
      <calculatedColumnFormula>VLOOKUP(Tabla69[[#This Row],[Columna1]],'[2]LIBRO '!$A$1:$B$902,2,FALSE)</calculatedColumnFormula>
    </tableColumn>
    <tableColumn id="11" xr3:uid="{00000000-0010-0000-0400-00000B000000}" name="Columna1" dataDxfId="53">
      <calculatedColumnFormula>VLOOKUP(Tabla69[[#This Row],[NIT Agente]],Tabla4[#All],2,FALSE)</calculatedColumnFormula>
    </tableColumn>
    <tableColumn id="3" xr3:uid="{00000000-0010-0000-0400-000003000000}" name="Fecha de emisión" dataDxfId="52"/>
    <tableColumn id="4" xr3:uid="{00000000-0010-0000-0400-000004000000}" name="Tipo de documento" totalsRowFunction="sum" dataDxfId="51" totalsRowDxfId="50"/>
    <tableColumn id="5" xr3:uid="{00000000-0010-0000-0400-000005000000}" name="Serie" totalsRowFunction="sum" dataDxfId="49" totalsRowDxfId="48"/>
    <tableColumn id="6" xr3:uid="{00000000-0010-0000-0400-000006000000}" name="Número de documento" totalsRowFunction="sum" dataDxfId="47" totalsRowDxfId="46"/>
    <tableColumn id="7" xr3:uid="{00000000-0010-0000-0400-000007000000}" name="Monto sujeto" totalsRowFunction="sum" dataDxfId="45" totalsRowDxfId="44" dataCellStyle="Moneda"/>
    <tableColumn id="13" xr3:uid="{00000000-0010-0000-0400-00000D000000}" name="Columna3" dataDxfId="43" totalsRowDxfId="42" dataCellStyle="Moneda"/>
    <tableColumn id="8" xr3:uid="{00000000-0010-0000-0400-000008000000}" name="Monto Retención 1%" totalsRowFunction="sum" dataDxfId="41" totalsRowDxfId="40" dataCellStyle="Moneda"/>
    <tableColumn id="9" xr3:uid="{00000000-0010-0000-0400-000009000000}" name="Número de anexo" dataDxfId="39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528" totalsRowShown="0">
  <autoFilter ref="A1:B4528" xr:uid="{00000000-0009-0000-0100-000004000000}"/>
  <tableColumns count="2">
    <tableColumn id="1" xr3:uid="{00000000-0010-0000-0500-000001000000}" name="NIT" dataDxfId="38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7" dataDxfId="36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5" dataCellStyle="Moneda"/>
    <tableColumn id="8" xr3:uid="{00000000-0010-0000-0600-000008000000}" name="MONTO DEVENGADO POR BONIFICACIONES Y GRATIFICACIONES " totalsRowFunction="sum" dataDxfId="34" totalsRowDxfId="33" dataCellStyle="Moneda"/>
    <tableColumn id="9" xr3:uid="{00000000-0010-0000-0600-000009000000}" name="IMPUESTO RETENIDO " totalsRowFunction="sum" dataDxfId="32" totalsRowDxfId="31" dataCellStyle="Moneda"/>
    <tableColumn id="10" xr3:uid="{00000000-0010-0000-0600-00000A000000}" name="AGUINALDO EXENTO " totalsRowFunction="sum" dataDxfId="30" totalsRowDxfId="29" dataCellStyle="Moneda"/>
    <tableColumn id="11" xr3:uid="{00000000-0010-0000-0600-00000B000000}" name="AGUINALDO GRAVADO " totalsRowFunction="sum" dataDxfId="28" totalsRowDxfId="27" dataCellStyle="Moneda"/>
    <tableColumn id="12" xr3:uid="{00000000-0010-0000-0600-00000C000000}" name="AFP" totalsRowFunction="sum" dataDxfId="26" totalsRowDxfId="25" dataCellStyle="Moneda"/>
    <tableColumn id="13" xr3:uid="{00000000-0010-0000-0600-00000D000000}" name="ISSS" totalsRowFunction="sum" dataDxfId="24" totalsRowDxfId="23" dataCellStyle="Moneda"/>
    <tableColumn id="14" xr3:uid="{00000000-0010-0000-0600-00000E000000}" name="INPEP" totalsRowFunction="sum" dataDxfId="22" totalsRowDxfId="21" dataCellStyle="Moneda"/>
    <tableColumn id="15" xr3:uid="{00000000-0010-0000-0600-00000F000000}" name="IPSFA" totalsRowFunction="sum" dataDxfId="20" totalsRowDxfId="19" dataCellStyle="Moneda"/>
    <tableColumn id="16" xr3:uid="{00000000-0010-0000-0600-000010000000}" name="CEFAFA" totalsRowFunction="sum" dataDxfId="18" totalsRowDxfId="17" dataCellStyle="Moneda"/>
    <tableColumn id="17" xr3:uid="{00000000-0010-0000-0600-000011000000}" name="BIENESTAR MAGISTERIAL" dataDxfId="16" dataCellStyle="Moneda"/>
    <tableColumn id="18" xr3:uid="{00000000-0010-0000-0600-000012000000}" name="ISSS IVM " dataDxfId="15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4" dataDxfId="12" headerRowBorderDxfId="13" tableBorderDxfId="11" totalsRowBorderDxfId="10">
  <tableColumns count="3">
    <tableColumn id="1" xr3:uid="{00000000-0010-0000-0700-000001000000}" name="Columna1" dataDxfId="9"/>
    <tableColumn id="2" xr3:uid="{00000000-0010-0000-0700-000002000000}" name="ENERO" dataDxfId="8" dataCellStyle="Moneda"/>
    <tableColumn id="3" xr3:uid="{00000000-0010-0000-0700-000003000000}" name="SUMAS" dataDxfId="7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6" dataDxfId="4" headerRowBorderDxfId="5" tableBorderDxfId="3" totalsRowBorderDxfId="2">
  <autoFilter ref="H3:I6" xr:uid="{00000000-0009-0000-0100-000006000000}"/>
  <tableColumns count="2">
    <tableColumn id="1" xr3:uid="{00000000-0010-0000-0800-000001000000}" name="MANDAMIENTOS" dataDxfId="1"/>
    <tableColumn id="2" xr3:uid="{00000000-0010-0000-0800-000002000000}" name="IMPORTE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8491</v>
      </c>
      <c r="XFD3" t="s">
        <v>8491</v>
      </c>
    </row>
    <row r="4" spans="2:6 16384:16384" x14ac:dyDescent="0.25">
      <c r="B4" s="23" t="s">
        <v>2</v>
      </c>
      <c r="D4" s="45" t="s">
        <v>9237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28"/>
      <c r="XFD7" t="s">
        <v>8490</v>
      </c>
    </row>
    <row r="8" spans="2:6 16384:16384" x14ac:dyDescent="0.25">
      <c r="B8" s="23" t="s">
        <v>6</v>
      </c>
      <c r="D8" s="45" t="s">
        <v>1369</v>
      </c>
      <c r="XFD8" t="s">
        <v>8489</v>
      </c>
    </row>
    <row r="9" spans="2:6 16384:16384" x14ac:dyDescent="0.25">
      <c r="B9" s="23" t="s">
        <v>70</v>
      </c>
      <c r="D9" s="103" t="str">
        <f>IFERROR(IF(D8&lt;&gt;"",VLOOKUP(D8,Tabla4[#All],2,0),IF(D19&lt;&gt;0,VLOOKUP(D19,Tabla4[#All],2,0),0)),"")</f>
        <v>GUILLERMO ERNESTO BAHALA</v>
      </c>
      <c r="XFD9" t="s">
        <v>9020</v>
      </c>
    </row>
    <row r="10" spans="2:6 16384:16384" x14ac:dyDescent="0.25">
      <c r="B10" s="23" t="s">
        <v>7</v>
      </c>
      <c r="D10" s="104">
        <v>0</v>
      </c>
      <c r="F10" s="2"/>
      <c r="XFD10" t="s">
        <v>9021</v>
      </c>
    </row>
    <row r="11" spans="2:6 16384:16384" x14ac:dyDescent="0.25">
      <c r="B11" s="23" t="s">
        <v>8</v>
      </c>
      <c r="D11" s="104">
        <v>0</v>
      </c>
      <c r="F11" s="2"/>
      <c r="XFD11" t="s">
        <v>9022</v>
      </c>
    </row>
    <row r="12" spans="2:6 16384:16384" x14ac:dyDescent="0.25">
      <c r="B12" s="23" t="s">
        <v>9</v>
      </c>
      <c r="D12" s="104">
        <v>0</v>
      </c>
      <c r="F12" s="2"/>
      <c r="XFD12" t="s">
        <v>9023</v>
      </c>
    </row>
    <row r="13" spans="2:6 16384:16384" x14ac:dyDescent="0.25">
      <c r="B13" s="23" t="s">
        <v>10</v>
      </c>
      <c r="D13" s="105"/>
      <c r="F13" s="15"/>
      <c r="XFD13" t="s">
        <v>9024</v>
      </c>
    </row>
    <row r="14" spans="2:6 16384:16384" x14ac:dyDescent="0.25">
      <c r="B14" s="23" t="s">
        <v>11</v>
      </c>
      <c r="D14" s="104">
        <v>0</v>
      </c>
      <c r="F14" s="2"/>
      <c r="XFD14" t="s">
        <v>9025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7943</v>
      </c>
      <c r="D19" s="43"/>
    </row>
    <row r="20" spans="2:6" x14ac:dyDescent="0.25">
      <c r="B20" s="23" t="s">
        <v>16</v>
      </c>
      <c r="D20" s="106" t="s">
        <v>8045</v>
      </c>
    </row>
    <row r="21" spans="2:6" x14ac:dyDescent="0.25">
      <c r="B21" s="23" t="s">
        <v>68</v>
      </c>
      <c r="D21" s="109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7943</v>
      </c>
      <c r="AA1" s="54" t="s">
        <v>16</v>
      </c>
      <c r="AB1" s="54" t="s">
        <v>68</v>
      </c>
      <c r="AC1" s="55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6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6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6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6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6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6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6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6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6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6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6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6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6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6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6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6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6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6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6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6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6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6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6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6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6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6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6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6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6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6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6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6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6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6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6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6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6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6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6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6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6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6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6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6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6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6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6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6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6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6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6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6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6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6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6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6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6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6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6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6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6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6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6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6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6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6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6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6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6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6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6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6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6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6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6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6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6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6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6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6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6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6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6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6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6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6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6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6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6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6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6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6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6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6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6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6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6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6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6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6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6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6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6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6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6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6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6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6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6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6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6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6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6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6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6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6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6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6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6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6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6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6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6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6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6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6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6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6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6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6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6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6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6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6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6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6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6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6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6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6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6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6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6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6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6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6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6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6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6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6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6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6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6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6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6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6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6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6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6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6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6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6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6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6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6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6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6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6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6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6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6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6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6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6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6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6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6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6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6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6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6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6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6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6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6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6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6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6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6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6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6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6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6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6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6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6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6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6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6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6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6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6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6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6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6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6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6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6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6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6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6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6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6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6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6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6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6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6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6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6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6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6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6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6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6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6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6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6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6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6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6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6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6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6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6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6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6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6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6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6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6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6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6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6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6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6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6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6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6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6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6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6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6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6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6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6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6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6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6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6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6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6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6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6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6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6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6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6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6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6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6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6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6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6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6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6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6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6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6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6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6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6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6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6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6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6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6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6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6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6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6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6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6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6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6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6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6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6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6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6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6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6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6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6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6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6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6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6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6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6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6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6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6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6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6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6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6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6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6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6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6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6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6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6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6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6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6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6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6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6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6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6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6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6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6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6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6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6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6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6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6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6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6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6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6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6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6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6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6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6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6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6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6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6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6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6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6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6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6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6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6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6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6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6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6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6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6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6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6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6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6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6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6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6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6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6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6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6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6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6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6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6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6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6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6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6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6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6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6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6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6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6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6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6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6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6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6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6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6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6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6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6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6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6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6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6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6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6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6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6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6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6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6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6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6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6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6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6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6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6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6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6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6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6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6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6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6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6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6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6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6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6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6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6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6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6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6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6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6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6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6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6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6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6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6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6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6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6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6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6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6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6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6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6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6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6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6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6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6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6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6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6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6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6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6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6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6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6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6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6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6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6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6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6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6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6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6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6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6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6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6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6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6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6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6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6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6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6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6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6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6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6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6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6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6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6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6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6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6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6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6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6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6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6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6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6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6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6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6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6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6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6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6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6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6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6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6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6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6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6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6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6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6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6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6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6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6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6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6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6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6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6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6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6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6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6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6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6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6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6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6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6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6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6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6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6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6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6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6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6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6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6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6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6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6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6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6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6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6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6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6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6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6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6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6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6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6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6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6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6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6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6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6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6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6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6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6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6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6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6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6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6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6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6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6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6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6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6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6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6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6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6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6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6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6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6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6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6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6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6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6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6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6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6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6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6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6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6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6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6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6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6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6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6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6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6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6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6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6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6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6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6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6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6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6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6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6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6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6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6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6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6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6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6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6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6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6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6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6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6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6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6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6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6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6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6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6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6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6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6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6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6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6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6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6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6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6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6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6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6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6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6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6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6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6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6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6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6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3" priority="1"/>
    <cfRule type="duplicateValues" dxfId="92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069"/>
  <sheetViews>
    <sheetView topLeftCell="N1" zoomScaleNormal="100" workbookViewId="0">
      <selection activeCell="B3" sqref="B3:R7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7"/>
      <c r="D1" s="117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x14ac:dyDescent="0.25">
      <c r="A3" t="s">
        <v>8491</v>
      </c>
      <c r="B3" t="s">
        <v>9237</v>
      </c>
      <c r="C3" s="21" t="s">
        <v>9223</v>
      </c>
      <c r="D3" t="s">
        <v>0</v>
      </c>
      <c r="E3" t="s">
        <v>9236</v>
      </c>
      <c r="F3" t="s">
        <v>1369</v>
      </c>
      <c r="G3" t="s">
        <v>1370</v>
      </c>
      <c r="H3" s="2">
        <v>2.4300000000000002</v>
      </c>
      <c r="I3" s="2">
        <v>0</v>
      </c>
      <c r="J3" s="2">
        <v>0</v>
      </c>
      <c r="K3" s="15">
        <v>24.3</v>
      </c>
      <c r="L3" s="2">
        <v>0</v>
      </c>
      <c r="M3" s="2">
        <v>0</v>
      </c>
      <c r="N3" s="2">
        <v>0</v>
      </c>
      <c r="O3" s="2">
        <v>3.1590000000000003</v>
      </c>
      <c r="P3" s="2">
        <v>29.888999999999999</v>
      </c>
      <c r="Q3"/>
      <c r="R3" t="s">
        <v>8045</v>
      </c>
      <c r="S3" s="2">
        <v>0</v>
      </c>
      <c r="T3" s="2">
        <v>0</v>
      </c>
      <c r="U3" s="2"/>
    </row>
    <row r="4" spans="1:21" x14ac:dyDescent="0.25">
      <c r="A4" t="s">
        <v>8491</v>
      </c>
      <c r="B4" t="s">
        <v>9234</v>
      </c>
      <c r="C4" s="21" t="s">
        <v>9223</v>
      </c>
      <c r="D4" t="s">
        <v>0</v>
      </c>
      <c r="E4" t="s">
        <v>9235</v>
      </c>
      <c r="F4" t="s">
        <v>1324</v>
      </c>
      <c r="G4" t="s">
        <v>1325</v>
      </c>
      <c r="H4" s="2">
        <v>1.7799999999999998</v>
      </c>
      <c r="I4" s="2">
        <v>0</v>
      </c>
      <c r="J4" s="2">
        <v>0</v>
      </c>
      <c r="K4" s="15">
        <v>17.46</v>
      </c>
      <c r="L4" s="2">
        <v>0</v>
      </c>
      <c r="M4" s="2">
        <v>0</v>
      </c>
      <c r="N4" s="2">
        <v>0</v>
      </c>
      <c r="O4" s="2">
        <v>2.2698</v>
      </c>
      <c r="P4" s="2">
        <v>21.509800000000002</v>
      </c>
      <c r="Q4"/>
      <c r="R4" t="s">
        <v>8045</v>
      </c>
      <c r="S4" s="2">
        <v>0</v>
      </c>
      <c r="T4" s="2">
        <v>0</v>
      </c>
      <c r="U4" s="2"/>
    </row>
    <row r="5" spans="1:21" x14ac:dyDescent="0.25">
      <c r="A5" t="s">
        <v>8491</v>
      </c>
      <c r="B5" t="s">
        <v>9232</v>
      </c>
      <c r="C5" s="21" t="s">
        <v>9223</v>
      </c>
      <c r="D5" t="s">
        <v>0</v>
      </c>
      <c r="E5" t="s">
        <v>9233</v>
      </c>
      <c r="F5" t="s">
        <v>1322</v>
      </c>
      <c r="G5" t="s">
        <v>1323</v>
      </c>
      <c r="H5" s="2">
        <v>0</v>
      </c>
      <c r="I5" s="2">
        <v>0</v>
      </c>
      <c r="J5" s="2">
        <v>0</v>
      </c>
      <c r="K5" s="15">
        <v>24.69</v>
      </c>
      <c r="L5" s="2">
        <v>0</v>
      </c>
      <c r="M5" s="2">
        <v>0</v>
      </c>
      <c r="N5" s="2">
        <v>0</v>
      </c>
      <c r="O5" s="2">
        <v>3.2097000000000002</v>
      </c>
      <c r="P5" s="2">
        <v>27.899700000000003</v>
      </c>
      <c r="Q5"/>
      <c r="R5" t="s">
        <v>8045</v>
      </c>
      <c r="S5" s="2">
        <v>0</v>
      </c>
      <c r="T5" s="2">
        <v>0</v>
      </c>
      <c r="U5" s="2"/>
    </row>
    <row r="6" spans="1:21" x14ac:dyDescent="0.25">
      <c r="A6" t="s">
        <v>8491</v>
      </c>
      <c r="B6" t="s">
        <v>9231</v>
      </c>
      <c r="C6" t="s">
        <v>7706</v>
      </c>
      <c r="D6" t="s">
        <v>0</v>
      </c>
      <c r="E6">
        <v>765</v>
      </c>
      <c r="F6" t="s">
        <v>1510</v>
      </c>
      <c r="G6" t="s">
        <v>1511</v>
      </c>
      <c r="H6" s="2">
        <v>0</v>
      </c>
      <c r="I6" s="2">
        <v>0</v>
      </c>
      <c r="J6" s="2">
        <v>0</v>
      </c>
      <c r="K6" s="15">
        <v>7.08</v>
      </c>
      <c r="L6" s="2">
        <v>0</v>
      </c>
      <c r="M6" s="2">
        <v>0</v>
      </c>
      <c r="N6" s="2">
        <v>0</v>
      </c>
      <c r="O6" s="2">
        <v>0.9204</v>
      </c>
      <c r="P6" s="2">
        <v>8.0004000000000008</v>
      </c>
      <c r="Q6"/>
      <c r="R6" t="s">
        <v>8045</v>
      </c>
      <c r="S6" s="2">
        <v>0</v>
      </c>
      <c r="T6" s="2">
        <v>0</v>
      </c>
      <c r="U6" s="2"/>
    </row>
    <row r="7" spans="1:21" x14ac:dyDescent="0.25">
      <c r="A7" t="s">
        <v>8491</v>
      </c>
      <c r="B7" t="s">
        <v>9231</v>
      </c>
      <c r="C7" t="s">
        <v>7706</v>
      </c>
      <c r="D7" t="s">
        <v>0</v>
      </c>
      <c r="E7">
        <v>61402</v>
      </c>
      <c r="F7" t="s">
        <v>2909</v>
      </c>
      <c r="G7" t="s">
        <v>2910</v>
      </c>
      <c r="H7" s="2">
        <v>2.0699999999999998</v>
      </c>
      <c r="I7" s="2">
        <v>0</v>
      </c>
      <c r="J7" s="2">
        <v>0</v>
      </c>
      <c r="K7" s="15">
        <v>20.3</v>
      </c>
      <c r="L7" s="2">
        <v>0</v>
      </c>
      <c r="M7" s="2">
        <v>0</v>
      </c>
      <c r="N7" s="2">
        <v>0</v>
      </c>
      <c r="O7" s="2">
        <v>2.6390000000000002</v>
      </c>
      <c r="P7" s="2">
        <v>25.009</v>
      </c>
      <c r="Q7"/>
      <c r="R7" t="s">
        <v>8045</v>
      </c>
      <c r="S7" s="2">
        <v>0</v>
      </c>
      <c r="T7" s="2">
        <v>0</v>
      </c>
      <c r="U7" s="2"/>
    </row>
    <row r="8" spans="1:21" x14ac:dyDescent="0.25">
      <c r="K8" s="15"/>
      <c r="Q8"/>
      <c r="S8" s="2"/>
      <c r="T8" s="2"/>
      <c r="U8" s="2"/>
    </row>
    <row r="9" spans="1:21" ht="15.75" thickBot="1" x14ac:dyDescent="0.3">
      <c r="T9" s="2"/>
      <c r="U9" s="2"/>
    </row>
    <row r="10" spans="1:21" ht="15.75" thickBot="1" x14ac:dyDescent="0.3">
      <c r="A10" s="129" t="s">
        <v>71</v>
      </c>
      <c r="B10" s="130"/>
      <c r="C10" s="130"/>
      <c r="D10" s="130"/>
      <c r="E10" s="130"/>
      <c r="F10" s="130"/>
      <c r="G10" s="131"/>
      <c r="H10" s="3">
        <f>+SUBTOTAL(9,Tabla1[C. EXENTAS])</f>
        <v>6.2799999999999994</v>
      </c>
      <c r="I10" s="3">
        <f>+SUBTOTAL(9,Tabla1[I. EXENTAS])</f>
        <v>0</v>
      </c>
      <c r="J10" s="3">
        <f>+SUBTOTAL(9,Tabla1[IMPOR EX])</f>
        <v>0</v>
      </c>
      <c r="K10" s="3">
        <f>+SUBTOTAL(9,Tabla1[C. GRAVADA])</f>
        <v>93.83</v>
      </c>
      <c r="L10" s="3">
        <f>+SUBTOTAL(9,Tabla1[INTER GRAVA])</f>
        <v>0</v>
      </c>
      <c r="M10" s="3">
        <f>+SUBTOTAL(9,Tabla1[IMPOR BIENES])</f>
        <v>0</v>
      </c>
      <c r="N10" s="3">
        <f>+SUBTOTAL(9,Tabla1[IMPOR SERV])</f>
        <v>0</v>
      </c>
      <c r="O10" s="3">
        <f>+SUBTOTAL(9,Tabla1[IVA])</f>
        <v>12.197900000000001</v>
      </c>
      <c r="P10" s="3">
        <f>+SUBTOTAL(9,Tabla1[TOTAL C.])</f>
        <v>112.3079</v>
      </c>
      <c r="Q10" s="3"/>
      <c r="R10" s="3">
        <f>+SUBTOTAL(9,Tabla1[ANEXO 3])</f>
        <v>0</v>
      </c>
      <c r="S10" s="3"/>
      <c r="T10" s="3">
        <f>+SUBTOTAL(9,Tabla1[PERCEPCIONES])</f>
        <v>0</v>
      </c>
      <c r="U10" s="2"/>
    </row>
    <row r="11" spans="1:21" x14ac:dyDescent="0.25"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114"/>
    </row>
    <row r="88" spans="21:21" x14ac:dyDescent="0.25">
      <c r="U88" s="114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1069" spans="1:20" s="42" customFormat="1" x14ac:dyDescent="0.25">
      <c r="A1069"/>
      <c r="B1069"/>
      <c r="C1069"/>
      <c r="D1069"/>
      <c r="E1069"/>
      <c r="F1069"/>
      <c r="G1069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/>
      <c r="S1069"/>
      <c r="T1069"/>
    </row>
  </sheetData>
  <dataConsolidate/>
  <mergeCells count="1">
    <mergeCell ref="A10:G10"/>
  </mergeCells>
  <phoneticPr fontId="8" type="noConversion"/>
  <conditionalFormatting sqref="E1:E1048576">
    <cfRule type="duplicateValues" dxfId="91" priority="25"/>
    <cfRule type="duplicateValues" dxfId="90" priority="26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/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7">
        <v>45310</v>
      </c>
      <c r="F3" s="40"/>
      <c r="XFD3" t="s">
        <v>8486</v>
      </c>
    </row>
    <row r="4" spans="1:9 16384:16384" hidden="1" x14ac:dyDescent="0.25">
      <c r="B4" s="23" t="s">
        <v>3</v>
      </c>
      <c r="D4" s="73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3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4" t="s">
        <v>9026</v>
      </c>
      <c r="F6" s="2"/>
      <c r="XFD6" t="s">
        <v>8490</v>
      </c>
    </row>
    <row r="7" spans="1:9 16384:16384" hidden="1" x14ac:dyDescent="0.25">
      <c r="B7" s="23" t="s">
        <v>27</v>
      </c>
      <c r="D7" s="74" t="s">
        <v>9027</v>
      </c>
      <c r="F7" s="2"/>
      <c r="XFD7" t="s">
        <v>8489</v>
      </c>
    </row>
    <row r="8" spans="1:9 16384:16384" ht="16.5" customHeight="1" x14ac:dyDescent="0.25">
      <c r="B8" s="23" t="s">
        <v>26</v>
      </c>
      <c r="D8" s="107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18" t="s">
        <v>3534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UNION DE EXPORTADORES, S.A. DE C.V.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1">
        <v>0</v>
      </c>
      <c r="F14" s="32"/>
    </row>
    <row r="15" spans="1:9 16384:16384" x14ac:dyDescent="0.25">
      <c r="B15" s="23" t="s">
        <v>22</v>
      </c>
      <c r="D15" s="112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7943</v>
      </c>
      <c r="D19" s="113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6"/>
  <sheetViews>
    <sheetView zoomScale="85" zoomScaleNormal="85" workbookViewId="0">
      <selection activeCell="B3" sqref="B3:S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x14ac:dyDescent="0.25">
      <c r="A3" s="2" t="s">
        <v>8491</v>
      </c>
      <c r="B3" s="40">
        <v>45310</v>
      </c>
      <c r="C3" s="2" t="s">
        <v>1</v>
      </c>
      <c r="D3" s="2" t="s">
        <v>0</v>
      </c>
      <c r="E3" s="2" t="s">
        <v>9026</v>
      </c>
      <c r="F3" s="2" t="s">
        <v>9027</v>
      </c>
      <c r="G3" s="33">
        <v>18</v>
      </c>
      <c r="H3" s="38">
        <v>18</v>
      </c>
      <c r="I3" s="39" t="s">
        <v>3534</v>
      </c>
      <c r="J3" s="32" t="s">
        <v>3535</v>
      </c>
      <c r="K3" s="2">
        <v>0</v>
      </c>
      <c r="L3" s="2">
        <v>0</v>
      </c>
      <c r="M3" s="32">
        <v>2806</v>
      </c>
      <c r="N3" s="2">
        <v>364.78000000000003</v>
      </c>
      <c r="O3" s="2">
        <v>0</v>
      </c>
      <c r="P3" s="2">
        <v>0</v>
      </c>
      <c r="Q3" s="32">
        <v>3170.78</v>
      </c>
      <c r="S3" s="2" t="s">
        <v>1</v>
      </c>
    </row>
    <row r="4" spans="1:19" x14ac:dyDescent="0.25">
      <c r="A4" s="2"/>
      <c r="B4" s="40"/>
      <c r="C4" s="2"/>
      <c r="D4" s="2"/>
      <c r="E4" s="2"/>
      <c r="F4" s="2"/>
      <c r="G4" s="33"/>
      <c r="H4" s="38"/>
      <c r="I4" s="39"/>
      <c r="J4" s="32"/>
      <c r="M4" s="32"/>
      <c r="Q4" s="32"/>
      <c r="S4" s="2"/>
    </row>
    <row r="5" spans="1:19" ht="15.75" thickBot="1" x14ac:dyDescent="0.3">
      <c r="R5" s="15"/>
      <c r="S5" s="1"/>
    </row>
    <row r="6" spans="1:19" ht="15.75" thickBot="1" x14ac:dyDescent="0.3">
      <c r="A6" s="130"/>
      <c r="B6" s="130"/>
      <c r="C6" s="130"/>
      <c r="D6" s="130"/>
      <c r="E6" s="130"/>
      <c r="F6" s="130"/>
      <c r="G6" s="130"/>
      <c r="H6" s="130"/>
      <c r="I6" s="130"/>
      <c r="J6" s="131"/>
      <c r="K6" s="4">
        <f>+SUBTOTAL(9,Tabla2[VENTA EXENTA])</f>
        <v>0</v>
      </c>
      <c r="L6" s="4">
        <f>+SUBTOTAL(9,Tabla2[VENTA NO SUJETA])</f>
        <v>0</v>
      </c>
      <c r="M6" s="3">
        <f>+SUBTOTAL(9,Tabla2[V. GRAVADA])</f>
        <v>2806</v>
      </c>
      <c r="N6" s="4">
        <f>+SUBTOTAL(9,Tabla2[D.FISCAL])</f>
        <v>364.78000000000003</v>
      </c>
      <c r="O6" s="4">
        <f>+SUBTOTAL(9,Tabla2[V CTA DE 3])</f>
        <v>0</v>
      </c>
      <c r="P6" s="4">
        <f>+SUBTOTAL(9,Tabla2[D. FISCAL A 3])</f>
        <v>0</v>
      </c>
      <c r="Q6" s="4">
        <f>+SUBTOTAL(9,Tabla2[VENTA TOTAL])</f>
        <v>3170.78</v>
      </c>
      <c r="R6" s="31"/>
    </row>
    <row r="4773" spans="1:19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</row>
    <row r="9755" spans="1:19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</sheetData>
  <mergeCells count="1">
    <mergeCell ref="A6:J6"/>
  </mergeCells>
  <phoneticPr fontId="8" type="noConversion"/>
  <conditionalFormatting sqref="G1:G1048576">
    <cfRule type="duplicateValues" dxfId="87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8" sqref="D8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7944</v>
      </c>
      <c r="XFD2" t="s">
        <v>7944</v>
      </c>
    </row>
    <row r="3" spans="2:4 16384:16384" x14ac:dyDescent="0.25">
      <c r="B3" s="67" t="s">
        <v>2</v>
      </c>
      <c r="D3" s="7" t="s">
        <v>9013</v>
      </c>
      <c r="XFD3" t="s">
        <v>7981</v>
      </c>
    </row>
    <row r="4" spans="2:4 16384:16384" hidden="1" x14ac:dyDescent="0.25">
      <c r="B4" s="67" t="s">
        <v>3</v>
      </c>
      <c r="D4" s="73" t="s">
        <v>1</v>
      </c>
      <c r="XFD4" t="s">
        <v>8153</v>
      </c>
    </row>
    <row r="5" spans="2:4 16384:16384" ht="14.25" hidden="1" customHeight="1" x14ac:dyDescent="0.25">
      <c r="B5" s="68" t="s">
        <v>4</v>
      </c>
      <c r="D5" s="73" t="s">
        <v>7706</v>
      </c>
      <c r="XFD5" t="s">
        <v>8265</v>
      </c>
    </row>
    <row r="6" spans="2:4 16384:16384" ht="14.25" hidden="1" customHeight="1" x14ac:dyDescent="0.25">
      <c r="B6" s="69" t="s">
        <v>69</v>
      </c>
      <c r="D6" s="74" t="s">
        <v>8136</v>
      </c>
      <c r="XFD6" t="s">
        <v>8322</v>
      </c>
    </row>
    <row r="7" spans="2:4 16384:16384" ht="14.25" hidden="1" customHeight="1" x14ac:dyDescent="0.25">
      <c r="B7" s="69" t="s">
        <v>68</v>
      </c>
      <c r="D7" s="74" t="s">
        <v>8137</v>
      </c>
      <c r="XFD7" t="s">
        <v>8323</v>
      </c>
    </row>
    <row r="8" spans="2:4 16384:16384" ht="14.25" customHeight="1" x14ac:dyDescent="0.25">
      <c r="B8" s="69" t="s">
        <v>67</v>
      </c>
      <c r="D8" s="51"/>
      <c r="XFD8" t="s">
        <v>8324</v>
      </c>
    </row>
    <row r="9" spans="2:4 16384:16384" ht="14.25" hidden="1" customHeight="1" x14ac:dyDescent="0.25">
      <c r="B9" s="67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7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7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7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7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7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7" t="s">
        <v>62</v>
      </c>
      <c r="D15" s="9">
        <v>0</v>
      </c>
      <c r="XFD15" t="s">
        <v>7981</v>
      </c>
    </row>
    <row r="16" spans="2:4 16384:16384" ht="14.25" customHeight="1" x14ac:dyDescent="0.25">
      <c r="B16" s="67" t="s">
        <v>61</v>
      </c>
      <c r="D16" s="70">
        <v>0</v>
      </c>
      <c r="XFD16" t="s">
        <v>8153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6"/>
  <sheetViews>
    <sheetView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ht="15.75" thickBot="1" x14ac:dyDescent="0.3"/>
    <row r="4" spans="1:22" ht="15.75" thickBot="1" x14ac:dyDescent="0.3">
      <c r="A4" s="129" t="s">
        <v>76</v>
      </c>
      <c r="B4" s="130"/>
      <c r="C4" s="130"/>
      <c r="D4" s="130"/>
      <c r="E4" s="130"/>
      <c r="F4" s="130"/>
      <c r="G4" s="130"/>
      <c r="H4" s="130"/>
      <c r="I4" s="130"/>
      <c r="J4" s="130"/>
      <c r="K4" s="131"/>
      <c r="L4" s="4">
        <f>+SUBTOTAL(9,Tabla3[V EXENTA])</f>
        <v>0</v>
      </c>
      <c r="M4" s="4">
        <f>+SUBTOTAL(9,Tabla3[VENTAS NO])</f>
        <v>0</v>
      </c>
      <c r="N4" s="4">
        <f>+SUBTOTAL(9,Tabla3[V NO SUJETAS])</f>
        <v>0</v>
      </c>
      <c r="O4" s="4">
        <f>+SUBTOTAL(9,Tabla3[V GRAVADAS])</f>
        <v>0</v>
      </c>
      <c r="P4" s="4">
        <f>+SUBTOTAL(9,Tabla3[EX IN CA])</f>
        <v>0</v>
      </c>
      <c r="Q4" s="4">
        <f>+SUBTOTAL(9,Tabla3[EX OUT CA])</f>
        <v>0</v>
      </c>
      <c r="R4" s="4">
        <f>+SUBTOTAL(9,Tabla3[EX SERVICE])</f>
        <v>0</v>
      </c>
      <c r="S4" s="4">
        <f>+SUBTOTAL(9,Tabla3[V ZONA FRAN])</f>
        <v>0</v>
      </c>
      <c r="T4" s="4">
        <f>+SUBTOTAL(9,Tabla3[V CTA A 3ERO])</f>
        <v>0</v>
      </c>
      <c r="U4" s="4">
        <f>+SUBTOTAL(9,Tabla3[TOTAL VENTA])</f>
        <v>0</v>
      </c>
    </row>
    <row r="5" spans="1:22" x14ac:dyDescent="0.25">
      <c r="O5" s="2">
        <f>O4/1.13</f>
        <v>0</v>
      </c>
    </row>
    <row r="6" spans="1:22" x14ac:dyDescent="0.25">
      <c r="O6" s="2">
        <f>O5*0.13</f>
        <v>0</v>
      </c>
    </row>
  </sheetData>
  <mergeCells count="1">
    <mergeCell ref="A4:K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7737</v>
      </c>
      <c r="K1" s="60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7944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3534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8264</v>
      </c>
    </row>
    <row r="8" spans="2:6" x14ac:dyDescent="0.25">
      <c r="B8" s="23" t="s">
        <v>68</v>
      </c>
      <c r="D8" s="50" t="s">
        <v>9226</v>
      </c>
    </row>
    <row r="9" spans="2:6" x14ac:dyDescent="0.25">
      <c r="B9" s="23" t="s">
        <v>5</v>
      </c>
      <c r="D9" s="50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9"/>
  <sheetViews>
    <sheetView showGridLines="0" workbookViewId="0">
      <selection activeCell="C2" sqref="C2:I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8" t="s">
        <v>7714</v>
      </c>
      <c r="E1" s="17" t="s">
        <v>7715</v>
      </c>
      <c r="F1" s="17" t="s">
        <v>7716</v>
      </c>
      <c r="G1" s="17" t="s">
        <v>7717</v>
      </c>
      <c r="H1" s="79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3534</v>
      </c>
      <c r="D2" s="13">
        <v>45310</v>
      </c>
      <c r="E2" t="s">
        <v>8264</v>
      </c>
      <c r="F2" t="s">
        <v>9226</v>
      </c>
      <c r="G2" t="s">
        <v>9230</v>
      </c>
      <c r="H2" s="2">
        <v>2806</v>
      </c>
      <c r="I2" s="2">
        <v>28.060000000000002</v>
      </c>
      <c r="J2">
        <v>7</v>
      </c>
    </row>
    <row r="3" spans="1:10" s="18" customFormat="1" x14ac:dyDescent="0.25">
      <c r="A3"/>
      <c r="B3"/>
      <c r="C3"/>
      <c r="D3" s="13"/>
      <c r="E3"/>
      <c r="F3"/>
      <c r="G3"/>
      <c r="H3" s="2"/>
      <c r="I3" s="2"/>
      <c r="J3"/>
    </row>
    <row r="4" spans="1:10" s="18" customFormat="1" hidden="1" x14ac:dyDescent="0.25">
      <c r="A4" t="s">
        <v>8328</v>
      </c>
      <c r="B4"/>
      <c r="C4" t="s">
        <v>3534</v>
      </c>
      <c r="D4" s="13">
        <v>45252</v>
      </c>
      <c r="E4" t="s">
        <v>8264</v>
      </c>
      <c r="F4" t="s">
        <v>9226</v>
      </c>
      <c r="G4" t="s">
        <v>9227</v>
      </c>
      <c r="H4" s="2">
        <v>839.16</v>
      </c>
      <c r="I4" s="2">
        <v>8.3916000000000004</v>
      </c>
      <c r="J4">
        <v>7</v>
      </c>
    </row>
    <row r="5" spans="1:10" s="18" customFormat="1" hidden="1" x14ac:dyDescent="0.25">
      <c r="A5" s="18" t="s">
        <v>8322</v>
      </c>
      <c r="C5" s="18" t="s">
        <v>3534</v>
      </c>
      <c r="D5" s="125" t="s">
        <v>9062</v>
      </c>
      <c r="E5" s="18" t="s">
        <v>9065</v>
      </c>
      <c r="F5" s="18" t="s">
        <v>9066</v>
      </c>
      <c r="G5" s="18" t="s">
        <v>9067</v>
      </c>
      <c r="H5" s="126">
        <v>1487.5</v>
      </c>
      <c r="I5" s="18">
        <v>14.88</v>
      </c>
      <c r="J5" s="127" t="s">
        <v>8264</v>
      </c>
    </row>
    <row r="6" spans="1:10" s="18" customFormat="1" hidden="1" x14ac:dyDescent="0.25">
      <c r="A6" s="18" t="s">
        <v>8322</v>
      </c>
      <c r="C6" s="18" t="s">
        <v>3534</v>
      </c>
      <c r="D6" s="125" t="s">
        <v>9062</v>
      </c>
      <c r="E6" s="18" t="s">
        <v>9065</v>
      </c>
      <c r="F6" s="18" t="s">
        <v>9066</v>
      </c>
      <c r="G6" s="18" t="s">
        <v>9068</v>
      </c>
      <c r="H6" s="126">
        <v>429.59</v>
      </c>
      <c r="I6" s="18">
        <v>4.3</v>
      </c>
      <c r="J6" s="127" t="s">
        <v>8264</v>
      </c>
    </row>
    <row r="7" spans="1:10" s="18" customFormat="1" hidden="1" x14ac:dyDescent="0.25">
      <c r="A7" s="18" t="s">
        <v>8265</v>
      </c>
      <c r="C7" s="18" t="s">
        <v>3534</v>
      </c>
      <c r="D7" s="125" t="s">
        <v>9064</v>
      </c>
      <c r="E7" s="18" t="s">
        <v>9065</v>
      </c>
      <c r="F7" s="18" t="s">
        <v>9066</v>
      </c>
      <c r="G7" s="18" t="s">
        <v>9069</v>
      </c>
      <c r="H7" s="126">
        <v>2560</v>
      </c>
      <c r="I7" s="18">
        <v>25.6</v>
      </c>
      <c r="J7" s="127" t="s">
        <v>8264</v>
      </c>
    </row>
    <row r="8" spans="1:10" s="18" customFormat="1" hidden="1" x14ac:dyDescent="0.25">
      <c r="A8"/>
      <c r="B8"/>
      <c r="C8"/>
      <c r="D8" s="13"/>
      <c r="E8" s="1"/>
      <c r="F8" s="34"/>
      <c r="G8" s="34"/>
      <c r="H8" s="75"/>
      <c r="I8" s="2"/>
      <c r="J8" s="81"/>
    </row>
    <row r="9" spans="1:10" s="18" customFormat="1" x14ac:dyDescent="0.25">
      <c r="A9" t="s">
        <v>7719</v>
      </c>
      <c r="B9"/>
      <c r="C9"/>
      <c r="D9" s="13"/>
      <c r="E9" s="15">
        <f>SUBTOTAL(109,Tabla6[Tipo de documento])</f>
        <v>0</v>
      </c>
      <c r="F9" s="15">
        <f>SUBTOTAL(109,Tabla6[Serie])</f>
        <v>0</v>
      </c>
      <c r="G9" s="15"/>
      <c r="H9" s="36">
        <f>SUBTOTAL(109,Tabla6[Monto sujeto])</f>
        <v>2806</v>
      </c>
      <c r="I9" s="36">
        <f>SUBTOTAL(109,Tabla6[Monto Retención 1%])</f>
        <v>28.060000000000002</v>
      </c>
      <c r="J9" s="19">
        <f>SUBTOTAL(109,Tabla6[ANEXO])</f>
        <v>7</v>
      </c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0"/>
      <c r="I275" s="80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80"/>
      <c r="I276" s="80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80"/>
      <c r="I277" s="80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80"/>
      <c r="I278" s="80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80"/>
      <c r="I279" s="80"/>
      <c r="J279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528"/>
  <sheetViews>
    <sheetView topLeftCell="A4507" workbookViewId="0">
      <selection activeCell="B4529" sqref="B4529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22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2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4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23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9014</v>
      </c>
      <c r="B4409" t="s">
        <v>9015</v>
      </c>
    </row>
    <row r="4410" spans="1:2" x14ac:dyDescent="0.25">
      <c r="A4410" s="1" t="s">
        <v>9016</v>
      </c>
      <c r="B4410" t="s">
        <v>9017</v>
      </c>
    </row>
    <row r="4411" spans="1:2" x14ac:dyDescent="0.25">
      <c r="A4411" s="1" t="s">
        <v>9018</v>
      </c>
      <c r="B4411" t="s">
        <v>9019</v>
      </c>
    </row>
    <row r="4412" spans="1:2" x14ac:dyDescent="0.25">
      <c r="A4412" s="1" t="s">
        <v>9029</v>
      </c>
      <c r="B4412" t="s">
        <v>9028</v>
      </c>
    </row>
    <row r="4413" spans="1:2" x14ac:dyDescent="0.25">
      <c r="A4413" s="1" t="s">
        <v>9031</v>
      </c>
      <c r="B4413" t="s">
        <v>9030</v>
      </c>
    </row>
    <row r="4414" spans="1:2" x14ac:dyDescent="0.25">
      <c r="A4414" s="1" t="s">
        <v>9032</v>
      </c>
      <c r="B4414" t="s">
        <v>9044</v>
      </c>
    </row>
    <row r="4415" spans="1:2" x14ac:dyDescent="0.25">
      <c r="A4415" s="1" t="s">
        <v>9033</v>
      </c>
      <c r="B4415" t="s">
        <v>9045</v>
      </c>
    </row>
    <row r="4416" spans="1:2" x14ac:dyDescent="0.25">
      <c r="A4416" s="1" t="s">
        <v>9034</v>
      </c>
      <c r="B4416" t="s">
        <v>9046</v>
      </c>
    </row>
    <row r="4417" spans="1:2" x14ac:dyDescent="0.25">
      <c r="A4417" s="1" t="s">
        <v>9035</v>
      </c>
      <c r="B4417" t="s">
        <v>9047</v>
      </c>
    </row>
    <row r="4418" spans="1:2" x14ac:dyDescent="0.25">
      <c r="A4418" s="1" t="s">
        <v>9036</v>
      </c>
      <c r="B4418" t="s">
        <v>9048</v>
      </c>
    </row>
    <row r="4419" spans="1:2" x14ac:dyDescent="0.25">
      <c r="A4419" s="1" t="s">
        <v>9037</v>
      </c>
      <c r="B4419" t="s">
        <v>9049</v>
      </c>
    </row>
    <row r="4420" spans="1:2" x14ac:dyDescent="0.25">
      <c r="A4420" s="1" t="s">
        <v>9038</v>
      </c>
      <c r="B4420" t="s">
        <v>9050</v>
      </c>
    </row>
    <row r="4421" spans="1:2" x14ac:dyDescent="0.25">
      <c r="A4421" s="1" t="s">
        <v>9039</v>
      </c>
      <c r="B4421" t="s">
        <v>9051</v>
      </c>
    </row>
    <row r="4422" spans="1:2" x14ac:dyDescent="0.25">
      <c r="A4422" s="1" t="s">
        <v>9040</v>
      </c>
      <c r="B4422" t="s">
        <v>9052</v>
      </c>
    </row>
    <row r="4423" spans="1:2" x14ac:dyDescent="0.25">
      <c r="A4423" s="1" t="s">
        <v>9041</v>
      </c>
      <c r="B4423" t="s">
        <v>9053</v>
      </c>
    </row>
    <row r="4424" spans="1:2" x14ac:dyDescent="0.25">
      <c r="A4424" s="1" t="s">
        <v>9042</v>
      </c>
      <c r="B4424" t="s">
        <v>9054</v>
      </c>
    </row>
    <row r="4425" spans="1:2" x14ac:dyDescent="0.25">
      <c r="A4425" s="1" t="s">
        <v>9043</v>
      </c>
      <c r="B4425" t="s">
        <v>9055</v>
      </c>
    </row>
    <row r="4426" spans="1:2" x14ac:dyDescent="0.25">
      <c r="A4426" s="1" t="s">
        <v>9061</v>
      </c>
      <c r="B4426" t="s">
        <v>9060</v>
      </c>
    </row>
    <row r="4427" spans="1:2" x14ac:dyDescent="0.25">
      <c r="A4427" s="1" t="s">
        <v>9070</v>
      </c>
      <c r="B4427" t="s">
        <v>9071</v>
      </c>
    </row>
    <row r="4428" spans="1:2" x14ac:dyDescent="0.25">
      <c r="A4428" s="1" t="s">
        <v>9072</v>
      </c>
      <c r="B4428" t="s">
        <v>9073</v>
      </c>
    </row>
    <row r="4429" spans="1:2" x14ac:dyDescent="0.25">
      <c r="A4429" s="1" t="s">
        <v>9074</v>
      </c>
      <c r="B4429" t="s">
        <v>9075</v>
      </c>
    </row>
    <row r="4430" spans="1:2" x14ac:dyDescent="0.25">
      <c r="A4430" s="1" t="s">
        <v>9076</v>
      </c>
      <c r="B4430" t="s">
        <v>9077</v>
      </c>
    </row>
    <row r="4431" spans="1:2" x14ac:dyDescent="0.25">
      <c r="A4431" s="1" t="s">
        <v>9078</v>
      </c>
      <c r="B4431" t="s">
        <v>9079</v>
      </c>
    </row>
    <row r="4432" spans="1:2" x14ac:dyDescent="0.25">
      <c r="A4432" s="1" t="s">
        <v>9080</v>
      </c>
      <c r="B4432" t="s">
        <v>9081</v>
      </c>
    </row>
    <row r="4433" spans="1:2" x14ac:dyDescent="0.25">
      <c r="A4433" s="1" t="s">
        <v>9082</v>
      </c>
      <c r="B4433" t="s">
        <v>9083</v>
      </c>
    </row>
    <row r="4434" spans="1:2" x14ac:dyDescent="0.25">
      <c r="A4434" s="1" t="s">
        <v>9084</v>
      </c>
      <c r="B4434" t="s">
        <v>9085</v>
      </c>
    </row>
    <row r="4435" spans="1:2" x14ac:dyDescent="0.25">
      <c r="A4435" s="1" t="s">
        <v>9086</v>
      </c>
      <c r="B4435" t="s">
        <v>9087</v>
      </c>
    </row>
    <row r="4436" spans="1:2" x14ac:dyDescent="0.25">
      <c r="A4436" s="1" t="s">
        <v>9088</v>
      </c>
      <c r="B4436" t="s">
        <v>9089</v>
      </c>
    </row>
    <row r="4437" spans="1:2" x14ac:dyDescent="0.25">
      <c r="A4437" s="1" t="s">
        <v>52</v>
      </c>
      <c r="B4437" t="s">
        <v>9090</v>
      </c>
    </row>
    <row r="4438" spans="1:2" x14ac:dyDescent="0.25">
      <c r="A4438" s="1" t="s">
        <v>9091</v>
      </c>
      <c r="B4438" t="s">
        <v>9092</v>
      </c>
    </row>
    <row r="4439" spans="1:2" x14ac:dyDescent="0.25">
      <c r="A4439" s="1" t="s">
        <v>9093</v>
      </c>
      <c r="B4439" t="s">
        <v>9094</v>
      </c>
    </row>
    <row r="4440" spans="1:2" x14ac:dyDescent="0.25">
      <c r="A4440" s="1" t="s">
        <v>9095</v>
      </c>
      <c r="B4440" t="s">
        <v>9096</v>
      </c>
    </row>
    <row r="4441" spans="1:2" x14ac:dyDescent="0.25">
      <c r="A4441" s="1" t="s">
        <v>9097</v>
      </c>
      <c r="B4441" t="s">
        <v>9098</v>
      </c>
    </row>
    <row r="4442" spans="1:2" x14ac:dyDescent="0.25">
      <c r="A4442" s="1" t="s">
        <v>9099</v>
      </c>
      <c r="B4442" t="s">
        <v>9100</v>
      </c>
    </row>
    <row r="4443" spans="1:2" x14ac:dyDescent="0.25">
      <c r="A4443" s="1" t="s">
        <v>9101</v>
      </c>
      <c r="B4443" t="s">
        <v>9102</v>
      </c>
    </row>
    <row r="4444" spans="1:2" x14ac:dyDescent="0.25">
      <c r="A4444" s="1" t="s">
        <v>49</v>
      </c>
      <c r="B4444" t="s">
        <v>9103</v>
      </c>
    </row>
    <row r="4445" spans="1:2" x14ac:dyDescent="0.25">
      <c r="A4445" s="1" t="s">
        <v>9104</v>
      </c>
      <c r="B4445" t="s">
        <v>9105</v>
      </c>
    </row>
    <row r="4446" spans="1:2" x14ac:dyDescent="0.25">
      <c r="A4446" s="1" t="s">
        <v>9106</v>
      </c>
      <c r="B4446" t="s">
        <v>9107</v>
      </c>
    </row>
    <row r="4447" spans="1:2" x14ac:dyDescent="0.25">
      <c r="A4447" s="1" t="s">
        <v>48</v>
      </c>
      <c r="B4447" t="s">
        <v>9108</v>
      </c>
    </row>
    <row r="4448" spans="1:2" x14ac:dyDescent="0.25">
      <c r="A4448" s="1" t="s">
        <v>9109</v>
      </c>
      <c r="B4448" t="s">
        <v>9110</v>
      </c>
    </row>
    <row r="4449" spans="1:2" x14ac:dyDescent="0.25">
      <c r="A4449" s="1" t="s">
        <v>7810</v>
      </c>
      <c r="B4449" t="s">
        <v>9111</v>
      </c>
    </row>
    <row r="4450" spans="1:2" x14ac:dyDescent="0.25">
      <c r="A4450" s="1" t="s">
        <v>47</v>
      </c>
      <c r="B4450" t="s">
        <v>9112</v>
      </c>
    </row>
    <row r="4451" spans="1:2" x14ac:dyDescent="0.25">
      <c r="A4451" s="1" t="s">
        <v>9113</v>
      </c>
      <c r="B4451" t="s">
        <v>9114</v>
      </c>
    </row>
    <row r="4452" spans="1:2" x14ac:dyDescent="0.25">
      <c r="A4452" s="1" t="s">
        <v>46</v>
      </c>
      <c r="B4452" t="s">
        <v>9115</v>
      </c>
    </row>
    <row r="4453" spans="1:2" x14ac:dyDescent="0.25">
      <c r="A4453" s="1" t="s">
        <v>9116</v>
      </c>
      <c r="B4453" t="s">
        <v>9117</v>
      </c>
    </row>
    <row r="4454" spans="1:2" x14ac:dyDescent="0.25">
      <c r="A4454" s="1" t="s">
        <v>9118</v>
      </c>
      <c r="B4454" t="s">
        <v>9119</v>
      </c>
    </row>
    <row r="4455" spans="1:2" x14ac:dyDescent="0.25">
      <c r="A4455" s="1" t="s">
        <v>9120</v>
      </c>
      <c r="B4455" t="s">
        <v>9121</v>
      </c>
    </row>
    <row r="4456" spans="1:2" x14ac:dyDescent="0.25">
      <c r="A4456" s="1" t="s">
        <v>9122</v>
      </c>
      <c r="B4456" t="s">
        <v>9123</v>
      </c>
    </row>
    <row r="4457" spans="1:2" x14ac:dyDescent="0.25">
      <c r="A4457" s="1" t="s">
        <v>9124</v>
      </c>
      <c r="B4457" t="s">
        <v>9125</v>
      </c>
    </row>
    <row r="4458" spans="1:2" x14ac:dyDescent="0.25">
      <c r="A4458" s="1" t="s">
        <v>9126</v>
      </c>
      <c r="B4458" t="s">
        <v>9127</v>
      </c>
    </row>
    <row r="4459" spans="1:2" x14ac:dyDescent="0.25">
      <c r="A4459" s="1" t="s">
        <v>9128</v>
      </c>
      <c r="B4459" t="s">
        <v>9129</v>
      </c>
    </row>
    <row r="4460" spans="1:2" x14ac:dyDescent="0.25">
      <c r="A4460" s="1" t="s">
        <v>45</v>
      </c>
      <c r="B4460" t="s">
        <v>9130</v>
      </c>
    </row>
    <row r="4461" spans="1:2" x14ac:dyDescent="0.25">
      <c r="A4461" s="1" t="s">
        <v>9131</v>
      </c>
      <c r="B4461" t="s">
        <v>9132</v>
      </c>
    </row>
    <row r="4462" spans="1:2" x14ac:dyDescent="0.25">
      <c r="A4462" s="1" t="s">
        <v>44</v>
      </c>
      <c r="B4462" t="s">
        <v>9133</v>
      </c>
    </row>
    <row r="4463" spans="1:2" x14ac:dyDescent="0.25">
      <c r="A4463" s="1" t="s">
        <v>9134</v>
      </c>
      <c r="B4463" t="s">
        <v>9135</v>
      </c>
    </row>
    <row r="4464" spans="1:2" x14ac:dyDescent="0.25">
      <c r="A4464" s="1" t="s">
        <v>9136</v>
      </c>
      <c r="B4464" t="s">
        <v>9137</v>
      </c>
    </row>
    <row r="4465" spans="1:5" x14ac:dyDescent="0.25">
      <c r="A4465" s="1" t="s">
        <v>9138</v>
      </c>
      <c r="B4465" t="s">
        <v>9139</v>
      </c>
    </row>
    <row r="4466" spans="1:5" x14ac:dyDescent="0.25">
      <c r="A4466" s="1" t="s">
        <v>43</v>
      </c>
      <c r="B4466" t="s">
        <v>9140</v>
      </c>
    </row>
    <row r="4467" spans="1:5" x14ac:dyDescent="0.25">
      <c r="A4467" s="1" t="s">
        <v>9141</v>
      </c>
      <c r="B4467" t="s">
        <v>9142</v>
      </c>
    </row>
    <row r="4468" spans="1:5" x14ac:dyDescent="0.25">
      <c r="A4468" s="1" t="s">
        <v>9143</v>
      </c>
      <c r="B4468" t="s">
        <v>9144</v>
      </c>
    </row>
    <row r="4469" spans="1:5" x14ac:dyDescent="0.25">
      <c r="A4469" s="1" t="s">
        <v>42</v>
      </c>
      <c r="B4469" t="s">
        <v>9145</v>
      </c>
    </row>
    <row r="4470" spans="1:5" x14ac:dyDescent="0.25">
      <c r="A4470" s="1" t="s">
        <v>9146</v>
      </c>
      <c r="B4470" t="s">
        <v>9147</v>
      </c>
    </row>
    <row r="4471" spans="1:5" x14ac:dyDescent="0.25">
      <c r="A4471" s="1" t="s">
        <v>9148</v>
      </c>
      <c r="B4471" t="s">
        <v>41</v>
      </c>
    </row>
    <row r="4472" spans="1:5" x14ac:dyDescent="0.25">
      <c r="A4472" s="1" t="s">
        <v>9149</v>
      </c>
      <c r="B4472" t="s">
        <v>9150</v>
      </c>
    </row>
    <row r="4473" spans="1:5" x14ac:dyDescent="0.25">
      <c r="A4473" s="1" t="s">
        <v>40</v>
      </c>
      <c r="B4473" t="s">
        <v>9151</v>
      </c>
    </row>
    <row r="4474" spans="1:5" x14ac:dyDescent="0.25">
      <c r="A4474" s="1" t="s">
        <v>39</v>
      </c>
      <c r="B4474" t="s">
        <v>9152</v>
      </c>
      <c r="E4474">
        <v>288.04000000000002</v>
      </c>
    </row>
    <row r="4475" spans="1:5" x14ac:dyDescent="0.25">
      <c r="A4475" s="1" t="s">
        <v>38</v>
      </c>
      <c r="B4475" t="s">
        <v>9153</v>
      </c>
      <c r="C4475">
        <v>1936.16</v>
      </c>
      <c r="E4475">
        <v>703.16</v>
      </c>
    </row>
    <row r="4476" spans="1:5" x14ac:dyDescent="0.25">
      <c r="A4476" s="1" t="s">
        <v>37</v>
      </c>
      <c r="B4476" t="s">
        <v>9154</v>
      </c>
      <c r="C4476">
        <v>1946.16</v>
      </c>
      <c r="E4476">
        <v>191.61</v>
      </c>
    </row>
    <row r="4477" spans="1:5" x14ac:dyDescent="0.25">
      <c r="A4477" s="1" t="s">
        <v>9155</v>
      </c>
      <c r="B4477" t="s">
        <v>9156</v>
      </c>
      <c r="C4477">
        <f>SUM(C4475:C4476)</f>
        <v>3882.32</v>
      </c>
      <c r="E4477">
        <v>370.13</v>
      </c>
    </row>
    <row r="4478" spans="1:5" x14ac:dyDescent="0.25">
      <c r="A4478" s="1" t="s">
        <v>36</v>
      </c>
      <c r="B4478" t="s">
        <v>9157</v>
      </c>
      <c r="E4478">
        <v>393.22</v>
      </c>
    </row>
    <row r="4479" spans="1:5" x14ac:dyDescent="0.25">
      <c r="A4479" s="1" t="s">
        <v>35</v>
      </c>
      <c r="B4479" t="s">
        <v>9158</v>
      </c>
      <c r="E4479">
        <f>SUM(E4474:E4478)</f>
        <v>1946.16</v>
      </c>
    </row>
    <row r="4480" spans="1:5" x14ac:dyDescent="0.25">
      <c r="A4480" s="1" t="s">
        <v>34</v>
      </c>
      <c r="B4480" t="s">
        <v>9159</v>
      </c>
    </row>
    <row r="4481" spans="1:2" x14ac:dyDescent="0.25">
      <c r="A4481" s="1" t="s">
        <v>9160</v>
      </c>
      <c r="B4481" t="s">
        <v>9161</v>
      </c>
    </row>
    <row r="4482" spans="1:2" x14ac:dyDescent="0.25">
      <c r="A4482" s="1" t="s">
        <v>33</v>
      </c>
      <c r="B4482" t="s">
        <v>9162</v>
      </c>
    </row>
    <row r="4483" spans="1:2" x14ac:dyDescent="0.25">
      <c r="A4483" s="1" t="s">
        <v>32</v>
      </c>
      <c r="B4483" t="s">
        <v>9163</v>
      </c>
    </row>
    <row r="4484" spans="1:2" x14ac:dyDescent="0.25">
      <c r="A4484" s="1" t="s">
        <v>9164</v>
      </c>
      <c r="B4484" t="s">
        <v>9165</v>
      </c>
    </row>
    <row r="4485" spans="1:2" x14ac:dyDescent="0.25">
      <c r="A4485" s="1" t="s">
        <v>31</v>
      </c>
      <c r="B4485" t="s">
        <v>9166</v>
      </c>
    </row>
    <row r="4486" spans="1:2" x14ac:dyDescent="0.25">
      <c r="A4486" s="1" t="s">
        <v>9167</v>
      </c>
      <c r="B4486" t="s">
        <v>9168</v>
      </c>
    </row>
    <row r="4487" spans="1:2" x14ac:dyDescent="0.25">
      <c r="A4487" s="1" t="s">
        <v>9169</v>
      </c>
      <c r="B4487" t="s">
        <v>9170</v>
      </c>
    </row>
    <row r="4488" spans="1:2" x14ac:dyDescent="0.25">
      <c r="A4488" s="1" t="s">
        <v>30</v>
      </c>
      <c r="B4488" t="s">
        <v>9171</v>
      </c>
    </row>
    <row r="4489" spans="1:2" x14ac:dyDescent="0.25">
      <c r="A4489" s="1" t="s">
        <v>9172</v>
      </c>
      <c r="B4489" t="s">
        <v>9173</v>
      </c>
    </row>
    <row r="4490" spans="1:2" x14ac:dyDescent="0.25">
      <c r="A4490" s="1" t="s">
        <v>9174</v>
      </c>
      <c r="B4490" t="s">
        <v>9175</v>
      </c>
    </row>
    <row r="4491" spans="1:2" x14ac:dyDescent="0.25">
      <c r="A4491" s="1" t="s">
        <v>29</v>
      </c>
      <c r="B4491" t="s">
        <v>9176</v>
      </c>
    </row>
    <row r="4492" spans="1:2" x14ac:dyDescent="0.25">
      <c r="A4492" s="1" t="s">
        <v>9177</v>
      </c>
      <c r="B4492" t="s">
        <v>9178</v>
      </c>
    </row>
    <row r="4493" spans="1:2" x14ac:dyDescent="0.25">
      <c r="A4493" s="1" t="s">
        <v>9179</v>
      </c>
      <c r="B4493" t="s">
        <v>9180</v>
      </c>
    </row>
    <row r="4494" spans="1:2" x14ac:dyDescent="0.25">
      <c r="A4494" s="1" t="s">
        <v>9181</v>
      </c>
      <c r="B4494" t="s">
        <v>9182</v>
      </c>
    </row>
    <row r="4495" spans="1:2" x14ac:dyDescent="0.25">
      <c r="A4495" s="1" t="s">
        <v>9183</v>
      </c>
      <c r="B4495" t="s">
        <v>9184</v>
      </c>
    </row>
    <row r="4496" spans="1:2" x14ac:dyDescent="0.25">
      <c r="A4496" s="1" t="s">
        <v>9185</v>
      </c>
      <c r="B4496" t="s">
        <v>9186</v>
      </c>
    </row>
    <row r="4497" spans="1:2" x14ac:dyDescent="0.25">
      <c r="A4497" s="1" t="s">
        <v>9187</v>
      </c>
      <c r="B4497" t="s">
        <v>9188</v>
      </c>
    </row>
    <row r="4498" spans="1:2" x14ac:dyDescent="0.25">
      <c r="A4498" s="1" t="s">
        <v>9189</v>
      </c>
      <c r="B4498" t="s">
        <v>9190</v>
      </c>
    </row>
    <row r="4499" spans="1:2" x14ac:dyDescent="0.25">
      <c r="A4499" s="1" t="s">
        <v>3103</v>
      </c>
      <c r="B4499" t="s">
        <v>9191</v>
      </c>
    </row>
    <row r="4500" spans="1:2" x14ac:dyDescent="0.25">
      <c r="A4500" s="1" t="s">
        <v>6499</v>
      </c>
      <c r="B4500" t="s">
        <v>9192</v>
      </c>
    </row>
    <row r="4501" spans="1:2" x14ac:dyDescent="0.25">
      <c r="A4501" s="1" t="s">
        <v>2641</v>
      </c>
      <c r="B4501" t="s">
        <v>9193</v>
      </c>
    </row>
    <row r="4502" spans="1:2" x14ac:dyDescent="0.25">
      <c r="A4502" s="1" t="s">
        <v>2802</v>
      </c>
      <c r="B4502" t="s">
        <v>9194</v>
      </c>
    </row>
    <row r="4503" spans="1:2" x14ac:dyDescent="0.25">
      <c r="A4503" s="1" t="s">
        <v>5902</v>
      </c>
      <c r="B4503" t="s">
        <v>9195</v>
      </c>
    </row>
    <row r="4504" spans="1:2" x14ac:dyDescent="0.25">
      <c r="A4504" s="1" t="s">
        <v>5071</v>
      </c>
      <c r="B4504" t="s">
        <v>9196</v>
      </c>
    </row>
    <row r="4505" spans="1:2" x14ac:dyDescent="0.25">
      <c r="A4505" s="1" t="s">
        <v>3067</v>
      </c>
      <c r="B4505" t="s">
        <v>9197</v>
      </c>
    </row>
    <row r="4506" spans="1:2" x14ac:dyDescent="0.25">
      <c r="A4506" s="1" t="s">
        <v>6517</v>
      </c>
      <c r="B4506" t="s">
        <v>9198</v>
      </c>
    </row>
    <row r="4507" spans="1:2" x14ac:dyDescent="0.25">
      <c r="A4507" s="1" t="s">
        <v>9199</v>
      </c>
      <c r="B4507" t="s">
        <v>9200</v>
      </c>
    </row>
    <row r="4508" spans="1:2" x14ac:dyDescent="0.25">
      <c r="A4508" s="1" t="s">
        <v>3527</v>
      </c>
      <c r="B4508" t="s">
        <v>9201</v>
      </c>
    </row>
    <row r="4509" spans="1:2" x14ac:dyDescent="0.25">
      <c r="A4509" s="1" t="s">
        <v>1320</v>
      </c>
      <c r="B4509" t="s">
        <v>9202</v>
      </c>
    </row>
    <row r="4510" spans="1:2" x14ac:dyDescent="0.25">
      <c r="A4510" s="1" t="s">
        <v>9203</v>
      </c>
      <c r="B4510" t="s">
        <v>9204</v>
      </c>
    </row>
    <row r="4511" spans="1:2" x14ac:dyDescent="0.25">
      <c r="A4511" s="1" t="s">
        <v>2579</v>
      </c>
      <c r="B4511" t="s">
        <v>9205</v>
      </c>
    </row>
    <row r="4512" spans="1:2" x14ac:dyDescent="0.25">
      <c r="A4512" s="1" t="s">
        <v>3051</v>
      </c>
      <c r="B4512" t="s">
        <v>9206</v>
      </c>
    </row>
    <row r="4513" spans="1:2" x14ac:dyDescent="0.25">
      <c r="A4513" s="1" t="s">
        <v>2196</v>
      </c>
      <c r="B4513" t="s">
        <v>9207</v>
      </c>
    </row>
    <row r="4514" spans="1:2" x14ac:dyDescent="0.25">
      <c r="A4514" s="1" t="s">
        <v>1470</v>
      </c>
      <c r="B4514" t="s">
        <v>9208</v>
      </c>
    </row>
    <row r="4515" spans="1:2" x14ac:dyDescent="0.25">
      <c r="A4515" s="1" t="s">
        <v>9209</v>
      </c>
      <c r="B4515" t="s">
        <v>9210</v>
      </c>
    </row>
    <row r="4516" spans="1:2" x14ac:dyDescent="0.25">
      <c r="A4516" s="1" t="s">
        <v>9211</v>
      </c>
      <c r="B4516" t="s">
        <v>9212</v>
      </c>
    </row>
    <row r="4517" spans="1:2" x14ac:dyDescent="0.25">
      <c r="A4517" s="1" t="s">
        <v>2355</v>
      </c>
      <c r="B4517" t="s">
        <v>9213</v>
      </c>
    </row>
    <row r="4518" spans="1:2" x14ac:dyDescent="0.25">
      <c r="A4518" s="1" t="s">
        <v>9214</v>
      </c>
      <c r="B4518" t="s">
        <v>9215</v>
      </c>
    </row>
    <row r="4519" spans="1:2" x14ac:dyDescent="0.25">
      <c r="A4519" s="1" t="s">
        <v>5398</v>
      </c>
      <c r="B4519" t="s">
        <v>9216</v>
      </c>
    </row>
    <row r="4520" spans="1:2" x14ac:dyDescent="0.25">
      <c r="A4520" s="1" t="s">
        <v>3534</v>
      </c>
      <c r="B4520" t="s">
        <v>9063</v>
      </c>
    </row>
    <row r="4521" spans="1:2" x14ac:dyDescent="0.25">
      <c r="A4521" s="1" t="s">
        <v>9217</v>
      </c>
      <c r="B4521" t="s">
        <v>9218</v>
      </c>
    </row>
    <row r="4522" spans="1:2" x14ac:dyDescent="0.25">
      <c r="A4522" s="1" t="s">
        <v>9219</v>
      </c>
      <c r="B4522" t="s">
        <v>9220</v>
      </c>
    </row>
    <row r="4523" spans="1:2" x14ac:dyDescent="0.25">
      <c r="A4523" s="1" t="s">
        <v>1340</v>
      </c>
      <c r="B4523" t="s">
        <v>9059</v>
      </c>
    </row>
    <row r="4524" spans="1:2" x14ac:dyDescent="0.25">
      <c r="A4524" s="1" t="s">
        <v>1494</v>
      </c>
      <c r="B4524" t="s">
        <v>9058</v>
      </c>
    </row>
    <row r="4525" spans="1:2" x14ac:dyDescent="0.25">
      <c r="A4525" s="1" t="s">
        <v>9056</v>
      </c>
      <c r="B4525" t="s">
        <v>9057</v>
      </c>
    </row>
    <row r="4526" spans="1:2" x14ac:dyDescent="0.25">
      <c r="A4526" s="22" t="s">
        <v>9221</v>
      </c>
      <c r="B4526" t="s">
        <v>9222</v>
      </c>
    </row>
    <row r="4527" spans="1:2" x14ac:dyDescent="0.25">
      <c r="A4527" s="22" t="s">
        <v>9224</v>
      </c>
      <c r="B4527" t="s">
        <v>9225</v>
      </c>
    </row>
    <row r="4528" spans="1:2" x14ac:dyDescent="0.25">
      <c r="A4528" s="22" t="s">
        <v>9228</v>
      </c>
      <c r="B4528" t="s">
        <v>9229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/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16"/>
  <sheetViews>
    <sheetView showGridLines="0" tabSelected="1" topLeftCell="B1" zoomScaleNormal="100" workbookViewId="0">
      <selection activeCell="F11" sqref="F11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7" customFormat="1" ht="44.25" customHeight="1" x14ac:dyDescent="0.2">
      <c r="A1" s="89"/>
      <c r="B1" s="134"/>
      <c r="C1" s="135"/>
      <c r="D1" s="132" t="s">
        <v>8954</v>
      </c>
      <c r="E1" s="133"/>
      <c r="F1" s="133"/>
      <c r="I1" s="88"/>
    </row>
    <row r="3" spans="1:10 16383:16383" ht="21.75" customHeight="1" x14ac:dyDescent="0.25">
      <c r="D3" s="84" t="s">
        <v>8573</v>
      </c>
      <c r="E3" s="85" t="s">
        <v>7944</v>
      </c>
      <c r="F3" s="86" t="s">
        <v>8775</v>
      </c>
      <c r="G3" s="76"/>
      <c r="H3" s="84" t="s">
        <v>8776</v>
      </c>
      <c r="I3" s="85" t="s">
        <v>8757</v>
      </c>
      <c r="XFC3" t="s">
        <v>7944</v>
      </c>
    </row>
    <row r="4" spans="1:10 16383:16383" ht="18" customHeight="1" x14ac:dyDescent="0.25">
      <c r="D4" s="91" t="s">
        <v>8758</v>
      </c>
      <c r="E4" s="92">
        <f>ROUND(SUMIFS(Tabla3[[#All],[V GRAVADAS]],Tabla3[[#All],[MES]],Tabla7[[#Headers],[ENERO]])/(1.13),2)</f>
        <v>0</v>
      </c>
      <c r="F4" s="93"/>
      <c r="G4" s="110"/>
      <c r="H4" s="91" t="s">
        <v>8759</v>
      </c>
      <c r="I4" s="115">
        <f>ROUND(F7*0.13-F11*0.13-E13-E14,2)</f>
        <v>324.52</v>
      </c>
      <c r="XFC4" t="s">
        <v>7981</v>
      </c>
    </row>
    <row r="5" spans="1:10 16383:16383" ht="18" customHeight="1" x14ac:dyDescent="0.25">
      <c r="D5" s="91" t="s">
        <v>8760</v>
      </c>
      <c r="E5" s="92">
        <f>ROUND(SUMIFS(Tabla2[[#All],[V. GRAVADA]],Tabla2[[#All],[MES]],Tabla7[[#Headers],[ENERO]],Tabla2[[#All],[TIPO DE DOC]],3),2)</f>
        <v>2806</v>
      </c>
      <c r="F5" s="93"/>
      <c r="G5" s="76"/>
      <c r="H5" s="91" t="s">
        <v>8761</v>
      </c>
      <c r="I5" s="101">
        <f>ROUND(F7*0.0175,2)+E15</f>
        <v>49.11</v>
      </c>
      <c r="XFC5" t="s">
        <v>8153</v>
      </c>
    </row>
    <row r="6" spans="1:10 16383:16383" ht="18" customHeight="1" x14ac:dyDescent="0.25">
      <c r="D6" s="91" t="s">
        <v>8762</v>
      </c>
      <c r="E6" s="92">
        <f>ROUND(SUMIFS(Tabla2[[#All],[V. GRAVADA]],Tabla2[[#All],[MES]],Tabla7[[#Headers],[ENERO]],Tabla2[[#All],[TIPO DE DOC]],5),2)</f>
        <v>0</v>
      </c>
      <c r="F6" s="93"/>
      <c r="G6" s="110"/>
      <c r="H6" s="108" t="s">
        <v>8763</v>
      </c>
      <c r="I6" s="102">
        <f>SUM(I4:I5)</f>
        <v>373.63</v>
      </c>
      <c r="XFC6" t="s">
        <v>8265</v>
      </c>
    </row>
    <row r="7" spans="1:10 16383:16383" ht="18" customHeight="1" x14ac:dyDescent="0.25">
      <c r="D7" s="119" t="s">
        <v>8773</v>
      </c>
      <c r="E7" s="120"/>
      <c r="F7" s="121">
        <f>+E4+E5-E6</f>
        <v>2806</v>
      </c>
      <c r="G7" s="76"/>
      <c r="H7" s="82"/>
      <c r="I7" s="83"/>
      <c r="XFC7" t="s">
        <v>8322</v>
      </c>
    </row>
    <row r="8" spans="1:10 16383:16383" ht="18" customHeight="1" x14ac:dyDescent="0.25">
      <c r="D8" s="91" t="s">
        <v>8764</v>
      </c>
      <c r="E8" s="92">
        <f>SUMIFS(Tabla1[[#All],[C. GRAVADA]],Tabla1[[#All],[MES]],Tabla7[[#Headers],[ENERO]],Tabla1[[#All],[TIPO DE DOC]],"03")</f>
        <v>93.83</v>
      </c>
      <c r="F8" s="94"/>
      <c r="G8" s="110"/>
      <c r="H8" s="76"/>
      <c r="I8" s="77"/>
      <c r="J8" s="15"/>
      <c r="XFC8" t="s">
        <v>8323</v>
      </c>
    </row>
    <row r="9" spans="1:10 16383:16383" ht="18" customHeight="1" x14ac:dyDescent="0.25">
      <c r="D9" s="91" t="s">
        <v>8765</v>
      </c>
      <c r="E9" s="92">
        <f>SUMIFS(Tabla1[[#All],[IMPOR BIENES]],Tabla1[[#All],[MES]],Tabla7[[#Headers],[ENERO]],Tabla1[[#All],[TIPO DE DOC]],12)</f>
        <v>0</v>
      </c>
      <c r="F9" s="94"/>
      <c r="G9" s="110"/>
      <c r="H9" s="76"/>
      <c r="I9" s="77"/>
      <c r="J9" s="15"/>
      <c r="XFC9" t="s">
        <v>8324</v>
      </c>
    </row>
    <row r="10" spans="1:10 16383:16383" ht="18" customHeight="1" x14ac:dyDescent="0.25">
      <c r="D10" s="91" t="s">
        <v>8766</v>
      </c>
      <c r="E10" s="92">
        <f>SUMIFS(Tabla1[[#All],[C. GRAVADA]],Tabla1[[#All],[MES]],Tabla7[[#Headers],[ENERO]],Tabla1[[#All],[TIPO DE DOC]],"05")</f>
        <v>0</v>
      </c>
      <c r="F10" s="95"/>
      <c r="XFC10" t="s">
        <v>8325</v>
      </c>
    </row>
    <row r="11" spans="1:10 16383:16383" ht="18" customHeight="1" x14ac:dyDescent="0.25">
      <c r="D11" s="119" t="s">
        <v>8774</v>
      </c>
      <c r="E11" s="120"/>
      <c r="F11" s="121">
        <f>IFERROR(+E8+E9-E10,"")</f>
        <v>93.83</v>
      </c>
      <c r="G11" s="15"/>
      <c r="XFC11" t="s">
        <v>8326</v>
      </c>
    </row>
    <row r="12" spans="1:10 16383:16383" ht="18" customHeight="1" x14ac:dyDescent="0.25">
      <c r="D12" s="91" t="s">
        <v>8767</v>
      </c>
      <c r="E12" s="92">
        <f>SUMIFS(Tabla1[[#All],[C. EXENTAS]],Tabla1[[#All],[MES]],Tabla7[[#Headers],[ENERO]],Tabla1[[#All],[TIPO DE DOC]],"03")</f>
        <v>6.2799999999999994</v>
      </c>
      <c r="F12" s="96"/>
      <c r="G12" s="15"/>
      <c r="XFC12" t="s">
        <v>8327</v>
      </c>
    </row>
    <row r="13" spans="1:10 16383:16383" ht="18" customHeight="1" x14ac:dyDescent="0.25">
      <c r="D13" s="91" t="s">
        <v>8768</v>
      </c>
      <c r="E13" s="92">
        <f>SUMIFS(Tabla1[[#All],[PERCEPCIONES]],Tabla1[[#All],[MES]],Tabla7[[#Headers],[ENERO]],Tabla1[[#All],[TIPO DE DOC]],"03")</f>
        <v>0</v>
      </c>
      <c r="F13" s="97"/>
      <c r="XFC13" t="s">
        <v>8328</v>
      </c>
    </row>
    <row r="14" spans="1:10 16383:16383" ht="18" customHeight="1" x14ac:dyDescent="0.25">
      <c r="D14" s="91" t="s">
        <v>8769</v>
      </c>
      <c r="E14" s="92">
        <f>SUMIFS(Tabla6[[#Headers],[#Data],[Monto Retención 1%]],Tabla6[[#Headers],[#Data],[Mes]],Tabla7[[#Headers],[ENERO]])</f>
        <v>28.060000000000002</v>
      </c>
      <c r="F14" s="98"/>
      <c r="XFC14" t="s">
        <v>8329</v>
      </c>
    </row>
    <row r="15" spans="1:10 16383:16383" ht="18" customHeight="1" x14ac:dyDescent="0.25">
      <c r="D15" s="99" t="s">
        <v>8770</v>
      </c>
      <c r="E15" s="100">
        <f>+Tabla9[[#Totals],[IMPUESTO RETENIDO ]]</f>
        <v>0</v>
      </c>
      <c r="F15" s="96"/>
    </row>
    <row r="16" spans="1:10 16383:16383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2024-02-16T20:51:50Z</dcterms:modified>
</cp:coreProperties>
</file>