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OSE ARISTIDES\2024\"/>
    </mc:Choice>
  </mc:AlternateContent>
  <xr:revisionPtr revIDLastSave="0" documentId="13_ncr:1_{F0790090-BA81-425A-8A30-9EEEF4D60122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RETENCIONES'!$A$1:$J$4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6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1" l="1"/>
  <c r="I8" i="6"/>
  <c r="M8" i="6" s="1"/>
  <c r="M7" i="6"/>
  <c r="M6" i="6"/>
  <c r="M5" i="6"/>
  <c r="I4" i="6"/>
  <c r="M4" i="6" s="1"/>
  <c r="M3" i="6"/>
  <c r="E4" i="29" l="1"/>
  <c r="E5" i="29"/>
  <c r="E6" i="29"/>
  <c r="E8" i="29"/>
  <c r="E9" i="29"/>
  <c r="E10" i="29"/>
  <c r="E12" i="29"/>
  <c r="E13" i="29"/>
  <c r="E14" i="29"/>
  <c r="F11" i="29" l="1"/>
  <c r="F7" i="29"/>
  <c r="D9" i="6"/>
  <c r="I4" i="29" l="1"/>
  <c r="D15" i="5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G2" i="30" l="1"/>
  <c r="F2" i="30" s="1"/>
  <c r="I2" i="30"/>
  <c r="H2" i="30" s="1"/>
  <c r="G3" i="30"/>
  <c r="F3" i="30" s="1"/>
  <c r="I3" i="30"/>
  <c r="H3" i="30" s="1"/>
  <c r="I5" i="31" l="1"/>
  <c r="E15" i="29" s="1"/>
  <c r="I5" i="29" s="1"/>
  <c r="I6" i="29" s="1"/>
  <c r="J5" i="31"/>
  <c r="K5" i="31"/>
  <c r="L5" i="31"/>
  <c r="M5" i="31"/>
  <c r="N5" i="31"/>
  <c r="O5" i="31"/>
  <c r="P5" i="31"/>
  <c r="H5" i="31"/>
  <c r="S5" i="31"/>
  <c r="I5" i="13" l="1"/>
  <c r="D17" i="6"/>
  <c r="P5" i="30" l="1"/>
  <c r="N5" i="30"/>
  <c r="M5" i="30"/>
  <c r="L5" i="30"/>
  <c r="K5" i="30"/>
  <c r="E5" i="13" l="1"/>
  <c r="F5" i="13" l="1"/>
  <c r="T1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9" i="7" l="1"/>
  <c r="J5" i="13" l="1"/>
  <c r="H5" i="13"/>
  <c r="M6" i="10" l="1"/>
  <c r="N6" i="10"/>
  <c r="O6" i="10"/>
  <c r="O7" i="10" s="1"/>
  <c r="O8" i="10" s="1"/>
  <c r="P6" i="10"/>
  <c r="Q6" i="10"/>
  <c r="R6" i="10"/>
  <c r="S6" i="10"/>
  <c r="T6" i="10"/>
  <c r="U6" i="10"/>
  <c r="L6" i="10"/>
  <c r="D9" i="9"/>
  <c r="D10" i="9" s="1"/>
  <c r="D11" i="9" s="1"/>
  <c r="D22" i="9" l="1"/>
  <c r="D18" i="5" l="1"/>
  <c r="L12" i="8"/>
  <c r="M12" i="8"/>
  <c r="N12" i="8"/>
  <c r="O12" i="8"/>
  <c r="P12" i="8"/>
  <c r="Q12" i="8"/>
  <c r="K12" i="8"/>
  <c r="J19" i="7" l="1"/>
  <c r="K19" i="7"/>
  <c r="L19" i="7"/>
  <c r="M19" i="7"/>
  <c r="N19" i="7"/>
  <c r="O19" i="7"/>
  <c r="P19" i="7"/>
  <c r="I19" i="7"/>
  <c r="H1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<sst xmlns="http://schemas.openxmlformats.org/spreadsheetml/2006/main" count="26130" uniqueCount="9188">
  <si>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</si>
  <si>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</si>
  <si>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</si>
  <si>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</si>
  <si>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</si>
  <si>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</si>
  <si>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</si>
  <si>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</si>
  <si>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</si>
  <si>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</si>
  <si>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</si>
  <si>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</si>
  <si>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</si>
  <si>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</si>
  <si>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</si>
  <si>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</si>
  <si>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</si>
  <si>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</si>
  <si>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</si>
  <si>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</si>
  <si>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</si>
  <si>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</si>
  <si>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</si>
  <si>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</si>
  <si>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</si>
  <si>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</si>
  <si>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</si>
  <si>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</si>
  <si>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</si>
  <si>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</si>
  <si>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</si>
  <si>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</si>
  <si>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</si>
  <si>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</si>
  <si>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</si>
  <si>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</si>
  <si>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</si>
  <si>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</si>
  <si>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</si>
  <si>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</si>
  <si>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</si>
  <si>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</si>
  <si>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</si>
  <si>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</si>
  <si>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</si>
  <si>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</si>
  <si>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</si>
  <si>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</si>
  <si>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</si>
  <si>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</si>
  <si>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</si>
  <si>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</si>
  <si>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</si>
  <si>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</si>
  <si>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</si>
  <si>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</si>
  <si>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</si>
  <si>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</si>
  <si>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</si>
  <si>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</si>
  <si>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</si>
  <si>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</si>
  <si>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</si>
  <si>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</si>
  <si>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</si>
  <si>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</si>
  <si>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</si>
  <si>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</si>
  <si>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</si>
  <si>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</si>
  <si>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</si>
  <si>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</si>
  <si>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</si>
  <si>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</si>
  <si>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</si>
  <si>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</si>
  <si>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</si>
  <si>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</si>
  <si>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</si>
  <si>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</si>
  <si>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</si>
  <si>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</si>
  <si>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</si>
  <si>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</si>
  <si>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</si>
  <si>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</si>
  <si>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</si>
  <si>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</si>
  <si>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</si>
  <si>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</si>
  <si>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</si>
  <si>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</si>
  <si>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</si>
  <si>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</si>
  <si>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</si>
  <si>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</si>
  <si>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</si>
  <si>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</si>
  <si>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</si>
  <si>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</si>
  <si>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</si>
  <si>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</si>
  <si>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</si>
  <si>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</si>
  <si>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</si>
  <si>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</si>
  <si>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</si>
  <si>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</si>
  <si>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</si>
  <si>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</si>
  <si>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</si>
  <si>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</si>
  <si>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</si>
  <si>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</si>
  <si>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</si>
  <si>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</si>
  <si>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</si>
  <si>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</si>
  <si>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</si>
  <si>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</si>
  <si>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</si>
  <si>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</si>
  <si>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</si>
  <si>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</si>
  <si>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</si>
  <si>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</si>
  <si>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</si>
  <si>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</si>
  <si>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</si>
  <si>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</si>
  <si>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</si>
  <si>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</si>
  <si>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</si>
  <si>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</si>
  <si>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</si>
  <si>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</si>
  <si>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</si>
  <si>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</si>
  <si>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</si>
  <si>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</si>
  <si>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</si>
  <si>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</si>
  <si>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</si>
  <si>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</si>
  <si>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</si>
  <si>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</si>
  <si>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</si>
  <si>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</si>
  <si>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</si>
  <si>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</si>
  <si>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</si>
  <si>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</si>
  <si>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</si>
  <si>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</si>
  <si>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</si>
  <si>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</si>
  <si>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</si>
  <si>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</si>
  <si>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</si>
  <si>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</si>
  <si>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</si>
  <si>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</si>
  <si>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</si>
  <si>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</si>
  <si>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</si>
  <si>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</si>
  <si>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</si>
  <si>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</si>
  <si>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</si>
  <si>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</si>
  <si>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</si>
  <si>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</si>
  <si>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</si>
  <si>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</si>
  <si>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</si>
  <si>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</si>
  <si>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</si>
  <si>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</si>
  <si>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</si>
  <si>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</si>
  <si>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</si>
  <si>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</si>
  <si>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</si>
  <si>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</si>
  <si>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</si>
  <si>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</si>
  <si>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</si>
  <si>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</si>
  <si>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</si>
  <si>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</si>
  <si>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</si>
  <si>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</si>
  <si>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</si>
  <si>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</si>
  <si>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</si>
  <si>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</si>
  <si>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</si>
  <si>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</si>
  <si>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</si>
  <si>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</si>
  <si>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</si>
  <si>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</si>
  <si>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</si>
  <si>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</si>
  <si>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</si>
  <si>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</si>
  <si>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</si>
  <si>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</si>
  <si>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</si>
  <si>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</si>
  <si>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</si>
  <si>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</si>
  <si>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</si>
  <si>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</si>
  <si>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</si>
  <si>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</si>
  <si>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</si>
  <si>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</si>
  <si>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</si>
  <si>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</si>
  <si>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</si>
  <si>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</si>
  <si>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</si>
  <si>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</si>
  <si>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</si>
  <si>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</si>
  <si>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</si>
  <si>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</si>
  <si>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</si>
  <si>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</si>
  <si>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</si>
  <si>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</si>
  <si>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</si>
  <si>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</si>
  <si>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</si>
  <si>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</si>
  <si>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</si>
  <si>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</si>
  <si>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</si>
  <si>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</si>
  <si>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</si>
  <si>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</si>
  <si>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</si>
  <si>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</si>
  <si>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</si>
  <si>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</si>
  <si>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</si>
  <si>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</si>
  <si>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</si>
  <si>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</si>
  <si>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</si>
  <si>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</si>
  <si>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</si>
  <si>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</si>
  <si>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</si>
  <si>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</si>
  <si>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</si>
  <si>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</si>
  <si>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</si>
  <si>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</si>
  <si>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</si>
  <si>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</si>
  <si>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</si>
  <si>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</si>
  <si>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</si>
  <si>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</si>
  <si>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</si>
  <si>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</si>
  <si>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</si>
  <si>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</si>
  <si>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</si>
  <si>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</si>
  <si>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</si>
  <si>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</si>
  <si>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</si>
  <si>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</si>
  <si>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</si>
  <si>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</si>
  <si>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</si>
  <si>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</si>
  <si>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</si>
  <si>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</si>
  <si>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</si>
  <si>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</si>
  <si>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</si>
  <si>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</si>
  <si>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</si>
  <si>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</si>
  <si>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</si>
  <si>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</si>
  <si>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</si>
  <si>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</si>
  <si>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</si>
  <si>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</si>
  <si>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</si>
  <si>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</si>
  <si>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</si>
  <si>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</si>
  <si>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</si>
  <si>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</si>
  <si>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</si>
  <si>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</si>
  <si>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</si>
  <si>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</si>
  <si>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</si>
  <si>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</si>
  <si>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</si>
  <si>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</si>
  <si>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</si>
  <si>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</si>
  <si>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</si>
  <si>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</si>
  <si>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</si>
  <si>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</si>
  <si>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</si>
  <si>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</si>
  <si>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</si>
  <si>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</si>
  <si>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</si>
  <si>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</si>
  <si>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</si>
  <si>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</si>
  <si>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</si>
  <si>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</si>
  <si>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</si>
  <si>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</si>
  <si>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</si>
  <si>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</si>
  <si>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</si>
  <si>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</si>
  <si>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</si>
  <si>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</si>
  <si>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</si>
  <si>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</si>
  <si>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</si>
  <si>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</si>
  <si>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</si>
  <si>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</si>
  <si>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</si>
  <si>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</si>
  <si>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</si>
  <si>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</si>
  <si>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</si>
  <si>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</si>
  <si>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</si>
  <si>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</si>
  <si>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</si>
  <si>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</si>
  <si>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</si>
  <si>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</si>
  <si>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</si>
  <si>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</si>
  <si>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</si>
  <si>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</si>
  <si>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</si>
  <si>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</si>
  <si>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</si>
  <si>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</si>
  <si>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</si>
  <si>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</si>
  <si>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</si>
  <si>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</si>
  <si>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</si>
  <si>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</si>
  <si>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</si>
  <si>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</si>
  <si>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</si>
  <si>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</si>
  <si>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</si>
  <si>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</si>
  <si>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</si>
  <si>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</si>
  <si>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</si>
  <si>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</si>
  <si>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</si>
  <si>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</si>
  <si>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</si>
  <si>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</si>
  <si>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</si>
  <si>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</si>
  <si>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</si>
  <si>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</si>
  <si>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</si>
  <si>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</si>
  <si>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</si>
  <si>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</si>
  <si>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</si>
  <si>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</si>
  <si>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</si>
  <si>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</si>
  <si>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</si>
  <si>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</si>
  <si>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</si>
  <si>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</si>
  <si>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</si>
  <si>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</si>
  <si>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</si>
  <si>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</si>
  <si>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</si>
  <si>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</si>
  <si>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</si>
  <si>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</si>
  <si>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</si>
  <si>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</si>
  <si>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</si>
  <si>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</si>
  <si>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</si>
  <si>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</si>
  <si>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</si>
  <si>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</si>
  <si>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</si>
  <si>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</si>
  <si>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</si>
  <si>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</si>
  <si>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</si>
  <si>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</si>
  <si>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</si>
  <si>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</si>
  <si>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</si>
  <si>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</si>
  <si>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</si>
  <si>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</si>
  <si>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</si>
  <si>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</si>
  <si>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</si>
  <si>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</si>
  <si>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</si>
  <si>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</si>
  <si>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</si>
  <si>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</si>
  <si>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</si>
  <si>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</si>
  <si>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</si>
  <si>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</si>
  <si>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</si>
  <si>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</si>
  <si>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</si>
  <si>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</si>
  <si>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</si>
  <si>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</si>
  <si>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</si>
  <si>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</si>
  <si>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</si>
  <si>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</si>
  <si>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</si>
  <si>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</si>
  <si>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</si>
  <si>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</si>
  <si>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</si>
  <si>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</si>
  <si>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</si>
  <si>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</si>
  <si>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</si>
  <si>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</si>
  <si>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</si>
  <si>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</si>
  <si>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</si>
  <si>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</si>
  <si>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</si>
  <si>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</si>
  <si>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</si>
  <si>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</si>
  <si>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</si>
  <si>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</si>
  <si>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</si>
  <si>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</si>
  <si>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</si>
  <si>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</si>
  <si>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</si>
  <si>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</si>
  <si>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</si>
  <si>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</si>
  <si>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</si>
  <si>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</si>
  <si>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</si>
  <si>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</si>
  <si>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</si>
  <si>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</si>
  <si>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</si>
  <si>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</si>
  <si>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</si>
  <si>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</si>
  <si>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</si>
  <si>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</si>
  <si>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</si>
  <si>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</si>
  <si>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</si>
  <si>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</si>
  <si>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</si>
  <si>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</si>
  <si>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</si>
  <si>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</si>
  <si>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</si>
  <si>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</si>
  <si>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</si>
  <si>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</si>
  <si>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</si>
  <si>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</si>
  <si>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</si>
  <si>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</si>
  <si>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</si>
  <si>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</si>
  <si>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</si>
  <si>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</si>
  <si>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</si>
  <si>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</si>
  <si>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</si>
  <si>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</si>
  <si>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</si>
  <si>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</si>
  <si>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</si>
  <si>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</si>
  <si>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</si>
  <si>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</si>
  <si>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</si>
  <si>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</si>
  <si>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</si>
  <si>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</si>
  <si>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</si>
  <si>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</si>
  <si>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</si>
  <si>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</si>
  <si>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</si>
  <si>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</si>
  <si>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</si>
  <si>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</si>
  <si>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</si>
  <si>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</si>
  <si>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</si>
  <si>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</si>
  <si>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</si>
  <si>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</si>
  <si>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</si>
  <si>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</si>
  <si>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</si>
  <si>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</si>
  <si>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</si>
  <si>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</si>
  <si>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</si>
  <si>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</si>
  <si>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</si>
  <si>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</si>
  <si>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</si>
  <si>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</si>
  <si>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</si>
  <si>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</si>
  <si>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</si>
  <si>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</si>
  <si>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</si>
  <si>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</si>
  <si>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</si>
  <si>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</si>
  <si>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</si>
  <si>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</si>
  <si>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</si>
  <si>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</si>
  <si>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</si>
  <si>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</si>
  <si>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</si>
  <si>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</si>
  <si>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</si>
  <si>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</si>
  <si>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</si>
  <si>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</si>
  <si>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</si>
  <si>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</si>
  <si>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</si>
  <si>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</si>
  <si>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</si>
  <si>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</si>
  <si>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</si>
  <si>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</si>
  <si>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</si>
  <si>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</si>
  <si>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</si>
  <si>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</si>
  <si>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</si>
  <si>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</si>
  <si>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</si>
  <si>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</si>
  <si>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</si>
  <si>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</si>
  <si>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</si>
  <si>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</si>
  <si>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</si>
  <si>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</si>
  <si>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</si>
  <si>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</si>
  <si>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</si>
  <si>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</si>
  <si>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</si>
  <si>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</si>
  <si>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</si>
  <si>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</si>
  <si>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</si>
  <si>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</si>
  <si>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</si>
  <si>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</si>
  <si>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</si>
  <si>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</si>
  <si>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</si>
  <si>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</si>
  <si>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</si>
  <si>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</si>
  <si>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</si>
  <si>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</si>
  <si>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</si>
  <si>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</si>
  <si>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</si>
  <si>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</si>
  <si>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</si>
  <si>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</si>
  <si>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</si>
  <si>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</si>
  <si>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</si>
  <si>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</si>
  <si>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</si>
  <si>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</si>
  <si>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</si>
  <si>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</si>
  <si>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</si>
  <si>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</si>
  <si>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</si>
  <si>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</si>
  <si>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</si>
  <si>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</si>
  <si>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</si>
  <si>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</si>
  <si>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</si>
  <si>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</si>
  <si>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</si>
  <si>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</si>
  <si>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</si>
  <si>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</si>
  <si>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</si>
  <si>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</si>
  <si>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</si>
  <si>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</si>
  <si>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</si>
  <si>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</si>
  <si>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</si>
  <si>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</si>
  <si>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</si>
  <si>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</si>
  <si>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</si>
  <si>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</si>
  <si>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</si>
  <si>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</si>
  <si>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</si>
  <si>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</si>
  <si>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</si>
  <si>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</si>
  <si>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</si>
  <si>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</si>
  <si>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</si>
  <si>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</si>
  <si>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</si>
  <si>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</si>
  <si>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</si>
  <si>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</si>
  <si>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</si>
  <si>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</si>
  <si>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</si>
  <si>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</si>
  <si>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</si>
  <si>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</si>
  <si>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</si>
  <si>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</si>
  <si>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</si>
  <si>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</si>
  <si>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</si>
  <si>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</si>
  <si>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</si>
  <si>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</si>
  <si>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</si>
  <si>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</si>
  <si>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</si>
  <si>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</si>
  <si>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</si>
  <si>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</si>
  <si>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</si>
  <si>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</si>
  <si>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</si>
  <si>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</si>
  <si>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</si>
  <si>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</si>
  <si>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</si>
  <si>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</si>
  <si>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</si>
  <si>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</si>
  <si>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</si>
  <si>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</si>
  <si>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</si>
  <si>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</si>
  <si>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</si>
  <si>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</si>
  <si>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</si>
  <si>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</si>
  <si>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</si>
  <si>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</si>
  <si>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</si>
  <si>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</si>
  <si>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</si>
  <si>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</si>
  <si>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</si>
  <si>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</si>
  <si>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</si>
  <si>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</si>
  <si>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</si>
  <si>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</si>
  <si>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</si>
  <si>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</si>
  <si>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</si>
  <si>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</si>
  <si>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</si>
  <si>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</si>
  <si>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</si>
  <si>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</si>
  <si>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</si>
  <si>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</si>
  <si>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</si>
  <si>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</si>
  <si>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</si>
  <si>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</si>
  <si>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</si>
  <si>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</si>
  <si>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</si>
  <si>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</si>
  <si>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</si>
  <si>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</si>
  <si>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</si>
  <si>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</si>
  <si>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</si>
  <si>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</si>
  <si>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</si>
  <si>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</si>
  <si>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</si>
  <si>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</si>
  <si>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</si>
  <si>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</si>
  <si>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</si>
  <si>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</si>
  <si>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</si>
  <si>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</si>
  <si>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</si>
  <si>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</si>
  <si>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</si>
  <si>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</si>
  <si>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</si>
  <si>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</si>
  <si>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</si>
  <si>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</si>
  <si>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</si>
  <si>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</si>
  <si>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</si>
  <si>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</si>
  <si>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</si>
  <si>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</si>
  <si>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</si>
  <si>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</si>
  <si>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</si>
  <si>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</si>
  <si>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</si>
  <si>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</si>
  <si>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</si>
  <si>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</si>
  <si>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</si>
  <si>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</si>
  <si>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</si>
  <si>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</si>
  <si>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</si>
  <si>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</si>
  <si>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</si>
  <si>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</si>
  <si>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</si>
  <si>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</si>
  <si>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</si>
  <si>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</si>
  <si>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</si>
  <si>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</si>
  <si>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</si>
  <si>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</si>
  <si>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</si>
  <si>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</si>
  <si>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</si>
  <si>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</si>
  <si>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</si>
  <si>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</si>
  <si>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</si>
  <si>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</si>
  <si>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</si>
  <si>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</si>
  <si>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</si>
  <si>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</si>
  <si>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</si>
  <si>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</si>
  <si>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</si>
  <si>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</si>
  <si>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</si>
  <si>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</si>
  <si>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</si>
  <si>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</si>
  <si>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</si>
  <si>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</si>
  <si>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</si>
  <si>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</si>
  <si>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</si>
  <si>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</si>
  <si>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</si>
  <si>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</si>
  <si>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</si>
  <si>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</si>
  <si>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</si>
  <si>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</si>
  <si>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</si>
  <si>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</si>
  <si>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</si>
  <si>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</si>
  <si>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</si>
  <si>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</si>
  <si>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</si>
  <si>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</si>
  <si>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</si>
  <si>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</si>
  <si>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</si>
  <si>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</si>
  <si>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</si>
  <si>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</si>
  <si>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</si>
  <si>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</si>
  <si>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</si>
  <si>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</si>
  <si>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</si>
  <si>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</si>
  <si>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</si>
  <si>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</si>
  <si>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</si>
  <si>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</si>
  <si>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</si>
  <si>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</si>
  <si>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</si>
  <si>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</si>
  <si>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</si>
  <si>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</si>
  <si>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</si>
  <si>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</si>
  <si>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</si>
  <si>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</si>
  <si>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</si>
  <si>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</si>
  <si>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</si>
  <si>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</si>
  <si>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</si>
  <si>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</si>
  <si>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</si>
  <si>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</si>
  <si>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</si>
  <si>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</si>
  <si>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</si>
  <si>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</si>
  <si>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</si>
  <si>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</si>
  <si>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</si>
  <si>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</si>
  <si>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</si>
  <si>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</si>
  <si>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</si>
  <si>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</si>
  <si>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</si>
  <si>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</si>
  <si>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</si>
  <si>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</si>
  <si>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</si>
  <si>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</si>
  <si>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</si>
  <si>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</si>
  <si>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</si>
  <si>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</si>
  <si>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</si>
  <si>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</si>
  <si>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</si>
  <si>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</si>
  <si>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</si>
  <si>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</si>
  <si>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</si>
  <si>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</si>
  <si>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</si>
  <si>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</si>
  <si>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</si>
  <si>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</si>
  <si>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</si>
  <si>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</si>
  <si>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</si>
  <si>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</si>
  <si>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</si>
  <si>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</si>
  <si>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</si>
  <si>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</si>
  <si>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</si>
  <si>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</si>
  <si>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</si>
  <si>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</si>
  <si>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</si>
  <si>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</si>
  <si>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</si>
  <si>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</si>
  <si>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</si>
  <si>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</si>
  <si>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</si>
  <si>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</si>
  <si>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</si>
  <si>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</si>
  <si>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</si>
  <si>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</si>
  <si>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</si>
  <si>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</si>
  <si>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</si>
  <si>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</si>
  <si>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</si>
  <si>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</si>
  <si>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</si>
  <si>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</si>
  <si>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</si>
  <si>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</si>
  <si>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</si>
  <si>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</si>
  <si>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</si>
  <si>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</si>
  <si>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</si>
  <si>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</si>
  <si>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</si>
  <si>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</si>
  <si>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</si>
  <si>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</si>
  <si>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</si>
  <si>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</si>
  <si>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</si>
  <si>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</si>
  <si>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</si>
  <si>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</si>
  <si>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</si>
  <si>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</si>
  <si>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</si>
  <si>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</si>
  <si>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</si>
  <si>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</si>
  <si>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</si>
  <si>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</si>
  <si>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</si>
  <si>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</si>
  <si>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</si>
  <si>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</si>
  <si>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</si>
  <si>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</si>
  <si>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</si>
  <si>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</si>
  <si>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</si>
  <si>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</si>
  <si>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</si>
  <si>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</si>
  <si>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</si>
  <si>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</si>
  <si>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</si>
  <si>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</si>
  <si>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</si>
  <si>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</si>
  <si>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</si>
  <si>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</si>
  <si>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</si>
  <si>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</si>
  <si>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</si>
  <si>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</si>
  <si>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</si>
  <si>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</si>
  <si>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</si>
  <si>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</si>
  <si>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</si>
  <si>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</si>
  <si>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</si>
  <si>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</si>
  <si>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</si>
  <si>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</si>
  <si>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</si>
  <si>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</si>
  <si>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</si>
  <si>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</si>
  <si>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</si>
  <si>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</si>
  <si>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</si>
  <si>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</si>
  <si>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</si>
  <si>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</si>
  <si>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</si>
  <si>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</si>
  <si>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</si>
  <si>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</si>
  <si>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</si>
  <si>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</si>
  <si>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</si>
  <si>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</si>
  <si>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</si>
  <si>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</si>
  <si>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</si>
  <si>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</si>
  <si>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</si>
  <si>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</si>
  <si>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</si>
  <si>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</si>
  <si>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</si>
  <si>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</si>
  <si>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</si>
  <si>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</si>
  <si>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</si>
  <si>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</si>
  <si>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</si>
  <si>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</si>
  <si>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</si>
  <si>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</si>
  <si>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</si>
  <si>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</si>
  <si>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</si>
  <si>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</si>
  <si>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</si>
  <si>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</si>
  <si>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</si>
  <si>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</si>
  <si>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</si>
  <si>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</si>
  <si>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</si>
  <si>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</si>
  <si>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</si>
  <si>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</si>
  <si>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</si>
  <si>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</si>
  <si>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</si>
  <si>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</si>
  <si>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</si>
  <si>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</si>
  <si>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</si>
  <si>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</si>
  <si>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</si>
  <si>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</si>
  <si>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</si>
  <si>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</si>
  <si>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</si>
  <si>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</si>
  <si>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</si>
  <si>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</si>
  <si>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</si>
  <si>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</si>
  <si>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</si>
  <si>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</si>
  <si>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</si>
  <si>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</si>
  <si>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</si>
  <si>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</si>
  <si>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</si>
  <si>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</si>
  <si>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</si>
  <si>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</si>
  <si>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</si>
  <si>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</si>
  <si>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</si>
  <si>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</si>
  <si>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</si>
  <si>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</si>
  <si>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</si>
  <si>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</si>
  <si>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</si>
  <si>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</si>
  <si>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</si>
  <si>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</si>
  <si>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</si>
  <si>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</si>
  <si>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</si>
  <si>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</si>
  <si>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</si>
  <si>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</si>
  <si>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</si>
  <si>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</si>
  <si>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</si>
  <si>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</si>
  <si>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</si>
  <si>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</si>
  <si>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</si>
  <si>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</si>
  <si>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</si>
  <si>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</si>
  <si>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</si>
  <si>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</si>
  <si>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</si>
  <si>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</si>
  <si>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</si>
  <si>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</si>
  <si>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</si>
  <si>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</si>
  <si>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</si>
  <si>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</si>
  <si>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</si>
  <si>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</si>
  <si>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</si>
  <si>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</si>
  <si>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</si>
  <si>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</si>
  <si>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</si>
  <si>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</si>
  <si>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</si>
  <si>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</si>
  <si>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</si>
  <si>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</si>
  <si>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</si>
  <si>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</si>
  <si>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</si>
  <si>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</si>
  <si>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</si>
  <si>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</si>
  <si>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</si>
  <si>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</si>
  <si>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</si>
  <si>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</si>
  <si>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</si>
  <si>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</si>
  <si>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</si>
  <si>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</si>
  <si>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</si>
  <si>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</si>
  <si>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</si>
  <si>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</si>
  <si>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</si>
  <si>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</si>
  <si>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</si>
  <si>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</si>
  <si>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</si>
  <si>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</si>
  <si>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</si>
  <si>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</si>
  <si>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</si>
  <si>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</si>
  <si>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</si>
  <si>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</si>
  <si>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</si>
  <si>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</si>
  <si>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</si>
  <si>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</si>
  <si>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</si>
  <si>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</si>
  <si>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</si>
  <si>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</si>
  <si>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</si>
  <si>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</si>
  <si>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</si>
  <si>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</si>
  <si>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</si>
  <si>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</si>
  <si>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</si>
  <si>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</si>
  <si>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</si>
  <si>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</si>
  <si>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</si>
  <si>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</si>
  <si>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</si>
  <si>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</si>
  <si>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</si>
  <si>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</si>
  <si>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</si>
  <si>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</si>
  <si>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</si>
  <si>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</si>
  <si>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</si>
  <si>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</si>
  <si>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</si>
  <si>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</si>
  <si>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</si>
  <si>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</si>
  <si>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</si>
  <si>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</si>
  <si>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</si>
  <si>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</si>
  <si>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</si>
  <si>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</si>
  <si>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</si>
  <si>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</si>
  <si>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</si>
  <si>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</si>
  <si>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</si>
  <si>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</si>
  <si>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</si>
  <si>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</si>
  <si>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</si>
  <si>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</si>
  <si>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</si>
  <si>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</si>
  <si>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</si>
  <si>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</si>
  <si>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</si>
  <si>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</si>
  <si>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</si>
  <si>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</si>
  <si>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</si>
  <si>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</si>
  <si>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</si>
  <si>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</si>
  <si>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</si>
  <si>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</si>
  <si>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</si>
  <si>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</si>
  <si>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</si>
  <si>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</si>
  <si>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</si>
  <si>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</si>
  <si>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</si>
  <si>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</si>
  <si>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</si>
  <si>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</si>
  <si>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</si>
  <si>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</si>
  <si>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</si>
  <si>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</si>
  <si>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</si>
  <si>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</si>
  <si>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</si>
  <si>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</si>
  <si>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</si>
  <si>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</si>
  <si>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</si>
  <si>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</si>
  <si>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</si>
  <si>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</si>
  <si>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</si>
  <si>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</si>
  <si>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</si>
  <si>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</si>
  <si>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</si>
  <si>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</si>
  <si>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</si>
  <si>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</si>
  <si>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</si>
  <si>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</si>
  <si>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</si>
  <si>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</si>
  <si>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</si>
  <si>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</si>
  <si>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</si>
  <si>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</si>
  <si>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</si>
  <si>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</si>
  <si>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</si>
  <si>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</si>
  <si>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</si>
  <si>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</si>
  <si>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</si>
  <si>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</si>
  <si>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</si>
  <si>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</si>
  <si>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</si>
  <si>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</si>
  <si>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</si>
  <si>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</si>
  <si>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</si>
  <si>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</si>
  <si>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</si>
  <si>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</si>
  <si>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</si>
  <si>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</si>
  <si>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</si>
  <si>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</si>
  <si>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</si>
  <si>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</si>
  <si>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</si>
  <si>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</si>
  <si>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</si>
  <si>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</si>
  <si>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</si>
  <si>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</si>
  <si>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</si>
  <si>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</si>
  <si>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</si>
  <si>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</si>
  <si>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</si>
  <si>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</si>
  <si>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</si>
  <si>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</si>
  <si>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</si>
  <si>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</si>
  <si>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</si>
  <si>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</si>
  <si>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</si>
  <si>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</si>
  <si>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</si>
  <si>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</si>
  <si>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</si>
  <si>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</si>
  <si>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</si>
  <si>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</si>
  <si>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</si>
  <si>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</si>
  <si>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</si>
  <si>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</si>
  <si>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</si>
  <si>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</si>
  <si>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</si>
  <si>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</si>
  <si>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</si>
  <si>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</si>
  <si>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</si>
  <si>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</si>
  <si>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</si>
  <si>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</si>
  <si>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</si>
  <si>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</si>
  <si>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</si>
  <si>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</si>
  <si>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</si>
  <si>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</si>
  <si>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</si>
  <si>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</si>
  <si>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</si>
  <si>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</si>
  <si>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</si>
  <si>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</si>
  <si>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</si>
  <si>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</si>
  <si>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</si>
  <si>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</si>
  <si>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</si>
  <si>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</si>
  <si>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</si>
  <si>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</si>
  <si>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</si>
  <si>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</si>
  <si>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</si>
  <si>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</si>
  <si>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</si>
  <si>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</si>
  <si>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</si>
  <si>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</si>
  <si>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</si>
  <si>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</si>
  <si>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</si>
  <si>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</si>
  <si>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</si>
  <si>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</si>
  <si>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</si>
  <si>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</si>
  <si>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</si>
  <si>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</si>
  <si>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</si>
  <si>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</si>
  <si>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</si>
  <si>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</si>
  <si>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</si>
  <si>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</si>
  <si>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</si>
  <si>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</si>
  <si>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</si>
  <si>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</si>
  <si>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</si>
  <si>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</si>
  <si>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</si>
  <si>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</si>
  <si>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</si>
  <si>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</si>
  <si>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</si>
  <si>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</si>
  <si>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</si>
  <si>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</si>
  <si>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</si>
  <si>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</si>
  <si>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</si>
  <si>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</si>
  <si>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</si>
  <si>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</si>
  <si>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</si>
  <si>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</si>
  <si>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</si>
  <si>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</si>
  <si>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</si>
  <si>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</si>
  <si>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</si>
  <si>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</si>
  <si>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</si>
  <si>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</si>
  <si>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</si>
  <si>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</si>
  <si>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</si>
  <si>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</si>
  <si>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</si>
  <si>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</si>
  <si>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</si>
  <si>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</si>
  <si>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</si>
  <si>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</si>
  <si>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</si>
  <si>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</si>
  <si>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</si>
  <si>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</si>
  <si>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</si>
  <si>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</si>
  <si>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</si>
  <si>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</si>
  <si>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</si>
  <si>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</si>
  <si>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</si>
  <si>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</si>
  <si>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</si>
  <si>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</si>
  <si>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</si>
  <si>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</si>
  <si>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</si>
  <si>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</si>
  <si>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</si>
  <si>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</si>
  <si>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</si>
  <si>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</si>
  <si>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</si>
  <si>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</si>
  <si>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</si>
  <si>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</si>
  <si>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</si>
  <si>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</si>
  <si>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</si>
  <si>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</si>
  <si>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</si>
  <si>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</si>
  <si>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</si>
  <si>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</si>
  <si>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</si>
  <si>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</si>
  <si>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</si>
  <si>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</si>
  <si>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</si>
  <si>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</si>
  <si>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</si>
  <si>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</si>
  <si>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</si>
  <si>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</si>
  <si>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</si>
  <si>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</si>
  <si>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</si>
  <si>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</si>
  <si>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</si>
  <si>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</si>
  <si>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</si>
  <si>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</si>
  <si>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</si>
  <si>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</si>
  <si>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</si>
  <si>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</si>
  <si>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</si>
  <si>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</si>
  <si>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</si>
  <si>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</si>
  <si>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</si>
  <si>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</si>
  <si>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</si>
  <si>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</si>
  <si>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</si>
  <si>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</si>
  <si>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</si>
  <si>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</si>
  <si>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</si>
  <si>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</si>
  <si>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</si>
  <si>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</si>
  <si>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</si>
  <si>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</si>
  <si>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</si>
  <si>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</si>
  <si>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</si>
  <si>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</si>
  <si>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</si>
  <si>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</si>
  <si>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</si>
  <si>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</si>
  <si>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</si>
  <si>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</si>
  <si>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</si>
  <si>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</si>
  <si>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</si>
  <si>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</si>
  <si>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</si>
  <si>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</si>
  <si>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</si>
  <si>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</si>
  <si>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</si>
  <si>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</si>
  <si>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</si>
  <si>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</si>
  <si>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</si>
  <si>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</si>
  <si>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</si>
  <si>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</si>
  <si>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</si>
  <si>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</si>
  <si>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</si>
  <si>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</si>
  <si>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</si>
  <si>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</si>
  <si>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</si>
  <si>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</si>
  <si>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</si>
  <si>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</si>
  <si>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</si>
  <si>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</si>
  <si>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</si>
  <si>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</si>
  <si>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</si>
  <si>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</si>
  <si>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</si>
  <si>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</si>
  <si>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</si>
  <si>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</si>
  <si>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</si>
  <si>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</si>
  <si>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</si>
  <si>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</si>
  <si>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</si>
  <si>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</si>
  <si>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</si>
  <si>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</si>
  <si>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</si>
  <si>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</si>
  <si>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</si>
  <si>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</si>
  <si>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</si>
  <si>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</si>
  <si>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</si>
  <si>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</si>
  <si>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</si>
  <si>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</si>
  <si>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</si>
  <si>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</si>
  <si>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</si>
  <si>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</si>
  <si>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</si>
  <si>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</si>
  <si>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</si>
  <si>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</si>
  <si>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</si>
  <si>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</si>
  <si>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</si>
  <si>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</si>
  <si>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</si>
  <si>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</si>
  <si>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</si>
  <si>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</si>
  <si>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</si>
  <si>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</si>
  <si>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</si>
  <si>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</si>
  <si>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</si>
  <si>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</si>
  <si>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</si>
  <si>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</si>
  <si>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</si>
  <si>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</si>
  <si>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</si>
  <si>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</si>
  <si>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</si>
  <si>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</si>
  <si>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</si>
  <si>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</si>
  <si>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</si>
  <si>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</si>
  <si>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</si>
  <si>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</si>
  <si>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</si>
  <si>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</si>
  <si>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</si>
  <si>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</si>
  <si>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</si>
  <si>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</si>
  <si>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</si>
  <si>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</si>
  <si>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</si>
  <si>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</si>
  <si>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</si>
  <si>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</si>
  <si>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</si>
  <si>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</si>
  <si>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</si>
  <si>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</si>
  <si>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</si>
  <si>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</si>
  <si>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</si>
  <si>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</si>
  <si>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</si>
  <si>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</si>
  <si>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</si>
  <si>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</si>
  <si>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</si>
  <si>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</si>
  <si>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</si>
  <si>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</si>
  <si>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</si>
  <si>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</si>
  <si>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</si>
  <si>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</si>
  <si>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</si>
  <si>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</si>
  <si>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</si>
  <si>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</si>
  <si>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</si>
  <si>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</si>
  <si>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</si>
  <si>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</si>
  <si>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</si>
  <si>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</si>
  <si>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</si>
  <si>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</si>
  <si>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</si>
  <si>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</si>
  <si>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</si>
  <si>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</si>
  <si>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</si>
  <si>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</si>
  <si>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</si>
  <si>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</si>
  <si>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</si>
  <si>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</si>
  <si>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</si>
  <si>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</si>
  <si>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</si>
  <si>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</si>
  <si>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</si>
  <si>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</si>
  <si>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</si>
  <si>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</si>
  <si>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</si>
  <si>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</si>
  <si>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</si>
  <si>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</si>
  <si>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</si>
  <si>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</si>
  <si>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</si>
  <si>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</si>
  <si>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</si>
  <si>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</si>
  <si>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</si>
  <si>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</si>
  <si>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</si>
  <si>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</si>
  <si>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</si>
  <si>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</si>
  <si>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</si>
  <si>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</si>
  <si>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</si>
  <si>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</si>
  <si>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</si>
  <si>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</si>
  <si>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</si>
  <si>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</si>
  <si>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</si>
  <si>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</si>
  <si>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</si>
  <si>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</si>
  <si>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</si>
  <si>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</si>
  <si>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</si>
  <si>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</si>
  <si>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</si>
  <si>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</si>
  <si>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</si>
  <si>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</si>
  <si>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</si>
  <si>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</si>
  <si>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</si>
  <si>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</si>
  <si>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</si>
  <si>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</si>
  <si>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</si>
  <si>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</si>
  <si>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</si>
  <si>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</si>
  <si>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</si>
  <si>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</si>
  <si>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</si>
  <si>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</si>
  <si>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</si>
  <si>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</si>
  <si>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</si>
  <si>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</si>
  <si>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</si>
  <si>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</si>
  <si>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</si>
  <si>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</si>
  <si>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</si>
  <si>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</si>
  <si>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</si>
  <si>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</si>
  <si>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</si>
  <si>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</si>
  <si>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</si>
  <si>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</si>
  <si>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</si>
  <si>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</si>
  <si>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</si>
  <si>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</si>
  <si>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</si>
  <si>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</si>
  <si>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</si>
  <si>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</si>
  <si>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</si>
  <si>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</si>
  <si>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</si>
  <si>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</si>
  <si>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</si>
  <si>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</si>
  <si>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</si>
  <si>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</si>
  <si>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</si>
  <si>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</si>
  <si>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</si>
  <si>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</si>
  <si>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</si>
  <si>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</si>
  <si>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</si>
  <si>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</si>
  <si>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</si>
  <si>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</si>
  <si>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</si>
  <si>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</si>
  <si>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</si>
  <si>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</si>
  <si>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</si>
  <si>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</si>
  <si>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</si>
  <si>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</si>
  <si>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</si>
  <si>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</si>
  <si>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</si>
  <si>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</si>
  <si>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</si>
  <si>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</si>
  <si>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</si>
  <si>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</si>
  <si>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</si>
  <si>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</si>
  <si>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</si>
  <si>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</si>
  <si>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</si>
  <si>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</si>
  <si>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</si>
  <si>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</si>
  <si>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</si>
  <si>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</si>
  <si>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</si>
  <si>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</si>
  <si>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</si>
  <si>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</si>
  <si>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</si>
  <si>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</si>
  <si>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</si>
  <si>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</si>
  <si>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</si>
  <si>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</si>
  <si>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</si>
  <si>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</si>
  <si>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</si>
  <si>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</si>
  <si>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</si>
  <si>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</si>
  <si>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</si>
  <si>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</si>
  <si>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</si>
  <si>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</si>
  <si>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</si>
  <si>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</si>
  <si>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</si>
  <si>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</si>
  <si>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</si>
  <si>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</si>
  <si>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</si>
  <si>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</si>
  <si>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</si>
  <si>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</si>
  <si>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</si>
  <si>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</si>
  <si>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</si>
  <si>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</si>
  <si>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</si>
  <si>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</si>
  <si>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</si>
  <si>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</si>
  <si>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</si>
  <si>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</si>
  <si>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</si>
  <si>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</si>
  <si>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</si>
  <si>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</si>
  <si>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</si>
  <si>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</si>
  <si>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</si>
  <si>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</si>
  <si>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</si>
  <si>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</si>
  <si>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</si>
  <si>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</si>
  <si>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</si>
  <si>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</si>
  <si>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</si>
  <si>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</si>
  <si>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</si>
  <si>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</si>
  <si>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</si>
  <si>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</si>
  <si>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</si>
  <si>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</si>
  <si>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</si>
  <si>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</si>
  <si>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</si>
  <si>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</si>
  <si>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</si>
  <si>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</si>
  <si>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</si>
  <si>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</si>
  <si>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</si>
  <si>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</si>
  <si>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</si>
  <si>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</si>
  <si>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</si>
  <si>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</si>
  <si>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</si>
  <si>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</si>
  <si>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</si>
  <si>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</si>
  <si>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</si>
  <si>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</si>
  <si>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</si>
  <si>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</si>
  <si>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</si>
  <si>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</si>
  <si>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</si>
  <si>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</si>
  <si>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</si>
  <si>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</si>
  <si>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</si>
  <si>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</si>
  <si>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</si>
  <si>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</si>
  <si>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</si>
  <si>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</si>
  <si>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</si>
  <si>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</si>
  <si>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</si>
  <si>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</si>
  <si>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</si>
  <si>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</si>
  <si>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</si>
  <si>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</si>
  <si>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</si>
  <si>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</si>
  <si>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</si>
  <si>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</si>
  <si>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</si>
  <si>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</si>
  <si>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</si>
  <si>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</si>
  <si>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</si>
  <si>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</si>
  <si>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</si>
  <si>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</si>
  <si>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</si>
  <si>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</si>
  <si>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</si>
  <si>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</si>
  <si>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</si>
  <si>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</si>
  <si>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</si>
  <si>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</si>
  <si>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</si>
  <si>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</si>
  <si>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</si>
  <si>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</si>
  <si>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</si>
  <si>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</si>
  <si>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</si>
  <si>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</si>
  <si>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</si>
  <si>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</si>
  <si>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</si>
  <si>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</si>
  <si>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</si>
  <si>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</si>
  <si>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</si>
  <si>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</si>
  <si>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</si>
  <si>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</si>
  <si>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</si>
  <si>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</si>
  <si>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</si>
  <si>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</si>
  <si>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</si>
  <si>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</si>
  <si>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</si>
  <si>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</si>
  <si>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</si>
  <si>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</si>
  <si>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</si>
  <si>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</si>
  <si>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</si>
  <si>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</si>
  <si>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</si>
  <si>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</si>
  <si>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</si>
  <si>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</si>
  <si>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</si>
  <si>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</si>
  <si>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</si>
  <si>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</si>
  <si>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</si>
  <si>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</si>
  <si>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</si>
  <si>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</si>
  <si>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</si>
  <si>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</si>
  <si>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</si>
  <si>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</si>
  <si>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</si>
  <si>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</si>
  <si>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</si>
  <si>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</si>
  <si>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</si>
  <si>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</si>
  <si>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</si>
  <si>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</si>
  <si>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</si>
  <si>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</si>
  <si>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</si>
  <si>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</si>
  <si>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</si>
  <si>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</si>
  <si>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</si>
  <si>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</si>
  <si>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</si>
  <si>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</si>
  <si>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</si>
  <si>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</si>
  <si>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</si>
  <si>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</si>
  <si>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</si>
  <si>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</si>
  <si>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</si>
  <si>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</si>
  <si>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</si>
  <si>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</si>
  <si>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</si>
  <si>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</si>
  <si>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</si>
  <si>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</si>
  <si>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</si>
  <si>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</si>
  <si>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</si>
  <si>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</si>
  <si>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</si>
  <si>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</si>
  <si>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</si>
  <si>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</si>
  <si>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</si>
  <si>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</si>
  <si>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</si>
  <si>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</si>
  <si>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</si>
  <si>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</si>
  <si>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</si>
  <si>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</si>
  <si>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</si>
  <si>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</si>
  <si>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</si>
  <si>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</si>
  <si>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</si>
  <si>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</si>
  <si>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</si>
  <si>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</si>
  <si>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</si>
  <si>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</si>
  <si>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</si>
  <si>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</si>
  <si>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</si>
  <si>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</si>
  <si>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</si>
  <si>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</si>
  <si>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</si>
  <si>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</si>
  <si>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</si>
  <si>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</si>
  <si>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</si>
  <si>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</si>
  <si>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</si>
  <si>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</si>
  <si>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</si>
  <si>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</si>
  <si>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</si>
  <si>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</si>
  <si>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</si>
  <si>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</si>
  <si>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</si>
  <si>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</si>
  <si>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</si>
  <si>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</si>
  <si>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</si>
  <si>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</si>
  <si>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</si>
  <si>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</si>
  <si>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</si>
  <si>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</si>
  <si>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</si>
  <si>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</si>
  <si>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</si>
  <si>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</si>
  <si>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</si>
  <si>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</si>
  <si>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</si>
  <si>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</si>
  <si>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</si>
  <si>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</si>
  <si>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</si>
  <si>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</si>
  <si>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</si>
  <si>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</si>
  <si>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</si>
  <si>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</si>
  <si>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</si>
  <si>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</si>
  <si>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</si>
  <si>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</si>
  <si>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</si>
  <si>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</si>
  <si>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</si>
  <si>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</si>
  <si>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</si>
  <si>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</si>
  <si>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</si>
  <si>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</si>
  <si>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</si>
  <si>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</si>
  <si>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</si>
  <si>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</si>
  <si>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</si>
  <si>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</si>
  <si>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</si>
  <si>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</si>
  <si>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</si>
  <si>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</si>
  <si>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</si>
  <si>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</si>
  <si>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</si>
  <si>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</si>
  <si>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</si>
  <si>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</si>
  <si>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</si>
  <si>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</si>
  <si>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</si>
  <si>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</si>
  <si>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</si>
  <si>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</si>
  <si>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</si>
  <si>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</si>
  <si>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</si>
  <si>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</si>
  <si>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</si>
  <si>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</si>
  <si>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</si>
  <si>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</si>
  <si>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</si>
  <si>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</si>
  <si>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</si>
  <si>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</si>
  <si>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</si>
  <si>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</si>
  <si>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</si>
  <si>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</si>
  <si>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</si>
  <si>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</si>
  <si>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</si>
  <si>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</si>
  <si>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</si>
  <si>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</si>
  <si>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</si>
  <si>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</si>
  <si>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</si>
  <si>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</si>
  <si>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</si>
  <si>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</si>
  <si>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</si>
  <si>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</si>
  <si>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</si>
  <si>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</si>
  <si>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</si>
  <si>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</si>
  <si>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</si>
  <si>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</si>
  <si>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</si>
  <si>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</si>
  <si>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</si>
  <si>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</si>
  <si>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</si>
  <si>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</si>
  <si>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</si>
  <si>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</si>
  <si>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</si>
  <si>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</si>
  <si>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</si>
  <si>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</si>
  <si>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</si>
  <si>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</si>
  <si>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</si>
  <si>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</si>
  <si>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</si>
  <si>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</si>
  <si>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</si>
  <si>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</si>
  <si>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</si>
  <si>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</si>
  <si>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</si>
  <si>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</si>
  <si>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</si>
  <si>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</si>
  <si>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</si>
  <si>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</si>
  <si>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</si>
  <si>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</si>
  <si>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</si>
  <si>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</si>
  <si>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</si>
  <si>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</si>
  <si>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</si>
  <si>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</si>
  <si>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</si>
  <si>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</si>
  <si>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</si>
  <si>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</si>
  <si>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</si>
  <si>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</si>
  <si>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</si>
  <si>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</si>
  <si>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</si>
  <si>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</si>
  <si>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</si>
  <si>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</si>
  <si>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</si>
  <si>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</si>
  <si>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</si>
  <si>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</si>
  <si>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</si>
  <si>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</si>
  <si>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</si>
  <si>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</si>
  <si>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</si>
  <si>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</si>
  <si>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</si>
  <si>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</si>
  <si>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</si>
  <si>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</si>
  <si>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</si>
  <si>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</si>
  <si>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</si>
  <si>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</si>
  <si>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</si>
  <si>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</si>
  <si>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</si>
  <si>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</si>
  <si>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</si>
  <si>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</si>
  <si>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</si>
  <si>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</si>
  <si>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</si>
  <si>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</si>
  <si>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</si>
  <si>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</si>
  <si>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</si>
  <si>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</si>
  <si>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</si>
  <si>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</si>
  <si>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</si>
  <si>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</si>
  <si>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</si>
  <si>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</si>
  <si>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</si>
  <si>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</si>
  <si>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</si>
  <si>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</si>
  <si>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</si>
  <si>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</si>
  <si>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</si>
  <si>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</si>
  <si>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</si>
  <si>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</si>
  <si>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</si>
  <si>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</si>
  <si>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</si>
  <si>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</si>
  <si>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</si>
  <si>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</si>
  <si>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</si>
  <si>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</si>
  <si>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</si>
  <si>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</si>
  <si>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</si>
  <si>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</si>
  <si>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</si>
  <si>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</si>
  <si>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</si>
  <si>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</si>
  <si>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</si>
  <si>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</si>
  <si>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</si>
  <si>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</si>
  <si>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</si>
  <si>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</si>
  <si>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</si>
  <si>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</si>
  <si>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</si>
  <si>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</si>
  <si>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</si>
  <si>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</si>
  <si>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</si>
  <si>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</si>
  <si>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</si>
  <si>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</si>
  <si>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</si>
  <si>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</si>
  <si>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</si>
  <si>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</si>
  <si>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</si>
  <si>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</si>
  <si>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</si>
  <si>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</si>
  <si>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</si>
  <si>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</si>
  <si>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</si>
  <si>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</si>
  <si>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</si>
  <si>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</si>
  <si>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</si>
  <si>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</si>
  <si>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</si>
  <si>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</si>
  <si>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</si>
  <si>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</si>
  <si>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</si>
  <si>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</si>
  <si>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</si>
  <si>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</si>
  <si>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</si>
  <si>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</si>
  <si>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</si>
  <si>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</si>
  <si>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</si>
  <si>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</si>
  <si>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</si>
  <si>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</si>
  <si>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</si>
  <si>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</si>
  <si>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</si>
  <si>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</si>
  <si>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</si>
  <si>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</si>
  <si>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</si>
  <si>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</si>
  <si>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</si>
  <si>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</si>
  <si>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</si>
  <si>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</si>
  <si>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</si>
  <si>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</si>
  <si>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</si>
  <si>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</si>
  <si>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</si>
  <si>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</si>
  <si>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</si>
  <si>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</si>
  <si>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</si>
  <si>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</si>
  <si>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</si>
  <si>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</si>
  <si>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</si>
  <si>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</si>
  <si>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</si>
  <si>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</si>
  <si>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</si>
  <si>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</si>
  <si>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</si>
  <si>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</si>
  <si>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</si>
  <si>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</si>
  <si>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</si>
  <si>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</si>
  <si>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</si>
  <si>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</si>
  <si>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</si>
  <si>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</si>
  <si>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</si>
  <si>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</si>
  <si>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</si>
  <si>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</si>
  <si>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</si>
  <si>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</si>
  <si>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</si>
  <si>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</si>
  <si>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</si>
  <si>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</si>
  <si>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</si>
  <si>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</si>
  <si>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</si>
  <si>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</si>
  <si>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</si>
  <si>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</si>
  <si>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</si>
  <si>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</si>
  <si>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</si>
  <si>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</si>
  <si>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</si>
  <si>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</si>
  <si>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</si>
  <si>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</si>
  <si>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</si>
  <si>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</si>
  <si>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</si>
  <si>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</si>
  <si>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</si>
  <si>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</si>
  <si>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</si>
  <si>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</si>
  <si>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</si>
  <si>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</si>
  <si>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</si>
  <si>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</si>
  <si>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</si>
  <si>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</si>
  <si>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</si>
  <si>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</si>
  <si>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</si>
  <si>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</si>
  <si>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</si>
  <si>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</si>
  <si>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</si>
  <si>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</si>
  <si>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</si>
  <si>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</si>
  <si>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</si>
  <si>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</si>
  <si>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</si>
  <si>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</si>
  <si>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</si>
  <si>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</si>
  <si>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</si>
  <si>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</si>
  <si>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</si>
  <si>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</si>
  <si>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</si>
  <si>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</si>
  <si>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</si>
  <si>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</si>
  <si>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</si>
  <si>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</si>
  <si>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</si>
  <si>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</si>
  <si>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</si>
  <si>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</si>
  <si>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</si>
  <si>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</si>
  <si>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</si>
  <si>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</si>
  <si>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</si>
  <si>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</si>
  <si>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</si>
  <si>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</si>
  <si>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</si>
  <si>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</si>
  <si>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</si>
  <si>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</si>
  <si>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</si>
  <si>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</si>
  <si>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</si>
  <si>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</si>
  <si>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</si>
  <si>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</si>
  <si>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</si>
  <si>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</si>
  <si>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</si>
  <si>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</si>
  <si>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</si>
  <si>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</si>
  <si>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</si>
  <si>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</si>
  <si>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</si>
  <si>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</si>
  <si>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</si>
  <si>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</si>
  <si>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</si>
  <si>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</si>
  <si>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</si>
  <si>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</si>
  <si>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</si>
  <si>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</si>
  <si>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</si>
  <si>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</si>
  <si>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</si>
  <si>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</si>
  <si>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</si>
  <si>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</si>
  <si>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</si>
  <si>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</si>
  <si>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</si>
  <si>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</si>
  <si>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</si>
  <si>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</si>
  <si>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</si>
  <si>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</si>
  <si>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</si>
  <si>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</si>
  <si>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</si>
  <si>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</si>
  <si>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</si>
  <si>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</si>
  <si>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</si>
  <si>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</si>
  <si>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</si>
  <si>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</si>
  <si>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</si>
  <si>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</si>
  <si>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</si>
  <si>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</si>
  <si>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</si>
  <si>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</si>
  <si>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</si>
  <si>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</si>
  <si>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</si>
  <si>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</si>
  <si>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</si>
  <si>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</si>
  <si>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</si>
  <si>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</si>
  <si>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</si>
  <si>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</si>
  <si>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</si>
  <si>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</si>
  <si>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</si>
  <si>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</si>
  <si>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</si>
  <si>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</si>
  <si>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</si>
  <si>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</si>
  <si>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</si>
  <si>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</si>
  <si>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</si>
  <si>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</si>
  <si>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</si>
  <si>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</si>
  <si>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</si>
  <si>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</si>
  <si>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</si>
  <si>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</si>
  <si>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</si>
  <si>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</si>
  <si>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</si>
  <si>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</si>
  <si>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</si>
  <si>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</si>
  <si>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</si>
  <si>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</si>
  <si>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</si>
  <si>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</si>
  <si>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</si>
  <si>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</si>
  <si>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</si>
  <si>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</si>
  <si>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</si>
  <si>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</si>
  <si>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</si>
  <si>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</si>
  <si>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</si>
  <si>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</si>
  <si>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</si>
  <si>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</si>
  <si>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</si>
  <si>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</si>
  <si>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</si>
  <si>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</si>
  <si>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</si>
  <si>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</si>
  <si>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</si>
  <si>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</si>
  <si>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</si>
  <si>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</si>
  <si>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</si>
  <si>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</si>
  <si>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</si>
  <si>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</si>
  <si>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</si>
  <si>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</si>
  <si>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</si>
  <si>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</si>
  <si>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</si>
  <si>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</si>
  <si>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</si>
  <si>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</si>
  <si>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</si>
  <si>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</si>
  <si>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</si>
  <si>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</si>
  <si>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</si>
  <si>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</si>
  <si>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</si>
  <si>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</si>
  <si>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</si>
  <si>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</si>
  <si>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</si>
  <si>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</si>
  <si>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</si>
  <si>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</si>
  <si>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</si>
  <si>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</si>
  <si>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</si>
  <si>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</si>
  <si>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</si>
  <si>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</si>
  <si>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</si>
  <si>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</si>
  <si>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</si>
  <si>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</si>
  <si>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</si>
  <si>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</si>
  <si>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</si>
  <si>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</si>
  <si>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</si>
  <si>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</si>
  <si>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</si>
  <si>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</si>
  <si>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</si>
  <si>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</si>
  <si>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</si>
  <si>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</si>
  <si>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</si>
  <si>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</si>
  <si>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</si>
  <si>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</si>
  <si>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</si>
  <si>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</si>
  <si>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</si>
  <si>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</si>
  <si>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</si>
  <si>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</si>
  <si>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</si>
  <si>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</si>
  <si>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</si>
  <si>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</si>
  <si>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</si>
  <si>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</si>
  <si>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</si>
  <si>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</si>
  <si>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</si>
  <si>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</si>
  <si>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</si>
  <si>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</si>
  <si>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</si>
  <si>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</si>
  <si>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</si>
  <si>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</si>
  <si>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</si>
  <si>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</si>
  <si>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</si>
  <si>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</si>
  <si>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</si>
  <si>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</si>
  <si>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</si>
  <si>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</si>
  <si>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</si>
  <si>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</si>
  <si>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</si>
  <si>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</si>
  <si>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</si>
  <si>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</si>
  <si>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</si>
  <si>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</si>
  <si>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</si>
  <si>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</si>
  <si>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</si>
  <si>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</si>
  <si>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</si>
  <si>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</si>
  <si>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</si>
  <si>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</si>
  <si>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</si>
  <si>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</si>
  <si>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</si>
  <si>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</si>
  <si>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</si>
  <si>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</si>
  <si>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</si>
  <si>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</si>
  <si>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</si>
  <si>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</si>
  <si>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</si>
  <si>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</si>
  <si>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</si>
  <si>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</si>
  <si>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</si>
  <si>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</si>
  <si>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</si>
  <si>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</si>
  <si>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</si>
  <si>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</si>
  <si>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</si>
  <si>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</si>
  <si>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</si>
  <si>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</si>
  <si>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</si>
  <si>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</si>
  <si>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</si>
  <si>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</si>
  <si>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</si>
  <si>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</si>
  <si>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</si>
  <si>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</si>
  <si>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</si>
  <si>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</si>
  <si>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</si>
  <si>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</si>
  <si>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</si>
  <si>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</si>
  <si>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</si>
  <si>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</si>
  <si>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</si>
  <si>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</si>
  <si>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</si>
  <si>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</si>
  <si>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</si>
  <si>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</si>
  <si>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</si>
  <si>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</si>
  <si>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</si>
  <si>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</si>
  <si>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</si>
  <si>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</si>
  <si>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</si>
  <si>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</si>
  <si>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</si>
  <si>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</si>
  <si>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</si>
  <si>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</si>
  <si>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</si>
  <si>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</si>
  <si>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</si>
  <si>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</si>
  <si>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</si>
  <si>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</si>
  <si>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</si>
  <si>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</si>
  <si>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</si>
  <si>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</si>
  <si>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</si>
  <si>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</si>
  <si>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</si>
  <si>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</si>
  <si>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</si>
  <si>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</si>
  <si>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</si>
  <si>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</si>
  <si>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</si>
  <si>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</si>
  <si>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</si>
  <si>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</si>
  <si>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</si>
  <si>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</si>
  <si>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</si>
  <si>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</si>
  <si>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</si>
  <si>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</si>
  <si>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</si>
  <si>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</si>
  <si>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</si>
  <si>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</si>
  <si>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</si>
  <si>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</si>
  <si>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</si>
  <si>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</si>
  <si>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</si>
  <si>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</si>
  <si>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</si>
  <si>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</si>
  <si>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</si>
  <si>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</si>
  <si>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</si>
  <si>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</si>
  <si>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</si>
  <si>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</si>
  <si>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</si>
  <si>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</si>
  <si>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</si>
  <si>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</si>
  <si>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</si>
  <si>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</si>
  <si>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</si>
  <si>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</si>
  <si>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</si>
  <si>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</si>
  <si>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</si>
  <si>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</si>
  <si>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</si>
  <si>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</si>
  <si>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</si>
  <si>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</si>
  <si>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</si>
  <si>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</si>
  <si>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</si>
  <si>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</si>
  <si>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</si>
  <si>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</si>
  <si>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</si>
  <si>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</si>
  <si>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</si>
  <si>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</si>
  <si>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</si>
  <si>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</si>
  <si>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</si>
  <si>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</si>
  <si>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</si>
  <si>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</si>
  <si>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</si>
  <si>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</si>
  <si>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</si>
  <si>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</si>
  <si>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</si>
  <si>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</si>
  <si>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</si>
  <si>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</si>
  <si>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</si>
  <si>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</si>
  <si>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</si>
  <si>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</si>
  <si>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</si>
  <si>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</si>
  <si>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</si>
  <si>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</si>
  <si>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</si>
  <si>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</si>
  <si>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</si>
  <si>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</si>
  <si>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</si>
  <si>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</si>
  <si>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</si>
  <si>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</si>
  <si>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</si>
  <si>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</si>
  <si>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</si>
  <si>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</si>
  <si>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</si>
  <si>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</si>
  <si>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</si>
  <si>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</si>
  <si>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</si>
  <si>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</si>
  <si>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</si>
  <si>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</si>
  <si>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</si>
  <si>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</si>
  <si>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</si>
  <si>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</si>
  <si>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</si>
  <si>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</si>
  <si>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</si>
  <si>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</si>
  <si>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</si>
  <si>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</si>
  <si>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</si>
  <si>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</si>
  <si>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</si>
  <si>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</si>
  <si>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</si>
  <si>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</si>
  <si>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</si>
  <si>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</si>
  <si>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</si>
  <si>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</si>
  <si>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</si>
  <si>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</si>
  <si>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</si>
  <si>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</si>
  <si>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</si>
  <si>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</si>
  <si>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</si>
  <si>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</si>
  <si>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</si>
  <si>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</si>
  <si>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</si>
  <si>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</si>
  <si>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</si>
  <si>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</si>
  <si>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</si>
  <si>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</si>
  <si>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</si>
  <si>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</si>
  <si>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</si>
  <si>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</si>
  <si>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</si>
  <si>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</si>
  <si>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</si>
  <si>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</si>
  <si>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</si>
  <si>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</si>
  <si>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</si>
  <si>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</si>
  <si>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</si>
  <si>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</si>
  <si>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</si>
  <si>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</si>
  <si>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</si>
  <si>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</si>
  <si>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</si>
  <si>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</si>
  <si>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</si>
  <si>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</si>
  <si>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</si>
  <si>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</si>
  <si>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</si>
  <si>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</si>
  <si>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</si>
  <si>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</si>
  <si>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</si>
  <si>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</si>
  <si>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</si>
  <si>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</si>
  <si>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</si>
  <si>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</si>
  <si>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</si>
  <si>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</si>
  <si>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</si>
  <si>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</si>
  <si>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</si>
  <si>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</si>
  <si>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</si>
  <si>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</si>
  <si>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</si>
  <si>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</si>
  <si>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</si>
  <si>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</si>
  <si>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</si>
  <si>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</si>
  <si>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</si>
  <si>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</si>
  <si>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</si>
  <si>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</si>
  <si>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</si>
  <si>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</si>
  <si>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</si>
  <si>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</si>
  <si>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</si>
  <si>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</si>
  <si>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</si>
  <si>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</si>
  <si>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</si>
  <si>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</si>
  <si>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</si>
  <si>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</si>
  <si>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</si>
  <si>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</si>
  <si>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</si>
  <si>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</si>
  <si>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</si>
  <si>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</si>
  <si>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</si>
  <si>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</si>
  <si>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</si>
  <si>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</si>
  <si>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</si>
  <si>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</si>
  <si>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</si>
  <si>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</si>
  <si>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</si>
  <si>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</si>
  <si>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</si>
  <si>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</si>
  <si>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</si>
  <si>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</si>
  <si>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</si>
  <si>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</si>
  <si>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</si>
  <si>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</si>
  <si>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</si>
  <si>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</si>
  <si>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</si>
  <si>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</si>
  <si>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</si>
  <si>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</si>
  <si>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</si>
  <si>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</si>
  <si>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</si>
  <si>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</si>
  <si>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</si>
  <si>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</si>
  <si>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</si>
  <si>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</si>
  <si>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</si>
  <si>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</si>
  <si>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</si>
  <si>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</si>
  <si>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</si>
  <si>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</si>
  <si>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</si>
  <si>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</si>
  <si>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</si>
  <si>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</si>
  <si>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</si>
  <si>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</si>
  <si>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</si>
  <si>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</si>
  <si>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</si>
  <si>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</si>
  <si>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</si>
  <si>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</si>
  <si>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</si>
  <si>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</si>
  <si>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</si>
  <si>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</si>
  <si>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</si>
  <si>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</si>
  <si>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</si>
  <si>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</si>
  <si>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</si>
  <si>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</si>
  <si>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</si>
  <si>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</si>
  <si>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</si>
  <si>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</si>
  <si>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</si>
  <si>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</si>
  <si>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</si>
  <si>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</si>
  <si>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</si>
  <si>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</si>
  <si>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</si>
  <si>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</si>
  <si>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</si>
  <si>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</si>
  <si>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</si>
  <si>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</si>
  <si>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</si>
  <si>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</si>
  <si>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</si>
  <si>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</si>
  <si>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</si>
  <si>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</si>
  <si>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</si>
  <si>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</si>
  <si>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</si>
  <si>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</si>
  <si>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</si>
  <si>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</si>
  <si>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</si>
  <si>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</si>
  <si>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</si>
  <si>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</si>
  <si>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</si>
  <si>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</si>
  <si>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</si>
  <si>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</si>
  <si>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</si>
  <si>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</si>
  <si>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</si>
  <si>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</si>
  <si>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</si>
  <si>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</si>
  <si>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</si>
  <si>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</si>
  <si>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</si>
  <si>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</si>
  <si>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</si>
  <si>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</si>
  <si>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</si>
  <si>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</si>
  <si>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</si>
  <si>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</si>
  <si>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</si>
  <si>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</si>
  <si>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</si>
  <si>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</si>
  <si>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</si>
  <si>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</si>
  <si>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</si>
  <si>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</si>
  <si>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</si>
  <si>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</si>
  <si>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</si>
  <si>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</si>
  <si>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</si>
  <si>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</si>
  <si>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</si>
  <si>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</si>
  <si>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</si>
  <si>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</si>
  <si>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</si>
  <si>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</si>
  <si>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</si>
  <si>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</si>
  <si>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</si>
  <si>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</si>
  <si>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</si>
  <si>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</si>
  <si>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</si>
  <si>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</si>
  <si>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</si>
  <si>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</si>
  <si>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</si>
  <si>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</si>
  <si>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</si>
  <si>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</si>
  <si>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</si>
  <si>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</si>
  <si>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</si>
  <si>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</si>
  <si>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</si>
  <si>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</si>
  <si>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</si>
  <si>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</si>
  <si>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</si>
  <si>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</si>
  <si>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</si>
  <si>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</si>
  <si>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</si>
  <si>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</si>
  <si>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</si>
  <si>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</si>
  <si>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</si>
  <si>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</si>
  <si>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</si>
  <si>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</si>
  <si>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</si>
  <si>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</si>
  <si>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</si>
  <si>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</si>
  <si>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</si>
  <si>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</si>
  <si>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</si>
  <si>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</si>
  <si>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</si>
  <si>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</si>
  <si>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</si>
  <si>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</si>
  <si>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</si>
  <si>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</si>
  <si>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</si>
  <si>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</si>
  <si>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</si>
  <si>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</si>
  <si>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</si>
  <si>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</si>
  <si>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</si>
  <si>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</si>
  <si>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</si>
  <si>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</si>
  <si>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</si>
  <si>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</si>
  <si>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</si>
  <si>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</si>
  <si>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</si>
  <si>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</si>
  <si>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</si>
  <si>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</si>
  <si>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</si>
  <si>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</si>
  <si>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</si>
  <si>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</si>
  <si>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</si>
  <si>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</si>
  <si>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</si>
  <si>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</si>
  <si>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</si>
  <si>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</si>
  <si>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</si>
  <si>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</si>
  <si>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</si>
  <si>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</si>
  <si>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</si>
  <si>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</si>
  <si>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</si>
  <si>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</si>
  <si>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</si>
  <si>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</si>
  <si>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</si>
  <si>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</si>
  <si>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</si>
  <si>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</si>
  <si>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</si>
  <si>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</si>
  <si>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</si>
  <si>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</si>
  <si>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</si>
  <si>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</si>
  <si>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</si>
  <si>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</si>
  <si>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</si>
  <si>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</si>
  <si>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</si>
  <si>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</si>
  <si>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</si>
  <si>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</si>
  <si>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</si>
  <si>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</si>
  <si>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</si>
  <si>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</si>
  <si>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</si>
  <si>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</si>
  <si>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</si>
  <si>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</si>
  <si>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</si>
  <si>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</si>
  <si>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</si>
  <si>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</si>
  <si>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</si>
  <si>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</si>
  <si>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</si>
  <si>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</si>
  <si>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</si>
  <si>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</si>
  <si>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</si>
  <si>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</si>
  <si>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</si>
  <si>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</si>
  <si>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</si>
  <si>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</si>
  <si>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</si>
  <si>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</si>
  <si>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</si>
  <si>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</si>
  <si>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</si>
  <si>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</si>
  <si>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</si>
  <si>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</si>
  <si>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</si>
  <si>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</si>
  <si>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</si>
  <si>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</si>
  <si>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</si>
  <si>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</si>
  <si>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</si>
  <si>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</si>
  <si>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</si>
  <si>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</si>
  <si>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</si>
  <si>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</si>
  <si>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</si>
  <si>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</si>
  <si>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</si>
  <si>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</si>
  <si>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</si>
  <si>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</si>
  <si>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</si>
  <si>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</si>
  <si>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</si>
  <si>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</si>
  <si>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</si>
  <si>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</si>
  <si>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</si>
  <si>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</si>
  <si>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</si>
  <si>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</si>
  <si>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</si>
  <si>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</si>
  <si>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</si>
  <si>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</si>
  <si>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</si>
  <si>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</si>
  <si>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</si>
  <si>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</si>
  <si>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</si>
  <si>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</si>
  <si>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</si>
  <si>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</si>
  <si>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</si>
  <si>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</si>
  <si>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</si>
  <si>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</si>
  <si>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</si>
  <si>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</si>
  <si>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</si>
  <si>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</si>
  <si>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</si>
  <si>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</si>
  <si>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</si>
  <si>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</si>
  <si>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</si>
  <si>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</si>
  <si>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</si>
  <si>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</si>
  <si>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</si>
  <si>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</si>
  <si>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</si>
  <si>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</si>
  <si>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</si>
  <si>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</si>
  <si>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</si>
  <si>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</si>
  <si>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</si>
  <si>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</si>
  <si>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</si>
  <si>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</si>
  <si>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</si>
  <si>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</si>
  <si>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</si>
  <si>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</si>
  <si>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</si>
  <si>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</si>
  <si>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</si>
  <si>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</si>
  <si>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</si>
  <si>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</si>
  <si>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</si>
  <si>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</si>
  <si>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</si>
  <si>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</si>
  <si>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</si>
  <si>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</si>
  <si>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</si>
  <si>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</si>
  <si>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</si>
  <si>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</si>
  <si>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</si>
  <si>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</si>
  <si>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</si>
  <si>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</si>
  <si>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</si>
  <si>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</si>
  <si>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</si>
  <si>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</si>
  <si>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</si>
  <si>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</si>
  <si>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</si>
  <si>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</si>
  <si>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</si>
  <si>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</si>
  <si>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</si>
  <si>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</si>
  <si>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</si>
  <si>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</si>
  <si>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</si>
  <si>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</si>
  <si>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</si>
  <si>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</si>
  <si>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</si>
  <si>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</si>
  <si>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</si>
  <si>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</si>
  <si>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</si>
  <si>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</si>
  <si>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</si>
  <si>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</si>
  <si>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</si>
  <si>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</si>
  <si>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</si>
  <si>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</si>
  <si>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</si>
  <si>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</si>
  <si>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</si>
  <si>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</si>
  <si>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</si>
  <si>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</si>
  <si>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</si>
  <si>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</si>
  <si>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</si>
  <si>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</si>
  <si>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</si>
  <si>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</si>
  <si>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</si>
  <si>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</si>
  <si>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</si>
  <si>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</si>
  <si>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</si>
  <si>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</si>
  <si>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</si>
  <si>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</si>
  <si>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</si>
  <si>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</si>
  <si>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</si>
  <si>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</si>
  <si>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</si>
  <si>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</si>
  <si>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</si>
  <si>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</si>
  <si>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</si>
  <si>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</si>
  <si>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</si>
  <si>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</si>
  <si>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</si>
  <si>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</si>
  <si>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</si>
  <si>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</si>
  <si>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</si>
  <si>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</si>
  <si>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</si>
  <si>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</si>
  <si>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</si>
  <si>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</si>
  <si>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</si>
  <si>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</si>
  <si>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</si>
  <si>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</si>
  <si>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</si>
  <si>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</si>
  <si>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</si>
  <si>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</si>
  <si>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</si>
  <si>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</si>
  <si>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</si>
  <si>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</si>
  <si>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</si>
  <si>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</si>
  <si>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</si>
  <si>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</si>
  <si>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</si>
  <si>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</si>
  <si>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</si>
  <si>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</si>
  <si>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</si>
  <si>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</si>
  <si>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</si>
  <si>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</si>
  <si>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</si>
  <si>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</si>
  <si>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</si>
  <si>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</si>
  <si>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</si>
  <si>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</si>
  <si>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</si>
  <si>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</si>
  <si>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</si>
  <si>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</si>
  <si>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</si>
  <si>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</si>
  <si>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</si>
  <si>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</si>
  <si>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</si>
  <si>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</si>
  <si>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</si>
  <si>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</si>
  <si>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</si>
  <si>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</si>
  <si>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</si>
  <si>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</si>
  <si>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</si>
  <si>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</si>
  <si>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</si>
  <si>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</si>
  <si>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</si>
  <si>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</si>
  <si>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</si>
  <si>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</si>
  <si>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</si>
  <si>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</si>
  <si>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</si>
  <si>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</si>
  <si>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</si>
  <si>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</si>
  <si>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</si>
  <si>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</si>
  <si>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</si>
  <si>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</si>
  <si>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</si>
  <si>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</si>
  <si>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</si>
  <si>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</si>
  <si>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</si>
  <si>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</si>
  <si>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</si>
  <si>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</si>
  <si>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</si>
  <si>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</si>
  <si>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</si>
  <si>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</si>
  <si>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</si>
  <si>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</si>
  <si>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</si>
  <si>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</si>
  <si>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</si>
  <si>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</si>
  <si>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</si>
  <si>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</si>
  <si>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</si>
  <si>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</si>
  <si>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</si>
  <si>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</si>
  <si>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</si>
  <si>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</si>
  <si>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</si>
  <si>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</si>
  <si>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</si>
  <si>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</si>
  <si>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</si>
  <si>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</si>
  <si>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</si>
  <si>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</si>
  <si>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</si>
  <si>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</si>
  <si>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</si>
  <si>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</si>
  <si>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</si>
  <si>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</si>
  <si>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</si>
  <si>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</si>
  <si>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</si>
  <si>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</si>
  <si>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</si>
  <si>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</si>
  <si>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</si>
  <si>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</si>
  <si>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</si>
  <si>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</si>
  <si>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</si>
  <si>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</si>
  <si>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</si>
  <si>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</si>
  <si>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</si>
  <si>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</si>
  <si>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</si>
  <si>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</si>
  <si>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</si>
  <si>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</si>
  <si>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</si>
  <si>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</si>
  <si>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</si>
  <si>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</si>
  <si>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</si>
  <si>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</si>
  <si>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</si>
  <si>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</si>
  <si>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</si>
  <si>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</si>
  <si>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</si>
  <si>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</si>
  <si>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</si>
  <si>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</si>
  <si>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</si>
  <si>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</si>
  <si>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</si>
  <si>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</si>
  <si>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</si>
  <si>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</si>
  <si>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</si>
  <si>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</si>
  <si>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</si>
  <si>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</si>
  <si>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</si>
  <si>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</si>
  <si>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</si>
  <si>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</si>
  <si>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</si>
  <si>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</si>
  <si>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</si>
  <si>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</si>
  <si>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</si>
  <si>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</si>
  <si>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</si>
  <si>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</si>
  <si>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</si>
  <si>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</si>
  <si>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</si>
  <si>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</si>
  <si>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</si>
  <si>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</si>
  <si>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</si>
  <si>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</si>
  <si>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</si>
  <si>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</si>
  <si>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</si>
  <si>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</si>
  <si>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</si>
  <si>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</si>
  <si>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</si>
  <si>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</si>
  <si>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</si>
  <si>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</si>
  <si>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</si>
  <si>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</si>
  <si>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</si>
  <si>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</si>
  <si>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</si>
  <si>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</si>
  <si>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</si>
  <si>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</si>
  <si>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</si>
  <si>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</si>
  <si>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</si>
  <si>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</si>
  <si>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</si>
  <si>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</si>
  <si>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</si>
  <si>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</si>
  <si>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</si>
  <si>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</si>
  <si>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</si>
  <si>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</si>
  <si>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</si>
  <si>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</si>
  <si>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</si>
  <si>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</si>
  <si>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</si>
  <si>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</si>
  <si>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</si>
  <si>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</si>
  <si>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</si>
  <si>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</si>
  <si>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</si>
  <si>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</si>
  <si>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</si>
  <si>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</si>
  <si>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</si>
  <si>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</si>
  <si>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</si>
  <si>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</si>
  <si>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</si>
  <si>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</si>
  <si>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</si>
  <si>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</si>
  <si>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</si>
  <si>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</si>
  <si>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</si>
  <si>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</si>
  <si>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</si>
  <si>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</si>
  <si>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</si>
  <si>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</si>
  <si>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</si>
  <si>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</si>
  <si>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</si>
  <si>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</si>
  <si>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</si>
  <si>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</si>
  <si>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</si>
  <si>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</si>
  <si>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</si>
  <si>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</si>
  <si>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</si>
  <si>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</si>
  <si>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</si>
  <si>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</si>
  <si>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</si>
  <si>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</si>
  <si>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</si>
  <si>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</si>
  <si>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</si>
  <si>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</si>
  <si>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</si>
  <si>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</si>
  <si>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</si>
  <si>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</si>
  <si>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</si>
  <si>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</si>
  <si>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</si>
  <si>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</si>
  <si>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</si>
  <si>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</si>
  <si>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</si>
  <si>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</si>
  <si>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</si>
  <si>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</si>
  <si>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</si>
  <si>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</si>
  <si>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</si>
  <si>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</si>
  <si>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</si>
  <si>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</si>
  <si>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</si>
  <si>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</si>
  <si>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</si>
  <si>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</si>
  <si>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</si>
  <si>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</si>
  <si>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</si>
  <si>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</si>
  <si>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</si>
  <si>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</si>
  <si>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</si>
  <si>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</si>
  <si>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</si>
  <si>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</si>
  <si>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</si>
  <si>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</si>
  <si>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</si>
  <si>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</si>
  <si>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</si>
  <si>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</si>
  <si>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</si>
  <si>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</si>
  <si>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</si>
  <si>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</si>
  <si>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</si>
  <si>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</si>
  <si>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</si>
  <si>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</si>
  <si>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</si>
  <si>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</si>
  <si>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</si>
  <si>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</si>
  <si>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</si>
  <si>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</si>
  <si>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</si>
  <si>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</si>
  <si>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</si>
  <si>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</si>
  <si>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</si>
  <si>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</si>
  <si>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</si>
  <si>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</si>
  <si>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</si>
  <si>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</si>
  <si>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</si>
  <si>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</si>
  <si>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</si>
  <si>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</si>
  <si>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</si>
  <si>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</si>
  <si>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</si>
  <si>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</si>
  <si>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</si>
  <si>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</si>
  <si>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</si>
  <si>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</si>
  <si>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</si>
  <si>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</si>
  <si>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</si>
  <si>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</si>
  <si>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</si>
  <si>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</si>
  <si>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</si>
  <si>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</si>
  <si>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</si>
  <si>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</si>
  <si>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</si>
  <si>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</si>
  <si>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</si>
  <si>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</si>
  <si>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</si>
  <si>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</si>
  <si>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</si>
  <si>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</si>
  <si>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</si>
  <si>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</si>
  <si>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</si>
  <si>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</si>
  <si>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</si>
  <si>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</si>
  <si>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</si>
  <si>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</si>
  <si>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</si>
  <si>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</si>
  <si>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</si>
  <si>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</si>
  <si>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</si>
  <si>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</si>
  <si>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</si>
  <si>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</si>
  <si>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</si>
  <si>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</si>
  <si>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</si>
  <si>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</si>
  <si>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</si>
  <si>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</si>
  <si>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</si>
  <si>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</si>
  <si>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</si>
  <si>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</si>
  <si>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</si>
  <si>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</si>
  <si>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</si>
  <si>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</si>
  <si>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</si>
  <si>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</si>
  <si>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</si>
  <si>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</si>
  <si>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</si>
  <si>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</si>
  <si>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</si>
  <si>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</si>
  <si>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</si>
  <si>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</si>
  <si>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</si>
  <si>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</si>
  <si>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</si>
  <si>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</si>
  <si>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</si>
  <si>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</si>
  <si>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</si>
  <si>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</si>
  <si>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</si>
  <si>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</si>
  <si>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</si>
  <si>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</si>
  <si>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</si>
  <si>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</si>
  <si>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</si>
  <si>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</si>
  <si>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</si>
  <si>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</si>
  <si>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</si>
  <si>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</si>
  <si>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</si>
  <si>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</si>
  <si>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</si>
  <si>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</si>
  <si>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</si>
  <si>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</si>
  <si>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</si>
  <si>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</si>
  <si>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</si>
  <si>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</si>
  <si>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</si>
  <si>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</si>
  <si>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</si>
  <si>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</si>
  <si>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</si>
  <si>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</si>
  <si>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</si>
  <si>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</si>
  <si>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</si>
  <si>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</si>
  <si>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</si>
  <si>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</si>
  <si>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</si>
  <si>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</si>
  <si>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</si>
  <si>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</si>
  <si>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</si>
  <si>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</si>
  <si>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</si>
  <si>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</si>
  <si>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</si>
  <si>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</si>
  <si>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</si>
  <si>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</si>
  <si>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</si>
  <si>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</si>
  <si>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</si>
  <si>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</si>
  <si>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</si>
  <si>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</si>
  <si>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</si>
  <si>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</si>
  <si>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</si>
  <si>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</si>
  <si>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</si>
  <si>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</si>
  <si>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</si>
  <si>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</si>
  <si>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</si>
  <si>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</si>
  <si>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</si>
  <si>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</si>
  <si>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</si>
  <si>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</si>
  <si>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</si>
  <si>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</si>
  <si>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</si>
  <si>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</si>
  <si>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</si>
  <si>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</si>
  <si>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</si>
  <si>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</si>
  <si>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</si>
  <si>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</si>
  <si>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</si>
  <si>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</si>
  <si>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</si>
  <si>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</si>
  <si>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</si>
  <si>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</si>
  <si>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</si>
  <si>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</si>
  <si>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</si>
  <si>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</si>
  <si>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</si>
  <si>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</si>
  <si>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</si>
  <si>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</si>
  <si>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</si>
  <si>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</si>
  <si>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</si>
  <si>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</si>
  <si>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</si>
  <si>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</si>
  <si>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</si>
  <si>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</si>
  <si>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</si>
  <si>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</si>
  <si>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</si>
  <si>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</si>
  <si>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</si>
  <si>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</si>
  <si>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</si>
  <si>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</si>
  <si>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</si>
  <si>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</si>
  <si>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</si>
  <si>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</si>
  <si>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</si>
  <si>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</si>
  <si>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</si>
  <si>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</si>
  <si>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</si>
  <si>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</si>
  <si>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</si>
  <si>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</si>
  <si>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</si>
  <si>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</si>
  <si>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</si>
  <si>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</si>
  <si>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</si>
  <si>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</si>
  <si>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</si>
  <si>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</si>
  <si>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</si>
  <si>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</si>
  <si>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</si>
  <si>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</si>
  <si>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</si>
  <si>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</si>
  <si>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</si>
  <si>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</si>
  <si>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</si>
  <si>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</si>
  <si>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</si>
  <si>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</si>
  <si>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</si>
  <si>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</si>
  <si>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</si>
  <si>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</si>
  <si>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</si>
  <si>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</si>
  <si>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</si>
  <si>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</si>
  <si>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</si>
  <si>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</si>
  <si>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</si>
  <si>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</si>
  <si>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</si>
  <si>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</si>
  <si>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</si>
  <si>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</si>
  <si>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</si>
  <si>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</si>
  <si>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</si>
  <si>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</si>
  <si>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</si>
  <si>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</si>
  <si>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</si>
  <si>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</si>
  <si>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</si>
  <si>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</si>
  <si>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</si>
  <si>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</si>
  <si>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</si>
  <si>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</si>
  <si>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</si>
  <si>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</si>
  <si>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</si>
  <si>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</si>
  <si>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</si>
  <si>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</si>
  <si>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</si>
  <si>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</si>
  <si>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</si>
  <si>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</si>
  <si>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</si>
  <si>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</si>
  <si>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</si>
  <si>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</si>
  <si>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</si>
  <si>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</si>
  <si>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</si>
  <si>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</si>
  <si>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</si>
  <si>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</si>
  <si>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</si>
  <si>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</si>
  <si>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</si>
  <si>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</si>
  <si>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</si>
  <si>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</si>
  <si>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</si>
  <si>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</si>
  <si>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</si>
  <si>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</si>
  <si>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</si>
  <si>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</si>
  <si>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</si>
  <si>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</si>
  <si>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</si>
  <si>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</si>
  <si>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</si>
  <si>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</si>
  <si>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</si>
  <si>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</si>
  <si>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</si>
  <si>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</si>
  <si>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</si>
  <si>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</si>
  <si>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</si>
  <si>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</si>
  <si>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</si>
  <si>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</si>
  <si>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</si>
  <si>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</si>
  <si>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</si>
  <si>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</si>
  <si>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</si>
  <si>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</si>
  <si>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</si>
  <si>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</si>
  <si>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</si>
  <si>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</si>
  <si>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</si>
  <si>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</si>
  <si>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</si>
  <si>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</si>
  <si>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</si>
  <si>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</si>
  <si>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</si>
  <si>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</si>
  <si>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</si>
  <si>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</si>
  <si>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</si>
  <si>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</si>
  <si>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</si>
  <si>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</si>
  <si>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</si>
  <si>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</si>
  <si>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</si>
  <si>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</si>
  <si>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</si>
  <si>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</si>
  <si>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</si>
  <si>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</si>
  <si>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</si>
  <si>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</si>
  <si>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</si>
  <si>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</si>
  <si>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</si>
  <si>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</si>
  <si>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</si>
  <si>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</si>
  <si>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</si>
  <si>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</si>
  <si>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</si>
  <si>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</si>
  <si>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</si>
  <si>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</si>
  <si>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</si>
  <si>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</si>
  <si>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</si>
  <si>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</si>
  <si>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</si>
  <si>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</si>
  <si>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</si>
  <si>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</si>
  <si>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</si>
  <si>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</si>
  <si>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</si>
  <si>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</si>
  <si>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</si>
  <si>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</si>
  <si>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</si>
  <si>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</si>
  <si>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</si>
  <si>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</si>
  <si>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</si>
  <si>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</si>
  <si>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</si>
  <si>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</si>
  <si>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</si>
  <si>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</si>
  <si>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</si>
  <si>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</si>
  <si>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</si>
  <si>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</si>
  <si>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</si>
  <si>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</si>
  <si>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</si>
  <si>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</si>
  <si>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</si>
  <si>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</si>
  <si>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</si>
  <si>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</si>
  <si>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</si>
  <si>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</si>
  <si>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</si>
  <si>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</si>
  <si>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</si>
  <si>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</si>
  <si>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</si>
  <si>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</si>
  <si>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</si>
  <si>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</si>
  <si>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</si>
  <si>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</si>
  <si>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</si>
  <si>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</si>
  <si>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</si>
  <si>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</si>
  <si>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</si>
  <si>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</si>
  <si>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</si>
  <si>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</si>
  <si>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</si>
  <si>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</si>
  <si>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</si>
  <si>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</si>
  <si>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</si>
  <si>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</si>
  <si>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</si>
  <si>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</si>
  <si>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</si>
  <si>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</si>
  <si>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</si>
  <si>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</si>
  <si>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</si>
  <si>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</si>
  <si>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</si>
  <si>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</si>
  <si>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</si>
  <si>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</si>
  <si>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</si>
  <si>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</si>
  <si>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</si>
  <si>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</si>
  <si>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</si>
  <si>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</si>
  <si>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</si>
  <si>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</si>
  <si>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</si>
  <si>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</si>
  <si>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</si>
  <si>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</si>
  <si>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</si>
  <si>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</si>
  <si>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</si>
  <si>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</si>
  <si>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</si>
  <si>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</si>
  <si>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</si>
  <si>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</si>
  <si>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</si>
  <si>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</si>
  <si>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</si>
  <si>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</si>
  <si>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</si>
  <si>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</si>
  <si>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</si>
  <si>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</si>
  <si>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</si>
  <si>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</si>
  <si>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</si>
  <si>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</si>
  <si>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</si>
  <si>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</si>
  <si>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</si>
  <si>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</si>
  <si>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</si>
  <si>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</si>
  <si>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</si>
  <si>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</si>
  <si>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</si>
  <si>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</si>
  <si>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</si>
  <si>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</si>
  <si>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</si>
  <si>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</si>
  <si>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</si>
  <si>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</si>
  <si>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</si>
  <si>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</si>
  <si>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</si>
  <si>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</si>
  <si>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</si>
  <si>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</si>
  <si>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</si>
  <si>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</si>
  <si>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</si>
  <si>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</si>
  <si>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</si>
  <si>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</si>
  <si>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</si>
  <si>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</si>
  <si>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</si>
  <si>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</si>
  <si>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</si>
  <si>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</si>
  <si>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</si>
  <si>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</si>
  <si>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</si>
  <si>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</si>
  <si>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</si>
  <si>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</si>
  <si>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</si>
  <si>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</si>
  <si>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</si>
  <si>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</si>
  <si>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</si>
  <si>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</si>
  <si>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</si>
  <si>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</si>
  <si>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</si>
  <si>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</si>
  <si>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</si>
  <si>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</si>
  <si>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</si>
  <si>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</si>
  <si>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</si>
  <si>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</si>
  <si>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</si>
  <si>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</si>
  <si>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</si>
  <si>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</si>
  <si>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</si>
  <si>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</si>
  <si>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</si>
  <si>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</si>
  <si>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</si>
  <si>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</si>
  <si>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</si>
  <si>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</si>
  <si>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</si>
  <si>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</si>
  <si>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</si>
  <si>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</si>
  <si>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</si>
  <si>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</si>
  <si>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</si>
  <si>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</si>
  <si>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</si>
  <si>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</si>
  <si>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</si>
  <si>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</si>
  <si>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</si>
  <si>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</si>
  <si>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</si>
  <si>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</si>
  <si>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</si>
  <si>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</si>
  <si>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</si>
  <si>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</si>
  <si>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</si>
  <si>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</si>
  <si>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</si>
  <si>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</si>
  <si>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</si>
  <si>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</si>
  <si>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</si>
  <si>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</si>
  <si>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</si>
  <si>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</si>
  <si>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</si>
  <si>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</si>
  <si>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</si>
  <si>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</si>
  <si>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</si>
  <si>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</si>
  <si>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</si>
  <si>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</si>
  <si>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</si>
  <si>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</si>
  <si>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</si>
  <si>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</si>
  <si>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</si>
  <si>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</si>
  <si>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</si>
  <si>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</si>
  <si>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</si>
  <si>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</si>
  <si>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</si>
  <si>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</si>
  <si>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</si>
  <si>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</si>
  <si>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</si>
  <si>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</si>
  <si>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</si>
  <si>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</si>
  <si>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</si>
  <si>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</si>
  <si>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</si>
  <si>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</si>
  <si>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</si>
  <si>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</si>
  <si>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</si>
  <si>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</si>
  <si>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</si>
  <si>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</si>
  <si>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</si>
  <si>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</si>
  <si>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</si>
  <si>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</si>
  <si>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</si>
  <si>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</si>
  <si>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</si>
  <si>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</si>
  <si>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</si>
  <si>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</si>
  <si>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</si>
  <si>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</si>
  <si>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</si>
  <si>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</si>
  <si>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</si>
  <si>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</si>
  <si>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</si>
  <si>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</si>
  <si>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</si>
  <si>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</si>
  <si>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</si>
  <si>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</si>
  <si>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</si>
  <si>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</si>
  <si>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</si>
  <si>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</si>
  <si>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</si>
  <si>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</si>
  <si>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</si>
  <si>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</si>
  <si>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</si>
  <si>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</si>
  <si>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</si>
  <si>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</si>
  <si>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</si>
  <si>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</si>
  <si>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</si>
  <si>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</si>
  <si>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</si>
  <si>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</si>
  <si>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</si>
  <si>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</si>
  <si>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</si>
  <si>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</si>
  <si>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</si>
  <si>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</si>
  <si>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</si>
  <si>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</si>
  <si>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</si>
  <si>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</si>
  <si>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</si>
  <si>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</si>
  <si>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</si>
  <si>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</si>
  <si>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</si>
  <si>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</si>
  <si>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</si>
  <si>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</si>
  <si>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</si>
  <si>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</si>
  <si>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</si>
  <si>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</si>
  <si>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</si>
  <si>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</si>
  <si>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</si>
  <si>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</si>
  <si>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</si>
  <si>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</si>
  <si>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</si>
  <si>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</si>
  <si>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</si>
  <si>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</si>
  <si>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</si>
  <si>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</si>
  <si>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</si>
  <si>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</si>
  <si>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</si>
  <si>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</si>
  <si>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</si>
  <si>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</si>
  <si>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</si>
  <si>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</si>
  <si>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</si>
  <si>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</si>
  <si>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</si>
  <si>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</si>
  <si>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</si>
  <si>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</si>
  <si>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</si>
  <si>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</si>
  <si>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</si>
  <si>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</si>
  <si>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</si>
  <si>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</si>
  <si>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</si>
  <si>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</si>
  <si>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</si>
  <si>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</si>
  <si>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</si>
  <si>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</si>
  <si>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</si>
  <si>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</si>
  <si>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</si>
  <si>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</si>
  <si>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</si>
  <si>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</si>
  <si>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</si>
  <si>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</si>
  <si>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</si>
  <si>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</si>
  <si>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</si>
  <si>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</si>
  <si>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</si>
  <si>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</si>
  <si>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</si>
  <si>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</si>
  <si>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</si>
  <si>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</si>
  <si>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</si>
  <si>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</si>
  <si>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</si>
  <si>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</si>
  <si>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</si>
  <si>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</si>
  <si>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</si>
  <si>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</si>
  <si>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</si>
  <si>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</si>
  <si>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</si>
  <si>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</si>
  <si>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</si>
  <si>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</si>
  <si>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</si>
  <si>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</si>
  <si>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</si>
  <si>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</si>
  <si>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</si>
  <si>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</si>
  <si>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</si>
  <si>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</si>
  <si>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</si>
  <si>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</si>
  <si>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</si>
  <si>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</si>
  <si>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</si>
  <si>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</si>
  <si>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</si>
  <si>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</si>
  <si>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</si>
  <si>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</si>
  <si>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</si>
  <si>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</si>
  <si>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</si>
  <si>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</si>
  <si>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</si>
  <si>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</si>
  <si>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</si>
  <si>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</si>
  <si>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</si>
  <si>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</si>
  <si>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</si>
  <si>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</si>
  <si>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</si>
  <si>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</si>
  <si>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</si>
  <si>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</si>
  <si>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</si>
  <si>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</si>
  <si>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</si>
  <si>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</si>
  <si>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</si>
  <si>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</si>
  <si>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</si>
  <si>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</si>
  <si>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</si>
  <si>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</si>
  <si>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</si>
  <si>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</si>
  <si>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</si>
  <si>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</si>
  <si>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</si>
  <si>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</si>
  <si>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</si>
  <si>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</si>
  <si>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</si>
  <si>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</si>
  <si>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</si>
  <si>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</si>
  <si>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</si>
  <si>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</si>
  <si>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</si>
  <si>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</si>
  <si>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</si>
  <si>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</si>
  <si>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</si>
  <si>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</si>
  <si>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</si>
  <si>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</si>
  <si>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</si>
  <si>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</si>
  <si>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</si>
  <si>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</si>
  <si>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</si>
  <si>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</si>
  <si>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</si>
  <si>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</si>
  <si>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</si>
  <si>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</si>
  <si>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</si>
  <si>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</si>
  <si>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</si>
  <si>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</si>
  <si>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</si>
  <si>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</si>
  <si>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</si>
  <si>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</si>
  <si>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</si>
  <si>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</si>
  <si>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</si>
  <si>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</si>
  <si>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</si>
  <si>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</si>
  <si>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</si>
  <si>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</si>
  <si>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</si>
  <si>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</si>
  <si>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</si>
  <si>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</si>
  <si>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</si>
  <si>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</si>
  <si>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</si>
  <si>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</si>
  <si>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</si>
  <si>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</si>
  <si>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</si>
  <si>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</si>
  <si>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</si>
  <si>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</si>
  <si>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</si>
  <si>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</si>
  <si>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</si>
  <si>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</si>
  <si>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</si>
  <si>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</si>
  <si>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</si>
  <si>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</si>
  <si>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</si>
  <si>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</si>
  <si>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</si>
  <si>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</si>
  <si>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</si>
  <si>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</si>
  <si>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</si>
  <si>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</si>
  <si>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</si>
  <si>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</si>
  <si>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</si>
  <si>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</si>
  <si>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</si>
  <si>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</si>
  <si>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</si>
  <si>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</si>
  <si>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</si>
  <si>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</si>
  <si>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</si>
  <si>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</si>
  <si>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</si>
  <si>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</si>
  <si>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</si>
  <si>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</si>
  <si>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</si>
  <si>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</si>
  <si>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</si>
  <si>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</si>
  <si>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</si>
  <si>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</si>
  <si>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</si>
  <si>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</si>
  <si>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</si>
  <si>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</si>
  <si>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</si>
  <si>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</si>
  <si>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</si>
  <si>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</si>
  <si>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</si>
  <si>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</si>
  <si>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</si>
  <si>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</si>
  <si>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</si>
  <si>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</si>
  <si>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</si>
  <si>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</si>
  <si>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</si>
  <si>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</si>
  <si>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</si>
  <si>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</si>
  <si>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</si>
  <si>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</si>
  <si>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</si>
  <si>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</si>
  <si>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</si>
  <si>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</si>
  <si>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</si>
  <si>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</si>
  <si>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</si>
  <si>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</si>
  <si>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</si>
  <si>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</si>
  <si>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</si>
  <si>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</si>
  <si>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</si>
  <si>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</si>
  <si>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</si>
  <si>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</si>
  <si>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</si>
  <si>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</si>
  <si>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</si>
  <si>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</si>
  <si>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</si>
  <si>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</si>
  <si>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</si>
  <si>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</si>
  <si>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</si>
  <si>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</si>
  <si>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</si>
  <si>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</si>
  <si>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</si>
  <si>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</si>
  <si>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</si>
  <si>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</si>
  <si>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</si>
  <si>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</si>
  <si>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</si>
  <si>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</si>
  <si>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</si>
  <si>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</si>
  <si>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</si>
  <si>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</si>
  <si>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</si>
  <si>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</si>
  <si>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</si>
  <si>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</si>
  <si>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</si>
  <si>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</si>
  <si>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</si>
  <si>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</si>
  <si>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</si>
  <si>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</si>
  <si>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</si>
  <si>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</si>
  <si>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</si>
  <si>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</si>
  <si>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</si>
  <si>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</si>
  <si>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</si>
  <si>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</si>
  <si>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</si>
  <si>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</si>
  <si>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</si>
  <si>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</si>
  <si>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</si>
  <si>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</si>
  <si>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</si>
  <si>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</si>
  <si>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</si>
  <si>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</si>
  <si>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</si>
  <si>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</si>
  <si>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</si>
  <si>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</si>
  <si>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</si>
  <si>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</si>
  <si>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</si>
  <si>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</si>
  <si>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</si>
  <si>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</si>
  <si>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</si>
  <si>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</si>
  <si>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</si>
  <si>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</si>
  <si>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</si>
  <si>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</si>
  <si>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</si>
  <si>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</si>
  <si>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</si>
  <si>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</si>
  <si>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</si>
  <si>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</si>
  <si>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</si>
  <si>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</si>
  <si>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</si>
  <si>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</si>
  <si>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</si>
  <si>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</si>
  <si>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</si>
  <si>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</si>
  <si>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</si>
  <si>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</si>
  <si>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</si>
  <si>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</si>
  <si>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</si>
  <si>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</si>
  <si>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</si>
  <si>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</si>
  <si>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</si>
  <si>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</si>
  <si>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</si>
  <si>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</si>
  <si>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</si>
  <si>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</si>
  <si>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</si>
  <si>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</si>
  <si>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</si>
  <si>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</si>
  <si>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</si>
  <si>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</si>
  <si>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</si>
  <si>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</si>
  <si>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</si>
  <si>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</si>
  <si>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</si>
  <si>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</si>
  <si>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</si>
  <si>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</si>
  <si>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</si>
  <si>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</si>
  <si>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</si>
  <si>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</si>
  <si>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</si>
  <si>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</si>
  <si>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</si>
  <si>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</si>
  <si>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</si>
  <si>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</si>
  <si>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</si>
  <si>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</si>
  <si>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</si>
  <si>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</si>
  <si>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</si>
  <si>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</si>
  <si>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</si>
  <si>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</si>
  <si>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</si>
  <si>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</si>
  <si>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</si>
  <si>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</si>
  <si>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</si>
  <si>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</si>
  <si>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</si>
  <si>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</si>
  <si>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</si>
  <si>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</si>
  <si>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</si>
  <si>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</si>
  <si>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</si>
  <si>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</si>
  <si>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</si>
  <si>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</si>
  <si>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</si>
  <si>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</si>
  <si>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</si>
  <si>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</si>
  <si>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</si>
  <si>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</si>
  <si>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</si>
  <si>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</si>
  <si>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</si>
  <si>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</si>
  <si>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</si>
  <si>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</si>
  <si>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</si>
  <si>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</si>
  <si>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</si>
  <si>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</si>
  <si>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</si>
  <si>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</si>
  <si>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</si>
  <si>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</si>
  <si>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</si>
  <si>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</si>
  <si>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</si>
  <si>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</si>
  <si>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</si>
  <si>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</si>
  <si>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</si>
  <si>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</si>
  <si>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</si>
  <si>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</si>
  <si>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</si>
  <si>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</si>
  <si>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</si>
  <si>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</si>
  <si>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</si>
  <si>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</si>
  <si>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</si>
  <si>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</si>
  <si>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</si>
  <si>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</si>
  <si>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</si>
  <si>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</si>
  <si>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</si>
  <si>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</si>
  <si>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</si>
  <si>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</si>
  <si>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</si>
  <si>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</si>
  <si>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</si>
  <si>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</si>
  <si>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</si>
  <si>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</si>
  <si>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</si>
  <si>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</si>
  <si>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</si>
  <si>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</si>
  <si>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</si>
  <si>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</si>
  <si>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</si>
  <si>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</si>
  <si>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</si>
  <si>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</si>
  <si>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</si>
  <si>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</si>
  <si>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</si>
  <si>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</si>
  <si>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</si>
  <si>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</si>
  <si>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</si>
  <si>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</si>
  <si>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</si>
  <si>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</si>
  <si>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</si>
  <si>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</si>
  <si>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</si>
  <si>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</si>
  <si>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</si>
  <si>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</si>
  <si>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</si>
  <si>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</si>
  <si>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</si>
  <si>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</si>
  <si>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</si>
  <si>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</si>
  <si>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</si>
  <si>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</si>
  <si>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</si>
  <si>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</si>
  <si>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</si>
  <si>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</si>
  <si>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</si>
  <si>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</si>
  <si>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</si>
  <si>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</si>
  <si>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</si>
  <si>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</si>
  <si>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</si>
  <si>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</si>
  <si>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</si>
  <si>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</si>
  <si>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</si>
  <si>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</si>
  <si>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</si>
  <si>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</si>
  <si>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</si>
  <si>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</si>
  <si>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</si>
  <si>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</si>
  <si>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</si>
  <si>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</si>
  <si>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</si>
  <si>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</si>
  <si>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</si>
  <si>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</si>
  <si>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</si>
  <si>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</si>
  <si>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</si>
  <si>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</si>
  <si>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</si>
  <si>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</si>
  <si>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</si>
  <si>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</si>
  <si>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</si>
  <si>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</si>
  <si>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</si>
  <si>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</si>
  <si>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</si>
  <si>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</si>
  <si>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</si>
  <si>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</si>
  <si>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</si>
  <si>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</si>
  <si>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</si>
  <si>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</si>
  <si>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</si>
  <si>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</si>
  <si>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</si>
  <si>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</si>
  <si>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</si>
  <si>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</si>
  <si>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</si>
  <si>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</si>
  <si>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</si>
  <si>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</si>
  <si>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</si>
  <si>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</si>
  <si>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</si>
  <si>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</si>
  <si>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</si>
  <si>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</si>
  <si>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</si>
  <si>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</si>
  <si>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</si>
  <si>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</si>
  <si>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</si>
  <si>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</si>
  <si>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</si>
  <si>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</si>
  <si>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</si>
  <si>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</si>
  <si>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</si>
  <si>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</si>
  <si>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</si>
  <si>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</si>
  <si>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</si>
  <si>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</si>
  <si>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</si>
  <si>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</si>
  <si>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</si>
  <si>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</si>
  <si>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</si>
  <si>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</si>
  <si>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</si>
  <si>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</si>
  <si>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</si>
  <si>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</si>
  <si>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</si>
  <si>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</si>
  <si>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</si>
  <si>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</si>
  <si>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</si>
  <si>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</si>
  <si>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</si>
  <si>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</si>
  <si>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</si>
  <si>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</si>
  <si>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</si>
  <si>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</si>
  <si>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</si>
  <si>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</si>
  <si>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</si>
  <si>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</si>
  <si>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</si>
  <si>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</si>
  <si>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</si>
  <si>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</si>
  <si>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</si>
  <si>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</si>
  <si>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</si>
  <si>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</si>
  <si>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</si>
  <si>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</si>
  <si>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</si>
  <si>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</si>
  <si>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</si>
  <si>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</si>
  <si>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</si>
  <si>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</si>
  <si>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</si>
  <si>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</si>
  <si>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</si>
  <si>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</si>
  <si>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</si>
  <si>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</si>
  <si>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</si>
  <si>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</si>
  <si>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</si>
  <si>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</si>
  <si>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</si>
  <si>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</si>
  <si>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</si>
  <si>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</si>
  <si>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</si>
  <si>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</si>
  <si>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</si>
  <si>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</si>
  <si>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</si>
  <si>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</si>
  <si>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</si>
  <si>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</si>
  <si>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</si>
  <si>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</si>
  <si>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</si>
  <si>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</si>
  <si>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</si>
  <si>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</si>
  <si>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</si>
  <si>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</si>
  <si>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</si>
  <si>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</si>
  <si>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</si>
  <si>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</si>
  <si>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</si>
  <si>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</si>
  <si>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</si>
  <si>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</si>
  <si>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</si>
  <si>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</si>
  <si>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</si>
  <si>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</si>
  <si>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</si>
  <si>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</si>
  <si>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</si>
  <si>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</si>
  <si>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</si>
  <si>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</si>
  <si>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</si>
  <si>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</si>
  <si>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</si>
  <si>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</si>
  <si>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</si>
  <si>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</si>
  <si>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</si>
  <si>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</si>
  <si>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</si>
  <si>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</si>
  <si>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</si>
  <si>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</si>
  <si>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</si>
  <si>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</si>
  <si>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</si>
  <si>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</si>
  <si>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</si>
  <si>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</si>
  <si>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</si>
  <si>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</si>
  <si>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</si>
  <si>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</si>
  <si>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</si>
  <si>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</si>
  <si>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</si>
  <si>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</si>
  <si>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</si>
  <si>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</si>
  <si>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</si>
  <si>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</si>
  <si>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</si>
  <si>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</si>
  <si>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</si>
  <si>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</si>
  <si>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</si>
  <si>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</si>
  <si>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</si>
  <si>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</si>
  <si>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</si>
  <si>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</si>
  <si>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</si>
  <si>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</si>
  <si>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</si>
  <si>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</si>
  <si>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</si>
  <si>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</si>
  <si>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</si>
  <si>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</si>
  <si>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</si>
  <si>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</si>
  <si>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</si>
  <si>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</si>
  <si>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</si>
  <si>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</si>
  <si>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</si>
  <si>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</si>
  <si>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</si>
  <si>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</si>
  <si>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</si>
  <si>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</si>
  <si>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</si>
  <si>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</si>
  <si>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</si>
  <si>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</si>
  <si>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</si>
  <si>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</si>
  <si>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</si>
  <si>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</si>
  <si>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</si>
  <si>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</si>
  <si>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</si>
  <si>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</si>
  <si>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</si>
  <si>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</si>
  <si>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</si>
  <si>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</si>
  <si>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</si>
  <si>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</si>
  <si>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</si>
  <si>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</si>
  <si>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</si>
  <si>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</si>
  <si>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</si>
  <si>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</si>
  <si>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</si>
  <si>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</si>
  <si>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</si>
  <si>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</si>
  <si>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</si>
  <si>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</si>
  <si>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</si>
  <si>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</si>
  <si>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</si>
  <si>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</si>
  <si>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</si>
  <si>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</si>
  <si>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</si>
  <si>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</si>
  <si>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</si>
  <si>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</si>
  <si>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</si>
  <si>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</si>
  <si>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</si>
  <si>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</si>
  <si>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</si>
  <si>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</si>
  <si>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</si>
  <si>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</si>
  <si>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</si>
  <si>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</si>
  <si>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</si>
  <si>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</si>
  <si>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</si>
  <si>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</si>
  <si>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</si>
  <si>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</si>
  <si>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</si>
  <si>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</si>
  <si>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</si>
  <si>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</si>
  <si>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</si>
  <si>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</si>
  <si>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</si>
  <si>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</si>
  <si>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</si>
  <si>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</si>
  <si>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</si>
  <si>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</si>
  <si>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</si>
  <si>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</si>
  <si>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</si>
  <si>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</si>
  <si>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</si>
  <si>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</si>
  <si>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</si>
  <si>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</si>
  <si>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</si>
  <si>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</si>
  <si>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</si>
  <si>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</si>
  <si>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</si>
  <si>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</si>
  <si>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</si>
  <si>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</si>
  <si>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</si>
  <si>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</si>
  <si>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</si>
  <si>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</si>
  <si>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</si>
  <si>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</si>
  <si>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</si>
  <si>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</si>
  <si>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</si>
  <si>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</si>
  <si>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</si>
  <si>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</si>
  <si>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</si>
  <si>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</si>
  <si>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</si>
  <si>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</si>
  <si>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</si>
  <si>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</si>
  <si>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</si>
  <si>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</si>
  <si>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</si>
  <si>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</si>
  <si>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</si>
  <si>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</si>
  <si>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</si>
  <si>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</si>
  <si>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</si>
  <si>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</si>
  <si>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</si>
  <si>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</si>
  <si>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</si>
  <si>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</si>
  <si>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</si>
  <si>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</si>
  <si>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</si>
  <si>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</si>
  <si>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</si>
  <si>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</si>
  <si>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</si>
  <si>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</si>
  <si>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</si>
  <si>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</si>
  <si>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</si>
  <si>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</si>
  <si>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</si>
  <si>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</si>
  <si>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</si>
  <si>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</si>
  <si>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</si>
  <si>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</si>
  <si>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</si>
  <si>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</si>
  <si>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</si>
  <si>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</si>
  <si>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</si>
  <si>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</si>
  <si>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</si>
  <si>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</si>
  <si>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</si>
  <si>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</si>
  <si>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</si>
  <si>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</si>
  <si>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</si>
  <si>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</si>
  <si>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</si>
  <si>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</si>
  <si>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</si>
  <si>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</si>
  <si>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</si>
  <si>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</si>
  <si>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</si>
  <si>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</si>
  <si>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</si>
  <si>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</si>
  <si>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</si>
  <si>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</si>
  <si>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</si>
  <si>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</si>
  <si>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</si>
  <si>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</si>
  <si>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</si>
  <si>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</si>
  <si>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</si>
  <si>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</si>
  <si>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</si>
  <si>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</si>
  <si>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</si>
  <si>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</si>
  <si>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</si>
  <si>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</si>
  <si>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</si>
  <si>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</si>
  <si>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</si>
  <si>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</si>
  <si>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</si>
  <si>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</si>
  <si>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</si>
  <si>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</si>
  <si>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</si>
  <si>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</si>
  <si>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</si>
  <si>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</si>
  <si>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</si>
  <si>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</si>
  <si>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</si>
  <si>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</si>
  <si>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</si>
  <si>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</si>
  <si>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</si>
  <si>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</si>
  <si>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</si>
  <si>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</si>
  <si>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</si>
  <si>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</si>
  <si>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</si>
  <si>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</si>
  <si>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</si>
  <si>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</si>
  <si>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</si>
  <si>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</si>
  <si>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</si>
  <si>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</si>
  <si>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</si>
  <si>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</si>
  <si>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</si>
  <si>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</si>
  <si>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</si>
  <si>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</si>
  <si>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</si>
  <si>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</si>
  <si>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</si>
  <si>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</si>
  <si>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</si>
  <si>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</si>
  <si>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</si>
  <si>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</si>
  <si>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</si>
  <si>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</si>
  <si>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</si>
  <si>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</si>
  <si>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</si>
  <si>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</si>
  <si>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</si>
  <si>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</si>
  <si>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</si>
  <si>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</si>
  <si>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</si>
  <si>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</si>
  <si>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</si>
  <si>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</si>
  <si>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</si>
  <si>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</si>
  <si>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</si>
  <si>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</si>
  <si>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</si>
  <si>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</si>
  <si>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</si>
  <si>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</si>
  <si>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</si>
  <si>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</si>
  <si>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</si>
  <si>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</si>
  <si>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</si>
  <si>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</si>
  <si>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</si>
  <si>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</si>
  <si>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</si>
  <si>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</si>
  <si>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</si>
  <si>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</si>
  <si>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</si>
  <si>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</si>
  <si>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</si>
  <si>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</si>
  <si>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</si>
  <si>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</si>
  <si>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</si>
  <si>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</si>
  <si>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</si>
  <si>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</si>
  <si>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</si>
  <si>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</si>
  <si>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</si>
  <si>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</si>
  <si>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</si>
  <si>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</si>
  <si>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</si>
  <si>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</si>
  <si>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</si>
  <si>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</si>
  <si>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</si>
  <si>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</si>
  <si>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</si>
  <si>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</si>
  <si>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</si>
  <si>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</si>
  <si>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</si>
  <si>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</si>
  <si>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</si>
  <si>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</si>
  <si>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</si>
  <si>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</si>
  <si>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</si>
  <si>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</si>
  <si>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</si>
  <si>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</si>
  <si>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</si>
  <si>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</si>
  <si>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</si>
  <si>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</si>
  <si>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</si>
  <si>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</si>
  <si>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</si>
  <si>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</si>
  <si>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</si>
  <si>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</si>
  <si>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</si>
  <si>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</si>
  <si>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</si>
  <si>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</si>
  <si>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</si>
  <si>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</si>
  <si>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</si>
  <si>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</si>
  <si>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</si>
  <si>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</si>
  <si>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</si>
  <si>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</si>
  <si>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</si>
  <si>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</si>
  <si>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</si>
  <si>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</si>
  <si>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</si>
  <si>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</si>
  <si>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</si>
  <si>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</si>
  <si>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</si>
  <si>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</si>
  <si>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</si>
  <si>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</si>
  <si>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</si>
  <si>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</si>
  <si>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</si>
  <si>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</si>
  <si>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</si>
  <si>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</si>
  <si>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</si>
  <si>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</si>
  <si>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</si>
  <si>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</si>
  <si>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</si>
  <si>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</si>
  <si>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</si>
  <si>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</si>
  <si>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</si>
  <si>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</si>
  <si>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</si>
  <si>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</si>
  <si>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</si>
  <si>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</si>
  <si>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</si>
  <si>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</si>
  <si>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</si>
  <si>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</si>
  <si>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</si>
  <si>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</si>
  <si>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</si>
  <si>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</si>
  <si>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</si>
  <si>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</si>
  <si>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</si>
  <si>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</si>
  <si>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</si>
  <si>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</si>
  <si>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</si>
  <si>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</si>
  <si>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</si>
  <si>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</si>
  <si>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</si>
  <si>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</si>
  <si>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</si>
  <si>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</si>
  <si>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</si>
  <si>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</si>
  <si>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</si>
  <si>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</si>
  <si>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</si>
  <si>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</si>
  <si>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</si>
  <si>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</si>
  <si>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</si>
  <si>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</si>
  <si>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</si>
  <si>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</si>
  <si>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</si>
  <si>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</si>
  <si>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</si>
  <si>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</si>
  <si>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</si>
  <si>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</si>
  <si>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</si>
  <si>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</si>
  <si>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</si>
  <si>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</si>
  <si>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</si>
  <si>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</si>
  <si>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</si>
  <si>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</si>
  <si>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</si>
  <si>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</si>
  <si>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</si>
  <si>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</si>
  <si>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</si>
  <si>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</si>
  <si>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</si>
  <si>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</si>
  <si>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</si>
  <si>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</si>
  <si>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</si>
  <si>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</si>
  <si>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</si>
  <si>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</si>
  <si>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</si>
  <si>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</si>
  <si>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</si>
  <si>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</si>
  <si>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</si>
  <si>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</si>
  <si>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</si>
  <si>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</si>
  <si>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</si>
  <si>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</si>
  <si>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</si>
  <si>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</si>
  <si>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</si>
  <si>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</si>
  <si>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</si>
  <si>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</si>
  <si>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</si>
  <si>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</si>
  <si>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</si>
  <si>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</si>
  <si>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</si>
  <si>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</si>
  <si>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</si>
  <si>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</si>
  <si>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</si>
  <si>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</si>
  <si>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</si>
  <si>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</si>
  <si>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</si>
  <si>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</si>
  <si>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</si>
  <si>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</si>
  <si>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</si>
  <si>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</si>
  <si>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</si>
  <si>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</si>
  <si>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</si>
  <si>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</si>
  <si>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</si>
  <si>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</si>
  <si>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</si>
  <si>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</si>
  <si>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</si>
  <si>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</si>
  <si>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</si>
  <si>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</si>
  <si>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</si>
  <si>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</si>
  <si>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</si>
  <si>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</si>
  <si>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</si>
  <si>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</si>
  <si>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</si>
  <si>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</si>
  <si>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</si>
  <si>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</si>
  <si>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</si>
  <si>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</si>
  <si>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</si>
  <si>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</si>
  <si>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</si>
  <si>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</si>
  <si>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</si>
  <si>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</si>
  <si>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</si>
  <si>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</si>
  <si>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</si>
  <si>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</si>
  <si>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</si>
  <si>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</si>
  <si>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</si>
  <si>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</si>
  <si>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</si>
  <si>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</si>
  <si>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</si>
  <si>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</si>
  <si>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</si>
  <si>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</si>
  <si>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</si>
  <si>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</si>
  <si>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</si>
  <si>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</si>
  <si>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</si>
  <si>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</si>
  <si>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</si>
  <si>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</si>
  <si>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</si>
  <si>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</si>
  <si>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</si>
  <si>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</si>
  <si>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</si>
  <si>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</si>
  <si>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</si>
  <si>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</si>
  <si>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</si>
  <si>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</si>
  <si>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</si>
  <si>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</si>
  <si>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</si>
  <si>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</si>
  <si>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</si>
  <si>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</si>
  <si>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</si>
  <si>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</si>
  <si>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</si>
  <si>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</si>
  <si>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</si>
  <si>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</si>
  <si>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</si>
  <si>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</si>
  <si>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</si>
  <si>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</si>
  <si>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</si>
  <si>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</si>
  <si>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</si>
  <si>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</si>
  <si>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</si>
  <si>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</si>
  <si>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</si>
  <si>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</si>
  <si>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</si>
  <si>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</si>
  <si>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</si>
  <si>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</si>
  <si>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</si>
  <si>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</si>
  <si>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</si>
  <si>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</si>
  <si>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</si>
  <si>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</si>
  <si>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</si>
  <si>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</si>
  <si>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</si>
  <si>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</si>
  <si>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</si>
  <si>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</si>
  <si>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</si>
  <si>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</si>
  <si>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</si>
  <si>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</si>
  <si>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</si>
  <si>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</si>
  <si>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</si>
  <si>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</si>
  <si>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</si>
  <si>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</si>
  <si>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</si>
  <si>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</si>
  <si>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</si>
  <si>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</si>
  <si>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</si>
  <si>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</si>
  <si>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</si>
  <si>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</si>
  <si>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</si>
  <si>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</si>
  <si>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</si>
  <si>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</si>
  <si>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</si>
  <si>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</si>
  <si>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</si>
  <si>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</si>
  <si>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</si>
  <si>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</si>
  <si>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</si>
  <si>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</si>
  <si>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</si>
  <si>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</si>
  <si>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</si>
  <si>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</si>
  <si>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</si>
  <si>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</si>
  <si>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</si>
  <si>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</si>
  <si>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</si>
  <si>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</si>
  <si>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</si>
  <si>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</si>
  <si>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</si>
  <si>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</si>
  <si>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</si>
  <si>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</si>
  <si>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</si>
  <si>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</si>
  <si>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</si>
  <si>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</si>
  <si>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</si>
  <si>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</si>
  <si>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</si>
  <si>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</si>
  <si>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</si>
  <si>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</si>
  <si>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</si>
  <si>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</si>
  <si>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</si>
  <si>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</si>
  <si>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</si>
  <si>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</si>
  <si>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</si>
  <si>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</si>
  <si>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</si>
  <si>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</si>
  <si>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</si>
  <si>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</si>
  <si>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</si>
  <si>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</si>
  <si>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</si>
  <si>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</si>
  <si>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</si>
  <si>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</si>
  <si>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</si>
  <si>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</si>
  <si>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</si>
  <si>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</si>
  <si>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</si>
  <si>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</si>
  <si>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</si>
  <si>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</si>
  <si>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</si>
  <si>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</si>
  <si>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</si>
  <si>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</si>
  <si>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</si>
  <si>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</si>
  <si>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</si>
  <si>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</si>
  <si>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</si>
  <si>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</si>
  <si>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</si>
  <si>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</si>
  <si>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</si>
  <si>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</si>
  <si>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</si>
  <si>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</si>
  <si>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</si>
  <si>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</si>
  <si>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</si>
  <si>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</si>
  <si>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</si>
  <si>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</si>
  <si>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</si>
  <si>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</si>
  <si>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</si>
  <si>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</si>
  <si>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</si>
  <si>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</si>
  <si>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</si>
  <si>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</si>
  <si>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</si>
  <si>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</si>
  <si>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</si>
  <si>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</si>
  <si>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</si>
  <si>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</si>
  <si>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</si>
  <si>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</si>
  <si>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</si>
  <si>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</si>
  <si>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</si>
  <si>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</si>
  <si>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</si>
  <si>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</si>
  <si>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</si>
  <si>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</si>
  <si>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</si>
  <si>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</si>
  <si>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</si>
  <si>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</si>
  <si>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</si>
  <si>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</si>
  <si>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</si>
  <si>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</si>
  <si>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</si>
  <si>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</si>
  <si>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</si>
  <si>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</si>
  <si>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</si>
  <si>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</si>
  <si>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</si>
  <si>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</si>
  <si>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</si>
  <si>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</si>
  <si>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</si>
  <si>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</si>
  <si>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</si>
  <si>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</si>
  <si>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</si>
  <si>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</si>
  <si>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</si>
  <si>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</si>
  <si>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</si>
  <si>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</si>
  <si>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</si>
  <si>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</si>
  <si>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</si>
  <si>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</si>
  <si>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</si>
  <si>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</si>
  <si>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</si>
  <si>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</si>
  <si>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</si>
  <si>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</si>
  <si>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</si>
  <si>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</si>
  <si>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</si>
  <si>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</si>
  <si>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</si>
  <si>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</si>
  <si>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</si>
  <si>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</si>
  <si>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</si>
  <si>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</si>
  <si>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</si>
  <si>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</si>
  <si>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</si>
  <si>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</si>
  <si>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</si>
  <si>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</si>
  <si>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</si>
  <si>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</si>
  <si>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</si>
  <si>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</si>
  <si>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</si>
  <si>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</si>
  <si>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</si>
  <si>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</si>
  <si>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</si>
  <si>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</si>
  <si>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</si>
  <si>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</si>
  <si>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</si>
  <si>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</si>
  <si>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</si>
  <si>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</si>
  <si>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</si>
  <si>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</si>
  <si>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</si>
  <si>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</si>
  <si>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</si>
  <si>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</si>
  <si>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</si>
  <si>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</si>
  <si>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</si>
  <si>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</si>
  <si>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</si>
  <si>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</si>
  <si>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</si>
  <si>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</si>
  <si>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</si>
  <si>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</si>
  <si>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</si>
  <si>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</si>
  <si>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</si>
  <si>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</si>
  <si>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</si>
  <si>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</si>
  <si>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</si>
  <si>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</si>
  <si>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</si>
  <si>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</si>
  <si>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</si>
  <si>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</si>
  <si>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</si>
  <si>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</si>
  <si>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</si>
  <si>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</si>
  <si>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</si>
  <si>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</si>
  <si>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</si>
  <si>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</si>
  <si>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</si>
  <si>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</si>
  <si>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</si>
  <si>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</si>
  <si>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</si>
  <si>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</si>
  <si>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</si>
  <si>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</si>
  <si>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</si>
  <si>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</si>
  <si>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</si>
  <si>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</si>
  <si>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</si>
  <si>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</si>
  <si>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</si>
  <si>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</si>
  <si>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</si>
  <si>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</si>
  <si>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</si>
  <si>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</si>
  <si>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</si>
  <si>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</si>
  <si>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</si>
  <si>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</si>
  <si>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</si>
  <si>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</si>
  <si>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</si>
  <si>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</si>
  <si>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</si>
  <si>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</si>
  <si>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</si>
  <si>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</si>
  <si>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</si>
  <si>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</si>
  <si>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</si>
  <si>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</si>
  <si>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</si>
  <si>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</si>
  <si>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</si>
  <si>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</si>
  <si>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</si>
  <si>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</si>
  <si>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</si>
  <si>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</si>
  <si>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</si>
  <si>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</si>
  <si>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</si>
  <si>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</si>
  <si>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</si>
  <si>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</si>
  <si>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</si>
  <si>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</si>
  <si>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</si>
  <si>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</si>
  <si>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</si>
  <si>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</si>
  <si>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</si>
  <si>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</si>
  <si>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</si>
  <si>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</si>
  <si>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</si>
  <si>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</si>
  <si>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</si>
  <si>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</si>
  <si>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</si>
  <si>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</si>
  <si>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</si>
  <si>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</si>
  <si>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</si>
  <si>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</si>
  <si>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</si>
  <si>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</si>
  <si>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</si>
  <si>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</si>
  <si>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</si>
  <si>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</si>
  <si>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</si>
  <si>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</si>
  <si>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</si>
  <si>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</si>
  <si>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</si>
  <si>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</si>
  <si>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</si>
  <si>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</si>
  <si>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</si>
  <si>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</si>
  <si>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</si>
  <si>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</si>
  <si>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</si>
  <si>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</si>
  <si>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</si>
  <si>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</si>
  <si>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</si>
  <si>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</si>
  <si>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</si>
  <si>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</si>
  <si>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</si>
  <si>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</si>
  <si>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</si>
  <si>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</si>
  <si>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</si>
  <si>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</si>
  <si>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</si>
  <si>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</si>
  <si>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</si>
  <si>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</si>
  <si>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</si>
  <si>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</si>
  <si>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</si>
  <si>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</si>
  <si>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</si>
  <si>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</si>
  <si>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</si>
  <si>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</si>
  <si>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</si>
  <si>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</si>
  <si>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</si>
  <si>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</si>
  <si>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</si>
  <si>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</si>
  <si>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</si>
  <si>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</si>
  <si>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</si>
  <si>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</si>
  <si>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</si>
  <si>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</si>
  <si>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</si>
  <si>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</si>
  <si>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</si>
  <si>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</si>
  <si>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</si>
  <si>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</si>
  <si>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</si>
  <si>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</si>
  <si>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</si>
  <si>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</si>
  <si>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</si>
  <si>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</si>
  <si>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</si>
  <si>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</si>
  <si>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</si>
  <si>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</si>
  <si>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</si>
  <si>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</si>
  <si>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</si>
  <si>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</si>
  <si>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</si>
  <si>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</si>
  <si>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</si>
  <si>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</si>
  <si>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</si>
  <si>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</si>
  <si>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</si>
  <si>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</si>
  <si>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</si>
  <si>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</si>
  <si>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</si>
  <si>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</si>
  <si>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</si>
  <si>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</si>
  <si>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</si>
  <si>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</si>
  <si>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</si>
  <si>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</si>
  <si>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</si>
  <si>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</si>
  <si>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</si>
  <si>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</si>
  <si>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</si>
  <si>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</si>
  <si>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</si>
  <si>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</si>
  <si>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</si>
  <si>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</si>
  <si>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</si>
  <si>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</si>
  <si>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</si>
  <si>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</si>
  <si>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</si>
  <si>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</si>
  <si>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</si>
  <si>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</si>
  <si>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</si>
  <si>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</si>
  <si>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</si>
  <si>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</si>
  <si>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</si>
  <si>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</si>
  <si>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</si>
  <si>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</si>
  <si>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</si>
  <si>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</si>
  <si>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</si>
  <si>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</si>
  <si>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</si>
  <si>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</si>
  <si>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</si>
  <si>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</si>
  <si>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</si>
  <si>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</si>
  <si>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</si>
  <si>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</si>
  <si>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</si>
  <si>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</si>
  <si>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</si>
  <si>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</si>
  <si>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</si>
  <si>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</si>
  <si>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</si>
  <si>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</si>
  <si>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</si>
  <si>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</si>
  <si>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</si>
  <si>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</si>
  <si>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</si>
  <si>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</si>
  <si>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</si>
  <si>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</si>
  <si>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</si>
  <si>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</si>
  <si>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</si>
  <si>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</si>
  <si>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</si>
  <si>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</si>
  <si>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</si>
  <si>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</si>
  <si>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</si>
  <si>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</si>
  <si>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</si>
  <si>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</si>
  <si>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</si>
  <si>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</si>
  <si>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</si>
  <si>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</si>
  <si>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</si>
  <si>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</si>
  <si>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</si>
  <si>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</si>
  <si>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</si>
  <si>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</si>
  <si>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</si>
  <si>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</si>
  <si>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</si>
  <si>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</si>
  <si>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</si>
  <si>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</si>
  <si>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</si>
  <si>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</si>
  <si>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</si>
  <si>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</si>
  <si>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</si>
  <si>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</si>
  <si>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</si>
  <si>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</si>
  <si>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</si>
  <si>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</si>
  <si>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</si>
  <si>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</si>
  <si>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</si>
  <si>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</si>
  <si>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</si>
  <si>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</si>
  <si>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</si>
  <si>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</si>
  <si>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</si>
  <si>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</si>
  <si>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</si>
  <si>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</si>
  <si>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</si>
  <si>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</si>
  <si>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</si>
  <si>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</si>
  <si>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</si>
  <si>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</si>
  <si>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</si>
  <si>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</si>
  <si>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</si>
  <si>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</si>
  <si>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</si>
  <si>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</si>
  <si>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</si>
  <si>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</si>
  <si>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</si>
  <si>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</si>
  <si>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</si>
  <si>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</si>
  <si>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</si>
  <si>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</si>
  <si>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</si>
  <si>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</si>
  <si>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</si>
  <si>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</si>
  <si>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</si>
  <si>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</si>
  <si>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</si>
  <si>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</si>
  <si>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</si>
  <si>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</si>
  <si>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</si>
  <si>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</si>
  <si>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</si>
  <si>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</si>
  <si>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</si>
  <si>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</si>
  <si>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</si>
  <si>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</si>
  <si>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</si>
  <si>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</si>
  <si>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</si>
  <si>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</si>
  <si>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</si>
  <si>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</si>
  <si>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</si>
  <si>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</si>
  <si>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</si>
  <si>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</si>
  <si>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</si>
  <si>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</si>
  <si>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</si>
  <si>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</si>
  <si>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</si>
  <si>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</si>
  <si>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</si>
  <si>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</si>
  <si>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</si>
  <si>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</si>
  <si>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</si>
  <si>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</si>
  <si>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</si>
  <si>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</si>
  <si>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</si>
  <si>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</si>
  <si>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</si>
  <si>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</si>
  <si>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</si>
  <si>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</si>
  <si>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</si>
  <si>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</si>
  <si>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</si>
  <si>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</si>
  <si>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</si>
  <si>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</si>
  <si>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</si>
  <si>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</si>
  <si>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</si>
  <si>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</si>
  <si>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</si>
  <si>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</si>
  <si>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</si>
  <si>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</si>
  <si>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</si>
  <si>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</si>
  <si>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</si>
  <si>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</si>
  <si>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</si>
  <si>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</si>
  <si>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</si>
  <si>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</si>
  <si>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</si>
  <si>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</si>
  <si>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</si>
  <si>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</si>
  <si>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</si>
  <si>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</si>
  <si>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</si>
  <si>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</si>
  <si>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</si>
  <si>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</si>
  <si>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</si>
  <si>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</si>
  <si>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</si>
  <si>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</si>
  <si>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</si>
  <si>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</si>
  <si>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</si>
  <si>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</si>
  <si>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</si>
  <si>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</si>
  <si>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</si>
  <si>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</si>
  <si>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</si>
  <si>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</si>
  <si>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</si>
  <si>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</si>
  <si>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</si>
  <si>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</si>
  <si>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</si>
  <si>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</si>
  <si>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</si>
  <si>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</si>
  <si>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</si>
  <si>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</si>
  <si>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</si>
  <si>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</si>
  <si>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</si>
  <si>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</si>
  <si>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</si>
  <si>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</si>
  <si>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</si>
  <si>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</si>
  <si>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</si>
  <si>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</si>
  <si>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</si>
  <si>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</si>
  <si>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</si>
  <si>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</si>
  <si>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</si>
  <si>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</si>
  <si>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</si>
  <si>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</si>
  <si>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</si>
  <si>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</si>
  <si>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</si>
  <si>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</si>
  <si>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</si>
  <si>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</si>
  <si>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</si>
  <si>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</si>
  <si>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</si>
  <si>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</si>
  <si>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</si>
  <si>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</si>
  <si>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</si>
  <si>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</si>
  <si>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</si>
  <si>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</si>
  <si>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</si>
  <si>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</si>
  <si>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</si>
  <si>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</si>
  <si>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</si>
  <si>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</si>
  <si>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</si>
  <si>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</si>
  <si>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</si>
  <si>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</si>
  <si>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</si>
  <si>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</si>
  <si>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</si>
  <si>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</si>
  <si>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</si>
  <si>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</si>
  <si>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</si>
  <si>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</si>
  <si>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</si>
  <si>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</si>
  <si>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</si>
  <si>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</si>
  <si>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</si>
  <si>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</si>
  <si>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</si>
  <si>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</si>
  <si>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</si>
  <si>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</si>
  <si>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</si>
  <si>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</si>
  <si>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</si>
  <si>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</si>
  <si>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</si>
  <si>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</si>
  <si>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</si>
  <si>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</si>
  <si>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</si>
  <si>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</si>
  <si>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</si>
  <si>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</si>
  <si>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</si>
  <si>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</si>
  <si>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</si>
  <si>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</si>
  <si>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</si>
  <si>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</si>
  <si>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</si>
  <si>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</si>
  <si>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</si>
  <si>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</si>
  <si>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</si>
  <si>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</si>
  <si>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</si>
  <si>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</si>
  <si>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</si>
  <si>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</si>
  <si>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</si>
  <si>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</si>
  <si>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</si>
  <si>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</si>
  <si>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</si>
  <si>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</si>
  <si>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</si>
  <si>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</si>
  <si>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</si>
  <si>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</si>
  <si>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</si>
  <si>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</si>
  <si>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</si>
  <si>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</si>
  <si>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</si>
  <si>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</si>
  <si>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</si>
  <si>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</si>
  <si>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</si>
  <si>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</si>
  <si>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</si>
  <si>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</si>
  <si>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</si>
  <si>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</si>
  <si>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</si>
  <si>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</si>
  <si>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</si>
  <si>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</si>
  <si>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</si>
  <si>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</si>
  <si>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</si>
  <si>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</si>
  <si>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</si>
  <si>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</si>
  <si>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</si>
  <si>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</si>
  <si>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</si>
  <si>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</si>
  <si>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</si>
  <si>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</si>
  <si>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</si>
  <si>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</si>
  <si>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</si>
  <si>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</si>
  <si>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</si>
  <si>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</si>
  <si>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</si>
  <si>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</si>
  <si>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</si>
  <si>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</si>
  <si>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</si>
  <si>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</si>
  <si>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</si>
  <si>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</si>
  <si>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</si>
  <si>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</si>
  <si>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</si>
  <si>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</si>
  <si>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</si>
  <si>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</si>
  <si>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</si>
  <si>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</si>
  <si>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</si>
  <si>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</si>
  <si>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</si>
  <si>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</si>
  <si>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</si>
  <si>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</si>
  <si>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</si>
  <si>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</si>
  <si>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</si>
  <si>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</si>
  <si>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</si>
  <si>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</si>
  <si>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</si>
  <si>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</si>
  <si>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</si>
  <si>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</si>
  <si>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</si>
  <si>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</si>
  <si>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</si>
  <si>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</si>
  <si>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</si>
  <si>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</si>
  <si>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</si>
  <si>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</si>
  <si>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</si>
  <si>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</si>
  <si>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</si>
  <si>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</si>
  <si>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</si>
  <si>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</si>
  <si>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</si>
  <si>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</si>
  <si>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</si>
  <si>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</si>
  <si>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</si>
  <si>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</si>
  <si>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</si>
  <si>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</si>
  <si>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</si>
  <si>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</si>
  <si>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</si>
  <si>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</si>
  <si>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</si>
  <si>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</si>
  <si>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</si>
  <si>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</si>
  <si>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</si>
  <si>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</si>
  <si>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</si>
  <si>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</si>
  <si>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</si>
  <si>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</si>
  <si>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</si>
  <si>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</si>
  <si>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</si>
  <si>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</si>
  <si>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</si>
  <si>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</si>
  <si>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</si>
  <si>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</si>
  <si>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</si>
  <si>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</si>
  <si>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</si>
  <si>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</si>
  <si>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</si>
  <si>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</si>
  <si>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</si>
  <si>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</si>
  <si>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</si>
  <si>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</si>
  <si>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</si>
  <si>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</si>
  <si>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</si>
  <si>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</si>
  <si>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</si>
  <si>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</si>
  <si>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</si>
  <si>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</si>
  <si>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</si>
  <si>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</si>
  <si>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</si>
  <si>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</si>
  <si>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</si>
  <si>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</si>
  <si>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</si>
  <si>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</si>
  <si>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</si>
  <si>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</si>
  <si>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</si>
  <si>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</si>
  <si>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</si>
  <si>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</si>
  <si>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</si>
  <si>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</si>
  <si>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</si>
  <si>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</si>
  <si>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</si>
  <si>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</si>
  <si>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</si>
  <si>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</si>
  <si>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</si>
  <si>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</si>
  <si>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</si>
  <si>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</si>
  <si>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</si>
  <si>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</si>
  <si>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</si>
  <si>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</si>
  <si>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</si>
  <si>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</si>
  <si>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</si>
  <si>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</si>
  <si>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</si>
  <si>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</si>
  <si>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</si>
  <si>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</si>
  <si>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</si>
  <si>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</si>
  <si>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</si>
  <si>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</si>
  <si>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</si>
  <si>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</si>
  <si>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</si>
  <si>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</si>
  <si>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</si>
  <si>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</si>
  <si>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</si>
  <si>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</si>
  <si>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</si>
  <si>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</si>
  <si>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</si>
  <si>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</si>
  <si>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</si>
  <si>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</si>
  <si>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</si>
  <si>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</si>
  <si>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</si>
  <si>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</si>
  <si>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</si>
  <si>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</si>
  <si>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</si>
  <si>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</si>
  <si>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</si>
  <si>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</si>
  <si>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</si>
  <si>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</si>
  <si>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</si>
  <si>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</si>
  <si>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</si>
  <si>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</si>
  <si>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</si>
  <si>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</si>
  <si>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</si>
  <si>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</si>
  <si>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</si>
  <si>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</si>
  <si>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</si>
  <si>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</si>
  <si>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</si>
  <si>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</si>
  <si>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</si>
  <si>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</si>
  <si>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</si>
  <si>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</si>
  <si>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</si>
  <si>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</si>
  <si>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</si>
  <si>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</si>
  <si>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</si>
  <si>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</si>
  <si>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</si>
  <si>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</si>
  <si>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</si>
  <si>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</si>
  <si>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</si>
  <si>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</si>
  <si>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</si>
  <si>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</si>
  <si>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</si>
  <si>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</si>
  <si>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</si>
  <si>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</si>
  <si>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</si>
  <si>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</si>
  <si>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</si>
  <si>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</si>
  <si>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</si>
  <si>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</si>
  <si>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</si>
  <si>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</si>
  <si>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</si>
  <si>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</si>
  <si>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</si>
  <si>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</si>
  <si>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</si>
  <si>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</si>
  <si>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</si>
  <si>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</si>
  <si>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</si>
  <si>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</si>
  <si>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</si>
  <si>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</si>
  <si>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</si>
  <si>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</si>
  <si>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</si>
  <si>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</si>
  <si>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</si>
  <si>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</si>
  <si>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</si>
  <si>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</si>
  <si>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</si>
  <si>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</si>
  <si>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</si>
  <si>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</si>
  <si>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</si>
  <si>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</si>
  <si>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</si>
  <si>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</si>
  <si>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</si>
  <si>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</si>
  <si>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</si>
  <si>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</si>
  <si>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</si>
  <si>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</si>
  <si>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</si>
  <si>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</si>
  <si>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</si>
  <si>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</si>
  <si>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</si>
  <si>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</si>
  <si>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</si>
  <si>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</si>
  <si>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</si>
  <si>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</si>
  <si>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</si>
  <si>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</si>
  <si>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</si>
  <si>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</si>
  <si>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</si>
  <si>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</si>
  <si>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</si>
  <si>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</si>
  <si>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</si>
  <si>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</si>
  <si>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</si>
  <si>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</si>
  <si>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</si>
  <si>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</si>
  <si>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</si>
  <si>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</si>
  <si>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</si>
  <si>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</si>
  <si>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</si>
  <si>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</si>
  <si>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</si>
  <si>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</si>
  <si>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</si>
  <si>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</si>
  <si>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</si>
  <si>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</si>
  <si>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</si>
  <si>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</si>
  <si>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</si>
  <si>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</si>
  <si>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</si>
  <si>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</si>
  <si>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</si>
  <si>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</si>
  <si>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</si>
  <si>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</si>
  <si>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</si>
  <si>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</si>
  <si>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</si>
  <si>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</si>
  <si>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</si>
  <si>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</si>
  <si>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</si>
  <si>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</si>
  <si>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</si>
  <si>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</si>
  <si>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</si>
  <si>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</si>
  <si>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</si>
  <si>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</si>
  <si>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</si>
  <si>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</si>
  <si>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</si>
  <si>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</si>
  <si>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</si>
  <si>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</si>
  <si>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</si>
  <si>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</si>
  <si>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</si>
  <si>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</si>
  <si>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</si>
  <si>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</si>
  <si>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</si>
  <si>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</si>
  <si>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</si>
  <si>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</si>
  <si>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</si>
  <si>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</si>
  <si>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</si>
  <si>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</si>
  <si>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</si>
  <si>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</si>
  <si>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</si>
  <si>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</si>
  <si>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</si>
  <si>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</si>
  <si>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</si>
  <si>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</si>
  <si>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</si>
  <si>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</si>
  <si>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</si>
  <si>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</si>
  <si>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</si>
  <si>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</si>
  <si>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</si>
  <si>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</si>
  <si>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</si>
  <si>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</si>
  <si>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</si>
  <si>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</si>
  <si>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</si>
  <si>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</si>
  <si>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</si>
  <si>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</si>
  <si>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</si>
  <si>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</si>
  <si>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</si>
  <si>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</si>
  <si>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</si>
  <si>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</si>
  <si>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</si>
  <si>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</si>
  <si>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</si>
  <si>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</si>
  <si>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</si>
  <si>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</si>
  <si>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</si>
  <si>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</si>
  <si>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</si>
  <si>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</si>
  <si>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</si>
  <si>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</si>
  <si>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</si>
  <si>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</si>
  <si>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</si>
  <si>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</si>
  <si>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</si>
  <si>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</si>
  <si>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</si>
  <si>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</si>
  <si>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</si>
  <si>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</si>
  <si>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</si>
  <si>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</si>
  <si>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</si>
  <si>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</si>
  <si>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</si>
  <si>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</si>
  <si>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</si>
  <si>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</si>
  <si>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</si>
  <si>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</si>
  <si>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</si>
  <si>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</si>
  <si>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</si>
  <si>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</si>
  <si>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</si>
  <si>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</si>
  <si>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</si>
  <si>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</si>
  <si>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</si>
  <si>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</si>
  <si>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</si>
  <si>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</si>
  <si>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</si>
  <si>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</si>
  <si>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</si>
  <si>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</si>
  <si>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</si>
  <si>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</si>
  <si>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</si>
  <si>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</si>
  <si>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</si>
  <si>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</si>
  <si>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</si>
  <si>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</si>
  <si>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</si>
  <si>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</si>
  <si>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</si>
  <si>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</si>
  <si>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</si>
  <si>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</si>
  <si>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</si>
  <si>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</si>
  <si>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</si>
  <si>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</si>
  <si>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</si>
  <si>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</si>
  <si>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</si>
  <si>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</si>
  <si>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</si>
  <si>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</si>
  <si>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</si>
  <si>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</si>
  <si>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</si>
  <si>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</si>
  <si>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</si>
  <si>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</si>
  <si>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</si>
  <si>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</si>
  <si>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</si>
  <si>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</si>
  <si>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</si>
  <si>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</si>
  <si>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</si>
  <si>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</si>
  <si>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</si>
  <si>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</si>
  <si>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</si>
  <si>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</si>
  <si>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</si>
  <si>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</si>
  <si>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</si>
  <si>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</si>
  <si>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</si>
  <si>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</si>
  <si>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</si>
  <si>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</si>
  <si>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</si>
  <si>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</si>
  <si>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</si>
  <si>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</si>
  <si>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</si>
  <si>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</si>
  <si>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</si>
  <si>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</si>
  <si>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</si>
  <si>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</si>
  <si>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</si>
  <si>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</si>
  <si>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</si>
  <si>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</si>
  <si>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</si>
  <si>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</si>
  <si>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</si>
  <si>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</si>
  <si>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</si>
  <si>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</si>
  <si>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</si>
  <si>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</si>
  <si>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</si>
  <si>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</si>
  <si>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</si>
  <si>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</si>
  <si>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</si>
  <si>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</si>
  <si>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</si>
  <si>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</si>
  <si>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</si>
  <si>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</si>
  <si>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</si>
  <si>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</si>
  <si>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</si>
  <si>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</si>
  <si>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</si>
  <si>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</si>
  <si>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</si>
  <si>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</si>
  <si>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</si>
  <si>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</si>
  <si>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</si>
  <si>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</si>
  <si>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</si>
  <si>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</si>
  <si>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</si>
  <si>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</si>
  <si>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</si>
  <si>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</si>
  <si>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</si>
  <si>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</si>
  <si>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</si>
  <si>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</si>
  <si>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</si>
  <si>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</si>
  <si>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</si>
  <si>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</si>
  <si>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</si>
  <si>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</si>
  <si>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</si>
  <si>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</si>
  <si>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</si>
  <si>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</si>
  <si>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</si>
  <si>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</si>
  <si>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</si>
  <si>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</si>
  <si>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</si>
  <si>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</si>
  <si>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</si>
  <si>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</si>
  <si>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</si>
  <si>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</si>
  <si>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</si>
  <si>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</si>
  <si>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</si>
  <si>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</si>
  <si>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</si>
  <si>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</si>
  <si>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</si>
  <si>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</si>
  <si>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</si>
  <si>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</si>
  <si>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</si>
  <si>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</si>
  <si>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</si>
  <si>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</si>
  <si>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</si>
  <si>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</si>
  <si>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</si>
  <si>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</si>
  <si>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</si>
  <si>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</si>
  <si>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</si>
  <si>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</si>
  <si>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</si>
  <si>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</si>
  <si>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</si>
  <si>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</si>
  <si>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</si>
  <si>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</si>
  <si>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</si>
  <si>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</si>
  <si>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</si>
  <si>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</si>
  <si>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</si>
  <si>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</si>
  <si>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</si>
  <si>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</si>
  <si>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</si>
  <si>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</si>
  <si>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</si>
  <si>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</si>
  <si>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</si>
  <si>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</si>
  <si>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</si>
  <si>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</si>
  <si>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</si>
  <si>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</si>
  <si>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</si>
  <si>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</si>
  <si>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</si>
  <si>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</si>
  <si>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</si>
  <si>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</si>
  <si>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</si>
  <si>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</si>
  <si>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</si>
  <si>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</si>
  <si>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</si>
  <si>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</si>
  <si>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</si>
  <si>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</si>
  <si>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</si>
  <si>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</si>
  <si>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</si>
  <si>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</si>
  <si>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</si>
  <si>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</si>
  <si>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</si>
  <si>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</si>
  <si>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</si>
  <si>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</si>
  <si>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</si>
  <si>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</si>
  <si>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</si>
  <si>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</si>
  <si>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</si>
  <si>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</si>
  <si>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</si>
  <si>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</si>
  <si>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</si>
  <si>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</si>
  <si>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</si>
  <si>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</si>
  <si>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</si>
  <si>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</si>
  <si>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</si>
  <si>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</si>
  <si>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</si>
  <si>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</si>
  <si>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</si>
  <si>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</si>
  <si>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</si>
  <si>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</si>
  <si>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</si>
  <si>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</si>
  <si>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</si>
  <si>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</si>
  <si>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</si>
  <si>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</si>
  <si>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</si>
  <si>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</si>
  <si>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</si>
  <si>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</si>
  <si>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</si>
  <si>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</si>
  <si>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</si>
  <si>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</si>
  <si>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</si>
  <si>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</si>
  <si>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</si>
  <si>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</si>
  <si>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</si>
  <si>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</si>
  <si>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</si>
  <si>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</si>
  <si>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</si>
  <si>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</si>
  <si>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</si>
  <si>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</si>
  <si>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</si>
  <si>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</si>
  <si>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</si>
  <si>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</si>
  <si>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</si>
  <si>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</si>
  <si>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</si>
  <si>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</si>
  <si>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</si>
  <si>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</si>
  <si>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</si>
  <si>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</si>
  <si>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</si>
  <si>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</si>
  <si>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</si>
  <si>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</si>
  <si>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</si>
  <si>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</si>
  <si>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</si>
  <si>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</si>
  <si>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</si>
  <si>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</si>
  <si>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</si>
  <si>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</si>
  <si>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</si>
  <si>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</si>
  <si>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</si>
  <si>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</si>
  <si>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</si>
  <si>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</si>
  <si>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</si>
  <si>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</si>
  <si>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</si>
  <si>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</si>
  <si>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</si>
  <si>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</si>
  <si>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</si>
  <si>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</si>
  <si>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</si>
  <si>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</si>
  <si>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</si>
  <si>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</si>
  <si>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</si>
  <si>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</si>
  <si>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</si>
  <si>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</si>
  <si>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</si>
  <si>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</si>
  <si>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</si>
  <si>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</si>
  <si>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</si>
  <si>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</si>
  <si>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</si>
  <si>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</si>
  <si>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</si>
  <si>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</si>
  <si>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</si>
  <si>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</si>
  <si>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</si>
  <si>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</si>
  <si>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</si>
  <si>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</si>
  <si>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</si>
  <si>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</si>
  <si>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</si>
  <si>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</si>
  <si>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</si>
  <si>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</si>
  <si>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</si>
  <si>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</si>
  <si>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</si>
  <si>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</si>
  <si>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</si>
  <si>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</si>
  <si>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</si>
  <si>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</si>
  <si>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</si>
  <si>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</si>
  <si>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</si>
  <si>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</si>
  <si>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</si>
  <si>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</si>
  <si>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</si>
  <si>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</si>
  <si>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</si>
  <si>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</si>
  <si>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</si>
  <si>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</si>
  <si>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</si>
  <si>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</si>
  <si>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</si>
  <si>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</si>
  <si>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</si>
  <si>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</si>
  <si>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</si>
  <si>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</si>
  <si>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</si>
  <si>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</si>
  <si>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</si>
  <si>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</si>
  <si>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</si>
  <si>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</si>
  <si>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</si>
  <si>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</si>
  <si>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</si>
  <si>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</si>
  <si>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</si>
  <si>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</si>
  <si>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</si>
  <si>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</si>
  <si>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</si>
  <si>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</si>
  <si>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</si>
  <si>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</si>
  <si>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</si>
  <si>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</si>
  <si>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</si>
  <si>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</si>
  <si>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</si>
  <si>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</si>
  <si>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</si>
  <si>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</si>
  <si>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</si>
  <si>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</si>
  <si>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</si>
  <si>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</si>
  <si>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</si>
  <si>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</si>
  <si>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</si>
  <si>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</si>
  <si>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</si>
  <si>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</si>
  <si>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</si>
  <si>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</si>
  <si>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</si>
  <si>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</si>
  <si>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</si>
  <si>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</si>
  <si>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</si>
  <si>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</si>
  <si>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</si>
  <si>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</si>
  <si>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</si>
  <si>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</si>
  <si>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</si>
  <si>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</si>
  <si>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</si>
  <si>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</si>
  <si>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</si>
  <si>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</si>
  <si>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</si>
  <si>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</si>
  <si>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</si>
  <si>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</si>
  <si>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</si>
  <si>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</si>
  <si>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</si>
  <si>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</si>
  <si>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</si>
  <si>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</si>
  <si>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</si>
  <si>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</si>
  <si>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</si>
  <si>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</si>
  <si>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</si>
  <si>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</si>
  <si>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</si>
  <si>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</si>
  <si>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</si>
  <si>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</si>
  <si>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</si>
  <si>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</si>
  <si>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</si>
  <si>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</si>
  <si>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</si>
  <si>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</si>
  <si>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</si>
  <si>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</si>
  <si>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</si>
  <si>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</si>
  <si>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</si>
  <si>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</si>
  <si>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</si>
  <si>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</si>
  <si>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</si>
  <si>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</si>
  <si>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</si>
  <si>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</si>
  <si>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</si>
  <si>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</si>
  <si>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</si>
  <si>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</si>
  <si>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</si>
  <si>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</si>
  <si>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</si>
  <si>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</si>
  <si>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</si>
  <si>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</si>
  <si>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</si>
  <si>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</si>
  <si>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</si>
  <si>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</si>
  <si>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</si>
  <si>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</si>
  <si>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</si>
  <si>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</si>
  <si>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</si>
  <si>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</si>
  <si>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</si>
  <si>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</si>
  <si>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</si>
  <si>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</si>
  <si>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</si>
  <si>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</si>
  <si>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</si>
  <si>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</si>
  <si>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</si>
  <si>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</si>
  <si>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</si>
  <si>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</si>
  <si>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</si>
  <si>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</si>
  <si>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</si>
  <si>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</si>
  <si>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</si>
  <si>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</si>
  <si>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</si>
  <si>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</si>
  <si>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</si>
  <si>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</si>
  <si>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</si>
  <si>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</si>
  <si>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</si>
  <si>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</si>
  <si>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</si>
  <si>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</si>
  <si>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</si>
  <si>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</si>
  <si>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</si>
  <si>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</si>
  <si>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</si>
  <si>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</si>
  <si>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</si>
  <si>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</si>
  <si>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</si>
  <si>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</si>
  <si>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</si>
  <si>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</si>
  <si>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</si>
  <si>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</si>
  <si>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</si>
  <si>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</si>
  <si>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</si>
  <si>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</si>
  <si>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</si>
  <si>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</si>
  <si>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</si>
  <si>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</si>
  <si>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</si>
  <si>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</si>
  <si>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</si>
  <si>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</si>
  <si>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</si>
  <si>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</si>
  <si>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</si>
  <si>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</si>
  <si>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</si>
  <si>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</si>
  <si>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</si>
  <si>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</si>
  <si>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</si>
  <si>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</si>
  <si>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</si>
  <si>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</si>
  <si>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</si>
  <si>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</si>
  <si>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</si>
  <si>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</si>
  <si>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</si>
  <si>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</si>
  <si>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</si>
  <si>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</si>
  <si>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</si>
  <si>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</si>
  <si>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</si>
  <si>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</si>
  <si>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</si>
  <si>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</si>
  <si>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</si>
  <si>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</si>
  <si>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</si>
  <si>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</si>
  <si>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</si>
  <si>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</si>
  <si>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</si>
  <si>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</si>
  <si>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</si>
  <si>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</si>
  <si>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</si>
  <si>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</si>
  <si>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</si>
  <si>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</si>
  <si>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</si>
  <si>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</si>
  <si>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</si>
  <si>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</si>
  <si>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</si>
  <si>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</si>
  <si>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</si>
  <si>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</si>
  <si>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</si>
  <si>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</si>
  <si>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</si>
  <si>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</si>
  <si>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</si>
  <si>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</si>
  <si>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</si>
  <si>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</si>
  <si>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</si>
  <si>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</si>
  <si>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</si>
  <si>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</si>
  <si>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</si>
  <si>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</si>
  <si>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</si>
  <si>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</si>
  <si>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</si>
  <si>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</si>
  <si>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</si>
  <si>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</si>
  <si>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</si>
  <si>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</si>
  <si>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</si>
  <si>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</si>
  <si>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</si>
  <si>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</si>
  <si>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</si>
  <si>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</si>
  <si>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</si>
  <si>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</si>
  <si>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</si>
  <si>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</si>
  <si>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</si>
  <si>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</si>
  <si>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</si>
  <si>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</si>
  <si>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</si>
  <si>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</si>
  <si>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</si>
  <si>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</si>
  <si>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</si>
  <si>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</si>
  <si>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</si>
  <si>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</si>
  <si>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</si>
  <si>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</si>
  <si>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</si>
  <si>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</si>
  <si>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</si>
  <si>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</si>
  <si>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</si>
  <si>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</si>
  <si>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</si>
  <si>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</si>
  <si>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</si>
  <si>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</si>
  <si>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</si>
  <si>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</si>
  <si>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</si>
  <si>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</si>
  <si>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</si>
  <si>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</si>
  <si>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</si>
  <si>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</si>
  <si>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</si>
  <si>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</si>
  <si>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</si>
  <si>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</si>
  <si>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</si>
  <si>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</si>
  <si>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</si>
  <si>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</si>
  <si>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</si>
  <si>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</si>
  <si>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</si>
  <si>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</si>
  <si>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</si>
  <si>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</si>
  <si>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</si>
  <si>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</si>
  <si>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</si>
  <si>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</si>
  <si>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</si>
  <si>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</si>
  <si>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</si>
  <si>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</si>
  <si>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</si>
  <si>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</si>
  <si>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</si>
  <si>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</si>
  <si>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</si>
  <si>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</si>
  <si>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</si>
  <si>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</si>
  <si>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</si>
  <si>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</si>
  <si>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</si>
  <si>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</si>
  <si>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</si>
  <si>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</si>
  <si>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</si>
  <si>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</si>
  <si>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</si>
  <si>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</si>
  <si>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</si>
  <si>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</si>
  <si>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</si>
  <si>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</si>
  <si>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</si>
  <si>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</si>
  <si>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</si>
  <si>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</si>
  <si>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</si>
  <si>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</si>
  <si>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</si>
  <si>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</si>
  <si>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</si>
  <si>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</si>
  <si>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</si>
  <si>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</si>
  <si>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</si>
  <si>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</si>
  <si>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</si>
  <si>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</si>
  <si>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</si>
  <si>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</si>
  <si>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</si>
  <si>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</si>
  <si>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</si>
  <si>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</si>
  <si>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</si>
  <si>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</si>
  <si>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</si>
  <si>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</si>
  <si>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</si>
  <si>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</si>
  <si>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</si>
  <si>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</si>
  <si>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</si>
  <si>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</si>
  <si>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</si>
  <si>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</si>
  <si>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</si>
  <si>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</si>
  <si>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</si>
  <si>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</si>
  <si>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</si>
  <si>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</si>
  <si>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</si>
  <si>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</si>
  <si>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</si>
  <si>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</si>
  <si>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</si>
  <si>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</si>
  <si>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</si>
  <si>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</si>
  <si>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</si>
  <si>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</si>
  <si>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</si>
  <si>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</si>
  <si>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</si>
  <si>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</si>
  <si>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</si>
  <si>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</si>
  <si>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</si>
  <si>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</si>
  <si>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</si>
  <si>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</si>
  <si>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</si>
  <si>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</si>
  <si>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</si>
  <si>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</si>
  <si>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</si>
  <si>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</si>
  <si>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</si>
  <si>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</si>
  <si>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</si>
  <si>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</si>
  <si>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</si>
  <si>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</si>
  <si>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</si>
  <si>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</si>
  <si>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</si>
  <si>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</si>
  <si>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</si>
  <si>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</si>
  <si>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</si>
  <si>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</si>
  <si>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</si>
  <si>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</si>
  <si>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</si>
  <si>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</si>
  <si>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</si>
  <si>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</si>
  <si>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</si>
  <si>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</si>
  <si>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</si>
  <si>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</si>
  <si>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</si>
  <si>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</si>
  <si>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</si>
  <si>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</si>
  <si>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</si>
  <si>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</si>
  <si>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</si>
  <si>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</si>
  <si>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</si>
  <si>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</si>
  <si>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</si>
  <si>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</si>
  <si>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</si>
  <si>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</si>
  <si>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</si>
  <si>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</si>
  <si>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</si>
  <si>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</si>
  <si>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</si>
  <si>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</si>
  <si>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</si>
  <si>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</si>
  <si>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</si>
  <si>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</si>
  <si>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</si>
  <si>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</si>
  <si>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</si>
  <si>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</si>
  <si>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</si>
  <si>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</si>
  <si>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</si>
  <si>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</si>
  <si>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</si>
  <si>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</si>
  <si>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</si>
  <si>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</si>
  <si>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</si>
  <si>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</si>
  <si>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</si>
  <si>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</si>
  <si>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</si>
  <si>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</si>
  <si>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</si>
  <si>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</si>
  <si>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</si>
  <si>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</si>
  <si>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</si>
  <si>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</si>
  <si>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</si>
  <si>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</si>
  <si>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</si>
  <si>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</si>
  <si>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</si>
  <si>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</si>
  <si>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</si>
  <si>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</si>
  <si>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</si>
  <si>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</si>
  <si>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</si>
  <si>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</si>
  <si>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</si>
  <si>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</si>
  <si>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</si>
  <si>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</si>
  <si>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</si>
  <si>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</si>
  <si>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</si>
  <si>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</si>
  <si>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</si>
  <si>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</si>
  <si>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</si>
  <si>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</si>
  <si>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</si>
  <si>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</si>
  <si>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</si>
  <si>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</si>
  <si>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</si>
  <si>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</si>
  <si>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</si>
  <si>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</si>
  <si>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</si>
  <si>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</si>
  <si>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</si>
  <si>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</si>
  <si>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</si>
  <si>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</si>
  <si>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</si>
  <si>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</si>
  <si>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</si>
  <si>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</si>
  <si>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</si>
  <si>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</si>
  <si>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</si>
  <si>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</si>
  <si>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</si>
  <si>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</si>
  <si>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</si>
  <si>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</si>
  <si>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</si>
  <si>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</si>
  <si>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</si>
  <si>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</si>
  <si>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</si>
  <si>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</si>
  <si>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</si>
  <si>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</si>
  <si>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</si>
  <si>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</si>
  <si>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</si>
  <si>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</si>
  <si>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</si>
  <si>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</si>
  <si>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</si>
  <si>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</si>
  <si>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</si>
  <si>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</si>
  <si>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</si>
  <si>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</si>
  <si>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</si>
  <si>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</si>
  <si>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</si>
  <si>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</si>
  <si>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</si>
  <si>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</si>
  <si>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</si>
  <si>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</si>
  <si>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</si>
  <si>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</si>
  <si>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</si>
  <si>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</si>
  <si>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</si>
  <si>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</si>
  <si>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</si>
  <si>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</si>
  <si>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</si>
  <si>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</si>
  <si>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</si>
  <si>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</si>
  <si>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</si>
  <si>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</si>
  <si>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</si>
  <si>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</si>
  <si>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</si>
  <si>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</si>
  <si>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</si>
  <si>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</si>
  <si>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</si>
  <si>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</si>
  <si>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</si>
  <si>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</si>
  <si>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</si>
  <si>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</si>
  <si>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</si>
  <si>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</si>
  <si>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</si>
  <si>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</si>
  <si>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</si>
  <si>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</si>
  <si>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</si>
  <si>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</si>
  <si>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</si>
  <si>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</si>
  <si>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</si>
  <si>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</si>
  <si>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</si>
  <si>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</si>
  <si>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</si>
  <si>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</si>
  <si>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</si>
  <si>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</si>
  <si>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</si>
  <si>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</si>
  <si>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</si>
  <si>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</si>
  <si>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</si>
  <si>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</si>
  <si>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</si>
  <si>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</si>
  <si>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</si>
  <si>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</si>
  <si>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</si>
  <si>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</si>
  <si>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</si>
  <si>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</si>
  <si>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</si>
  <si>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</si>
  <si>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</si>
  <si>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</si>
  <si>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</si>
  <si>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</si>
  <si>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</si>
  <si>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</si>
  <si>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</si>
  <si>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</si>
  <si>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</si>
  <si>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</si>
  <si>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</si>
  <si>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</si>
  <si>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</si>
  <si>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</si>
  <si>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</si>
  <si>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</si>
  <si>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</si>
  <si>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</si>
  <si>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</si>
  <si>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</si>
  <si>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</si>
  <si>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</si>
  <si>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</si>
  <si>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</si>
  <si>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</si>
  <si>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</si>
  <si>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</si>
  <si>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</si>
  <si>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</si>
  <si>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</si>
  <si>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</si>
  <si>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</si>
  <si>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</si>
  <si>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</si>
  <si>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</si>
  <si>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</si>
  <si>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</si>
  <si>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</si>
  <si>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</si>
  <si>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</si>
  <si>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</si>
  <si>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</si>
  <si>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</si>
  <si>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</si>
  <si>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</si>
  <si>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</si>
  <si>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</si>
  <si>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</si>
  <si>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</si>
  <si>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</si>
  <si>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</si>
  <si>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</si>
  <si>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</si>
  <si>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</si>
  <si>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</si>
  <si>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</si>
  <si>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</si>
  <si>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</si>
  <si>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</si>
  <si>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</si>
  <si>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</si>
  <si>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</si>
  <si>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</si>
  <si>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</si>
  <si>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</si>
  <si>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</si>
  <si>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</si>
  <si>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</si>
  <si>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</si>
  <si>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</si>
  <si>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</si>
  <si>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</si>
  <si>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</si>
  <si>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</si>
  <si>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</si>
  <si>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</si>
  <si>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</si>
  <si>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</si>
  <si>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</si>
  <si>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</si>
  <si>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</si>
  <si>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</si>
  <si>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</si>
  <si>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</si>
  <si>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</si>
  <si>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</si>
  <si>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</si>
  <si>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</si>
  <si>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</si>
  <si>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</si>
  <si>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</si>
  <si>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</si>
  <si>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</si>
  <si>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</si>
  <si>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</si>
  <si>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</si>
  <si>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</si>
  <si>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</si>
  <si>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</si>
  <si>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</si>
  <si>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</si>
  <si>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</si>
  <si>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</si>
  <si>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</si>
  <si>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</si>
  <si>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</si>
  <si>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</si>
  <si>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</si>
  <si>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</si>
  <si>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</si>
  <si>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</si>
  <si>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</si>
  <si>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</si>
  <si>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</si>
  <si>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</si>
  <si>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</si>
  <si>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</si>
  <si>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</si>
  <si>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</si>
  <si>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</si>
  <si>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</si>
  <si>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</si>
  <si>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</si>
  <si>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</si>
  <si>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</si>
  <si>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</si>
  <si>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</si>
  <si>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</si>
  <si>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</si>
  <si>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</si>
  <si>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</si>
  <si>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</si>
  <si>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</si>
  <si>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</si>
  <si>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</si>
  <si>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</si>
  <si>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</si>
  <si>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</si>
  <si>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</si>
  <si>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</si>
  <si>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</si>
  <si>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</si>
  <si>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</si>
  <si>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</si>
  <si>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</si>
  <si>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</si>
  <si>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</si>
  <si>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</si>
  <si>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</si>
  <si>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</si>
  <si>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</si>
  <si>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</si>
  <si>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</si>
  <si>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</si>
  <si>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</si>
  <si>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</si>
  <si>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</si>
  <si>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</si>
  <si>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</si>
  <si>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</si>
  <si>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</si>
  <si>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</si>
  <si>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</si>
  <si>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</si>
  <si>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</si>
  <si>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</si>
  <si>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</si>
  <si>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</si>
  <si>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</si>
  <si>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</si>
  <si>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</si>
  <si>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</si>
  <si>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</si>
  <si>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</si>
  <si>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</si>
  <si>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</si>
  <si>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</si>
  <si>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</si>
  <si>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</si>
  <si>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</si>
  <si>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</si>
  <si>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</si>
  <si>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</si>
  <si>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</si>
  <si>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</si>
  <si>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</si>
  <si>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</si>
  <si>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</si>
  <si>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</si>
  <si>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</si>
  <si>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</si>
  <si>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</si>
  <si>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</si>
  <si>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</si>
  <si>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</si>
  <si>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</si>
  <si>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</si>
  <si>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</si>
  <si>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</si>
  <si>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</si>
  <si>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</si>
  <si>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</si>
  <si>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</si>
  <si>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</si>
  <si>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</si>
  <si>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</si>
  <si>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</si>
  <si>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</si>
  <si>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</si>
  <si>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</si>
  <si>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</si>
  <si>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</si>
  <si>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</si>
  <si>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</si>
  <si>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</si>
  <si>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</si>
  <si>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</si>
  <si>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</si>
  <si>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</si>
  <si>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</si>
  <si>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</si>
  <si>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</si>
  <si>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</si>
  <si>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</si>
  <si>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</si>
  <si>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</si>
  <si>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</si>
  <si>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</si>
  <si>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</si>
  <si>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</si>
  <si>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</si>
  <si>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</si>
  <si>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</si>
  <si>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</si>
  <si>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</si>
  <si>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</si>
  <si>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</si>
  <si>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</si>
  <si>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</si>
  <si>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</si>
  <si>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</si>
  <si>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</si>
  <si>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</si>
  <si>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</si>
  <si>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</si>
  <si>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</si>
  <si>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</si>
  <si>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</si>
  <si>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</si>
  <si>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</si>
  <si>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</si>
  <si>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</si>
  <si>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</si>
  <si>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</si>
  <si>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</si>
  <si>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</si>
  <si>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</si>
  <si>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</si>
  <si>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</si>
  <si>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</si>
  <si>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</si>
  <si>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</si>
  <si>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</si>
  <si>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</si>
  <si>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</si>
  <si>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</si>
  <si>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</si>
  <si>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</si>
  <si>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</si>
  <si>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</si>
  <si>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</si>
  <si>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</si>
  <si>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</si>
  <si>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</si>
  <si>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</si>
  <si>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</si>
  <si>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</si>
  <si>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</si>
  <si>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</si>
  <si>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</si>
  <si>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</si>
  <si>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</si>
  <si>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</si>
  <si>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</si>
  <si>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</si>
  <si>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</si>
  <si>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</si>
  <si>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</si>
  <si>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</si>
  <si>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</si>
  <si>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</si>
  <si>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</si>
  <si>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</si>
  <si>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</si>
  <si>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</si>
  <si>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</si>
  <si>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</si>
  <si>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</si>
  <si>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</si>
  <si>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</si>
  <si>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</si>
  <si>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</si>
  <si>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</si>
  <si>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</si>
  <si>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</si>
  <si>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</si>
  <si>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</si>
  <si>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</si>
  <si>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</si>
  <si>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</si>
  <si>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</si>
  <si>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</si>
  <si>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</si>
  <si>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</si>
  <si>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</si>
  <si>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</si>
  <si>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</si>
  <si>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</si>
  <si>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</si>
  <si>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</si>
  <si>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</si>
  <si>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</si>
  <si>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</si>
  <si>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</si>
  <si>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</si>
  <si>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</si>
  <si>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</si>
  <si>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</si>
  <si>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</si>
  <si>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</si>
  <si>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</si>
  <si>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</si>
  <si>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</si>
  <si>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</si>
  <si>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</si>
  <si>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</si>
  <si>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</si>
  <si>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</si>
  <si>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</si>
  <si>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</si>
  <si>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</si>
  <si>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</si>
  <si>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</si>
  <si>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</si>
  <si>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</si>
  <si>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</si>
  <si>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</si>
  <si>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</si>
  <si>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</si>
  <si>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</si>
  <si>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</si>
  <si>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</si>
  <si>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</si>
  <si>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</si>
  <si>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</si>
  <si>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</si>
  <si>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</si>
  <si>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</si>
  <si>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</si>
  <si>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</si>
  <si>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</si>
  <si>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</si>
  <si>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</si>
  <si>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</si>
  <si>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</si>
  <si>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</si>
  <si>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</si>
  <si>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</si>
  <si>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</si>
  <si>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</si>
  <si>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</si>
  <si>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</si>
  <si>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</si>
  <si>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</si>
  <si>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</si>
  <si>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</si>
  <si>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</si>
  <si>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</si>
  <si>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</si>
  <si>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</si>
  <si>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</si>
  <si>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</si>
  <si>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</si>
  <si>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</si>
  <si>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</si>
  <si>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</si>
  <si>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</si>
  <si>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</si>
  <si>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</si>
  <si>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</si>
  <si>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</si>
  <si>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</si>
  <si>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</si>
  <si>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</si>
  <si>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</si>
  <si>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</si>
  <si>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</si>
  <si>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</si>
  <si>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</si>
  <si>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</si>
  <si>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</si>
  <si>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</si>
  <si>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</si>
  <si>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</si>
  <si>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</si>
  <si>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</si>
  <si>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</si>
  <si>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</si>
  <si>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</si>
  <si>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</si>
  <si>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</si>
  <si>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</si>
  <si>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</si>
  <si>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</si>
  <si>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</si>
  <si>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</si>
  <si>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</si>
  <si>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</si>
  <si>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</si>
  <si>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</si>
  <si>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</si>
  <si>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</si>
  <si>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</si>
  <si>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</si>
  <si>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</si>
  <si>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</si>
  <si>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</si>
  <si>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</si>
  <si>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</si>
  <si>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</si>
  <si>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</si>
  <si>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</si>
  <si>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</si>
  <si>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</si>
  <si>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</si>
  <si>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</si>
  <si>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</si>
  <si>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</si>
  <si>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</si>
  <si>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</si>
  <si>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</si>
  <si>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</si>
  <si>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</si>
  <si>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</si>
  <si>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</si>
  <si>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</si>
  <si>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</si>
  <si>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</si>
  <si>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</si>
  <si>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</si>
  <si>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</si>
  <si>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</si>
  <si>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</si>
  <si>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</si>
  <si>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</si>
  <si>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</si>
  <si>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</si>
  <si>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</si>
  <si>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</si>
  <si>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</si>
  <si>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</si>
  <si>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</si>
  <si>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</si>
  <si>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</si>
  <si>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</si>
  <si>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</si>
  <si>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</si>
  <si>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</si>
  <si>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</si>
  <si>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</si>
  <si>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</si>
  <si>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</si>
  <si>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</si>
  <si>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</si>
  <si>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</si>
  <si>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</si>
  <si>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</si>
  <si>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</si>
  <si>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</si>
  <si>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</si>
  <si>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</si>
  <si>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</si>
  <si>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</si>
  <si>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</si>
  <si>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</si>
  <si>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</si>
  <si>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</si>
  <si>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</si>
  <si>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</si>
  <si>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</si>
  <si>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</si>
  <si>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</si>
  <si>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</si>
  <si>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</si>
  <si>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</si>
  <si>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</si>
  <si>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</si>
  <si>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</si>
  <si>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</si>
  <si>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</si>
  <si>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</si>
  <si>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</si>
  <si>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</si>
  <si>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</si>
  <si>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</si>
  <si>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</si>
  <si>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</si>
  <si>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</si>
  <si>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</si>
  <si>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</si>
  <si>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</si>
  <si>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</si>
  <si>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</si>
  <si>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</si>
  <si>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</si>
  <si>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</si>
  <si>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</si>
  <si>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</si>
  <si>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</si>
  <si>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</si>
  <si>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</si>
  <si>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</si>
  <si>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</si>
  <si>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</si>
  <si>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</si>
  <si>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</si>
  <si>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</si>
  <si>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</si>
  <si>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</si>
  <si>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</si>
  <si>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</si>
  <si>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</si>
  <si>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</si>
  <si>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</si>
  <si>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</si>
  <si>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</si>
  <si>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</si>
  <si>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</si>
  <si>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</si>
  <si>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</si>
  <si>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</si>
  <si>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</si>
  <si>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</si>
  <si>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</si>
  <si>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</si>
  <si>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</si>
  <si>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</si>
  <si>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</si>
  <si>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</si>
  <si>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</si>
  <si>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</si>
  <si>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</si>
  <si>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</si>
  <si>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</si>
  <si>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</si>
  <si>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</si>
  <si>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</si>
  <si>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</si>
  <si>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</si>
  <si>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</si>
  <si>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</si>
  <si>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</si>
  <si>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</si>
  <si>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</si>
  <si>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</si>
  <si>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</si>
  <si>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</si>
  <si>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</si>
  <si>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</si>
  <si>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</si>
  <si>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</si>
  <si>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</si>
  <si>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</si>
  <si>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</si>
  <si>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</si>
  <si>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</si>
  <si>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</si>
  <si>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</si>
  <si>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</si>
  <si>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</si>
  <si>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</si>
  <si>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</si>
  <si>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</si>
  <si>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</si>
  <si>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</si>
  <si>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</si>
  <si>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</si>
  <si>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</si>
  <si>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</si>
  <si>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</si>
  <si>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</si>
  <si>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</si>
  <si>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</si>
  <si>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</si>
  <si>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</si>
  <si>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</si>
  <si>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</si>
  <si>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</si>
  <si>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</si>
  <si>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</si>
  <si>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</si>
  <si>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</si>
  <si>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</si>
  <si>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</si>
  <si>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</si>
  <si>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</si>
  <si>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</si>
  <si>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</si>
  <si>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</si>
  <si>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</si>
  <si>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</si>
  <si>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</si>
  <si>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</si>
  <si>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</si>
  <si>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</si>
  <si>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</si>
  <si>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</si>
  <si>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</si>
  <si>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</si>
  <si>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</si>
  <si>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</si>
  <si>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</si>
  <si>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</si>
  <si>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</si>
  <si>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</si>
  <si>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</si>
  <si>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</si>
  <si>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</si>
  <si>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</si>
  <si>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</si>
  <si>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</si>
  <si>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</si>
  <si>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</si>
  <si>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</si>
  <si>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</si>
  <si>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</si>
  <si>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</si>
  <si>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</si>
  <si>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</si>
  <si>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</si>
  <si>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</si>
  <si>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</si>
  <si>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</si>
  <si>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</si>
  <si>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</si>
  <si>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</si>
  <si>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</si>
  <si>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</si>
  <si>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</si>
  <si>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</si>
  <si>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</si>
  <si>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</si>
  <si>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</si>
  <si>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</si>
  <si>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</si>
  <si>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</si>
  <si>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</si>
  <si>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</si>
  <si>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</si>
  <si>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</si>
  <si>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</si>
  <si>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</si>
  <si>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</si>
  <si>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</si>
  <si>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</si>
  <si>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</si>
  <si>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</si>
  <si>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</si>
  <si>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</si>
  <si>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</si>
  <si>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</si>
  <si>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</si>
  <si>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</si>
  <si>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</si>
  <si>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</si>
  <si>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</si>
  <si>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</si>
  <si>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</si>
  <si>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</si>
  <si>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</si>
  <si>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</si>
  <si>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</si>
  <si>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</si>
  <si>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</si>
  <si>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</si>
  <si>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</si>
  <si>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</si>
  <si>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</si>
  <si>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</si>
  <si>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</si>
  <si>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</si>
  <si>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</si>
  <si>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</si>
  <si>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</si>
  <si>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</si>
  <si>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</si>
  <si>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</si>
  <si>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</si>
  <si>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</si>
  <si>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</si>
  <si>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</si>
  <si>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</si>
  <si>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</si>
  <si>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</si>
  <si>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</si>
  <si>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</si>
  <si>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</si>
  <si>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</si>
  <si>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</si>
  <si>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</si>
  <si>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</si>
  <si>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</si>
  <si>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</si>
  <si>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</si>
  <si>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</si>
  <si>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</si>
  <si>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</si>
  <si>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</si>
  <si>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</si>
  <si>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</si>
  <si>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</si>
  <si>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</si>
  <si>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</si>
  <si>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</si>
  <si>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</si>
  <si>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</si>
  <si>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</si>
  <si>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</si>
  <si>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</si>
  <si>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</si>
  <si>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</si>
  <si>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</si>
  <si>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</si>
  <si>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</si>
  <si>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</si>
  <si>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</si>
  <si>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</si>
  <si>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</si>
  <si>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</si>
  <si>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</si>
  <si>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</si>
  <si>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</si>
  <si>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</si>
  <si>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</si>
  <si>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</si>
  <si>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</si>
  <si>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</si>
  <si>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</si>
  <si>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</si>
  <si>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</si>
  <si>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</si>
  <si>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</si>
  <si>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</si>
  <si>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</si>
  <si>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</si>
  <si>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</si>
  <si>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</si>
  <si>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</si>
  <si>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</si>
  <si>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</si>
  <si>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</si>
  <si>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</si>
  <si>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</si>
  <si>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</si>
  <si>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</si>
  <si>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</si>
  <si>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</si>
  <si>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</si>
  <si>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</si>
  <si>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</si>
  <si>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</si>
  <si>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</si>
  <si>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</si>
  <si>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</si>
  <si>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</si>
  <si>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</si>
  <si>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</si>
  <si>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</si>
  <si>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</si>
  <si>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</si>
  <si>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</si>
  <si>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</si>
  <si>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</si>
  <si>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</si>
  <si>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</si>
  <si>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</si>
  <si>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</si>
  <si>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</si>
  <si>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</si>
  <si>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</si>
  <si>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</si>
  <si>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</si>
  <si>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</si>
  <si>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</si>
  <si>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</si>
  <si>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</si>
  <si>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</si>
  <si>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</si>
  <si>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</si>
  <si>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</si>
  <si>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</si>
  <si>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</si>
  <si>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</si>
  <si>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</si>
  <si>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</si>
  <si>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</si>
  <si>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</si>
  <si>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</si>
  <si>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</si>
  <si>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</si>
  <si>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</si>
  <si>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</si>
  <si>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</si>
  <si>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</si>
  <si>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</si>
  <si>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</si>
  <si>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</si>
  <si>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</si>
  <si>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</si>
  <si>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</si>
  <si>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</si>
  <si>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</si>
  <si>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</si>
  <si>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</si>
  <si>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</si>
  <si>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</si>
  <si>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</si>
  <si>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</si>
  <si>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</si>
  <si>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</si>
  <si>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</si>
  <si>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</si>
  <si>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</si>
  <si>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</si>
  <si>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</si>
  <si>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</si>
  <si>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</si>
  <si>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</si>
  <si>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</si>
  <si>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</si>
  <si>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</si>
  <si>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</si>
  <si>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</si>
  <si>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</si>
  <si>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</si>
  <si>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</si>
  <si>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</si>
  <si>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</si>
  <si>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</si>
  <si>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</si>
  <si>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</si>
  <si>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</si>
  <si>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</si>
  <si>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</si>
  <si>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</si>
  <si>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</si>
  <si>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</si>
  <si>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</si>
  <si>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</si>
  <si>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</si>
  <si>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</si>
  <si>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</si>
  <si>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</si>
  <si>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</si>
  <si>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</si>
  <si>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</si>
  <si>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</si>
  <si>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</si>
  <si>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</si>
  <si>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</si>
  <si>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</si>
  <si>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</si>
  <si>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</si>
  <si>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</si>
  <si>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</si>
  <si>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</si>
  <si>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</si>
  <si>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</si>
  <si>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</si>
  <si>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</si>
  <si>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</si>
  <si>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</si>
  <si>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</si>
  <si>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</si>
  <si>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</si>
  <si>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</si>
  <si>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</si>
  <si>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</si>
  <si>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</si>
  <si>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</si>
  <si>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</si>
  <si>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</si>
  <si>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</si>
  <si>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</si>
  <si>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</si>
  <si>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</si>
  <si>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</si>
  <si>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</si>
  <si>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</si>
  <si>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</si>
  <si>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</si>
  <si>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</si>
  <si>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</si>
  <si>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</si>
  <si>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</si>
  <si>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</si>
  <si>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</si>
  <si>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</si>
  <si>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</si>
  <si>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</si>
  <si>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</si>
  <si>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</si>
  <si>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</si>
  <si>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</si>
  <si>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</si>
  <si>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</si>
  <si>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</si>
  <si>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</si>
  <si>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</si>
  <si>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</si>
  <si>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</si>
  <si>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</si>
  <si>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</si>
  <si>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</si>
  <si>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</si>
  <si>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</si>
  <si>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</si>
  <si>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</si>
  <si>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</si>
  <si>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</si>
  <si>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</si>
  <si>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</si>
  <si>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</si>
  <si>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</si>
  <si>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</si>
  <si>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</si>
  <si>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</si>
  <si>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</si>
  <si>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</si>
  <si>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</si>
  <si>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</si>
  <si>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</si>
  <si>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</si>
  <si>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</si>
  <si>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</si>
  <si>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</si>
  <si>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</si>
  <si>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</si>
  <si>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</si>
  <si>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</si>
  <si>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</si>
  <si>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</si>
  <si>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</si>
  <si>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</si>
  <si>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</si>
  <si>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</si>
  <si>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</si>
  <si>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</si>
  <si>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</si>
  <si>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</si>
  <si>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</si>
  <si>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</si>
  <si>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</si>
  <si>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</si>
  <si>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</si>
  <si>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</si>
  <si>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</si>
  <si>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</si>
  <si>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</si>
  <si>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</si>
  <si>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</si>
  <si>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</si>
  <si>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</si>
  <si>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</si>
  <si>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</si>
  <si>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</si>
  <si>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</si>
  <si>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</si>
  <si>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</si>
  <si>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</si>
  <si>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</si>
  <si>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</si>
  <si>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</si>
  <si>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</si>
  <si>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</si>
  <si>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</si>
  <si>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</si>
  <si>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</si>
  <si>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</si>
  <si>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</si>
  <si>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</si>
  <si>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</si>
  <si>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</si>
  <si>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</si>
  <si>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</si>
  <si>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</si>
  <si>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</si>
  <si>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</si>
  <si>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</si>
  <si>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</si>
  <si>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</si>
  <si>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</si>
  <si>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</si>
  <si>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</si>
  <si>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</si>
  <si>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</si>
  <si>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</si>
  <si>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</si>
  <si>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</si>
  <si>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</si>
  <si>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</si>
  <si>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</si>
  <si>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</si>
  <si>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</si>
  <si>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</si>
  <si>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</si>
  <si>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</si>
  <si>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</si>
  <si>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</si>
  <si>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</si>
  <si>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</si>
  <si>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</si>
  <si>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</si>
  <si>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</si>
  <si>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</si>
  <si>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</si>
  <si>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</si>
  <si>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</si>
  <si>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</si>
  <si>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</si>
  <si>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</si>
  <si>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</si>
  <si>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</si>
  <si>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</si>
  <si>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</si>
  <si>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</si>
  <si>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</si>
  <si>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</si>
  <si>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</si>
  <si>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</si>
  <si>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</si>
  <si>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</si>
  <si>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</si>
  <si>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</si>
  <si>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</si>
  <si>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</si>
  <si>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</si>
  <si>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</si>
  <si>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</si>
  <si>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</si>
  <si>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</si>
  <si>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</si>
  <si>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</si>
  <si>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</si>
  <si>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</si>
  <si>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</si>
  <si>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</si>
  <si>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</si>
  <si>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</si>
  <si>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</si>
  <si>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</si>
  <si>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</si>
  <si>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</si>
  <si>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</si>
  <si>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</si>
  <si>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</si>
  <si>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</si>
  <si>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</si>
  <si>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</si>
  <si>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</si>
  <si>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</si>
  <si>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</si>
  <si>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</si>
  <si>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</si>
  <si>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</si>
  <si>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</si>
  <si>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</si>
  <si>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</si>
  <si>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</si>
  <si>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</si>
  <si>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</si>
  <si>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</si>
  <si>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</si>
  <si>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</si>
  <si>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</si>
  <si>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</si>
  <si>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</si>
  <si>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</si>
  <si>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</si>
  <si>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</si>
  <si>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</si>
  <si>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</si>
  <si>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</si>
  <si>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</si>
  <si>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</si>
  <si>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</si>
  <si>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</si>
  <si>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</si>
  <si>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</si>
  <si>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</si>
  <si>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</si>
  <si>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</si>
  <si>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</si>
  <si>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</si>
  <si>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</si>
  <si>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</si>
  <si>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</si>
  <si>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</si>
  <si>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</si>
  <si>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</si>
  <si>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</si>
  <si>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</si>
  <si>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</si>
  <si>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</si>
  <si>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</si>
  <si>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</si>
  <si>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</si>
  <si>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</si>
  <si>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</si>
  <si>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</si>
  <si>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</si>
  <si>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</si>
  <si>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</si>
  <si>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</si>
  <si>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</si>
  <si>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</si>
  <si>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</si>
  <si>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</si>
  <si>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</si>
  <si>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</si>
  <si>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</si>
  <si>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</si>
  <si>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</si>
  <si>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</si>
  <si>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</si>
  <si>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</si>
  <si>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</si>
  <si>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</si>
  <si>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</si>
  <si>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</si>
  <si>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</si>
  <si>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</si>
  <si>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</si>
  <si>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</si>
  <si>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</si>
  <si>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</si>
  <si>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</si>
  <si>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</si>
  <si>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</si>
  <si>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</si>
  <si>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</si>
  <si>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</si>
  <si>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</si>
  <si>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</si>
  <si>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</si>
  <si>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</si>
  <si>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</si>
  <si>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</si>
  <si>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</si>
  <si>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</si>
  <si>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</si>
  <si>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</si>
  <si>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</si>
  <si>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</si>
  <si>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</si>
  <si>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</si>
  <si>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</si>
  <si>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</si>
  <si>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</si>
  <si>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</si>
  <si>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</si>
  <si>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</si>
  <si>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</si>
  <si>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</si>
  <si>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</si>
  <si>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</si>
  <si>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</si>
  <si>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</si>
  <si>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</si>
  <si>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</si>
  <si>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</si>
  <si>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</si>
  <si>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</si>
  <si>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</si>
  <si>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</si>
  <si>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</si>
  <si>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</si>
  <si>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</si>
  <si>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</si>
  <si>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</si>
  <si>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</si>
  <si>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</si>
  <si>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</si>
  <si>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</si>
  <si>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</si>
  <si>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</si>
  <si>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</si>
  <si>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</si>
  <si>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</si>
  <si>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</si>
  <si>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</si>
  <si>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</si>
  <si>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</si>
  <si>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</si>
  <si>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</si>
  <si>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</si>
  <si>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</si>
  <si>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</si>
  <si>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</si>
  <si>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</si>
  <si>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</si>
  <si>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</si>
  <si>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</si>
  <si>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</si>
  <si>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</si>
  <si>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</si>
  <si>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</si>
  <si>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</si>
  <si>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</si>
  <si>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</si>
  <si>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</si>
  <si>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</si>
  <si>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</si>
  <si>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</si>
  <si>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</si>
  <si>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</si>
  <si>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</si>
  <si>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</si>
  <si>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</si>
  <si>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</si>
  <si>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</si>
  <si>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</si>
  <si>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</si>
  <si>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</si>
  <si>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</si>
  <si>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</si>
  <si>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</si>
  <si>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</si>
  <si>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</si>
  <si>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</si>
  <si>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</si>
  <si>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</si>
  <si>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</si>
  <si>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</si>
  <si>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</si>
  <si>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</si>
  <si>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</si>
  <si>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</si>
  <si>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</si>
  <si>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</si>
  <si>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</si>
  <si>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</si>
  <si>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</si>
  <si>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</si>
  <si>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</si>
  <si>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</si>
  <si>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</si>
  <si>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</si>
  <si>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</si>
  <si>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</si>
  <si>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</si>
  <si>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</si>
  <si>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</si>
  <si>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</si>
  <si>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</si>
  <si>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</si>
  <si>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</si>
  <si>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</si>
  <si>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</si>
  <si>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</si>
  <si>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</si>
  <si>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</si>
  <si>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</si>
  <si>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</si>
  <si>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</si>
  <si>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</si>
  <si>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</si>
  <si>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</si>
  <si>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</si>
  <si>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</si>
  <si>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</si>
  <si>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</si>
  <si>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</si>
  <si>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</si>
  <si>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</si>
  <si>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</si>
  <si>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</si>
  <si>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</si>
  <si>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</si>
  <si>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</si>
  <si>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</si>
  <si>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</si>
  <si>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</si>
  <si>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</si>
  <si>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</si>
  <si>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</si>
  <si>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</si>
  <si>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</si>
  <si>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</si>
  <si>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</si>
  <si>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</si>
  <si>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</si>
  <si>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</si>
  <si>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</si>
  <si>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</si>
  <si>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</si>
  <si>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</si>
  <si>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</si>
  <si>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</si>
  <si>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</si>
  <si>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</si>
  <si>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</si>
  <si>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</si>
  <si>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</si>
  <si>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</si>
  <si>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</si>
  <si>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</si>
  <si>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</si>
  <si>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</si>
  <si>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</si>
  <si>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</si>
  <si>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</si>
  <si>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</si>
  <si>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</si>
  <si>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</si>
  <si>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</si>
  <si>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</si>
  <si>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</si>
  <si>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</si>
  <si>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</si>
  <si>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</si>
  <si>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</si>
  <si>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</si>
  <si>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</si>
  <si>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</si>
  <si>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</si>
  <si>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</si>
  <si>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</si>
  <si>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</si>
  <si>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</si>
  <si>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</si>
  <si>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</si>
  <si>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</si>
  <si>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</si>
  <si>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</si>
  <si>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</si>
  <si>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</si>
  <si>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</si>
  <si>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</si>
  <si>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</si>
  <si>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</si>
  <si>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</si>
  <si>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</si>
  <si>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</si>
  <si>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</si>
  <si>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</si>
  <si>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</si>
  <si>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</si>
  <si>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</si>
  <si>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</si>
  <si>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</si>
  <si>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</si>
  <si>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</si>
  <si>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</si>
  <si>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</si>
  <si>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</si>
  <si>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</si>
  <si>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</si>
  <si>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</si>
  <si>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</si>
  <si>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</si>
  <si>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</si>
  <si>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</si>
  <si>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</si>
  <si>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</si>
  <si>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</si>
  <si>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</si>
  <si>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</si>
  <si>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</si>
  <si>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</si>
  <si>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</si>
  <si>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</si>
  <si>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</si>
  <si>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</si>
  <si>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</si>
  <si>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</si>
  <si>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</si>
  <si>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</si>
  <si>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</si>
  <si>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</si>
  <si>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</si>
  <si>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</si>
  <si>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</si>
  <si>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</si>
  <si>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</si>
  <si>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</si>
  <si>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</si>
  <si>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</si>
  <si>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</si>
  <si>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</si>
  <si>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</si>
  <si>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</si>
  <si>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</si>
  <si>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</si>
  <si>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</si>
  <si>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</si>
  <si>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</si>
  <si>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</si>
  <si>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</si>
  <si>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</si>
  <si>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</si>
  <si>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</si>
  <si>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</si>
  <si>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</si>
  <si>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</si>
  <si>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</si>
  <si>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</si>
  <si>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</si>
  <si>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</si>
  <si>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</si>
  <si>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</si>
  <si>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</si>
  <si>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</si>
  <si>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</si>
  <si>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</si>
  <si>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</si>
  <si>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</si>
  <si>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</si>
  <si>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</si>
  <si>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</si>
  <si>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</si>
  <si>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</si>
  <si>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</si>
  <si>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</si>
  <si>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</si>
  <si>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</si>
  <si>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</si>
  <si>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</si>
  <si>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</si>
  <si>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</si>
  <si>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</si>
  <si>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</si>
  <si>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</si>
  <si>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</si>
  <si>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</si>
  <si>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</si>
  <si>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</si>
  <si>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</si>
  <si>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</si>
  <si>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</si>
  <si>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</si>
  <si>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</si>
  <si>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</si>
  <si>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</si>
  <si>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</si>
  <si>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05112701760010</t>
  </si>
  <si>
    <t>FIDEICOMISO WALTER A. SOUNDY</t>
  </si>
  <si>
    <t>EL SURCO, S.A. DE C.V.</t>
  </si>
  <si>
    <t>TELEMOVIL EL SALVADOR, S.A. DE C.V.</t>
  </si>
  <si>
    <t>02101809761019</t>
  </si>
  <si>
    <t>ALEJANDRO FRANCISCO MONTOYA GIRON</t>
  </si>
  <si>
    <t>ECSA OPERADORA EL SALVADOR, S.A. DE C.V.</t>
  </si>
  <si>
    <t>05102905901015</t>
  </si>
  <si>
    <t>CRISTIAN ERICSON MONTERROSA GOMEZ</t>
  </si>
  <si>
    <t>05091111041010</t>
  </si>
  <si>
    <t>ATL, S.A. DE C.V.</t>
  </si>
  <si>
    <t>05112507891021</t>
  </si>
  <si>
    <t>AUTODO, S.A. DE C.V.</t>
  </si>
  <si>
    <t>05172512691017</t>
  </si>
  <si>
    <t>SUSY DEL CARMEN SOLORZANO DE FIGUEROA</t>
  </si>
  <si>
    <t>06142911181054</t>
  </si>
  <si>
    <t>IMPORTADORA Y DISTRIBUIDORA GRAFICA, S.A. DE C.V.</t>
  </si>
  <si>
    <t>GASOLUB MASFERRER</t>
  </si>
  <si>
    <t>MOPT</t>
  </si>
  <si>
    <t>06142806211045</t>
  </si>
  <si>
    <t>MEGAPACA, S.A. DE C.V.</t>
  </si>
  <si>
    <t>05112010720015</t>
  </si>
  <si>
    <t>ACOPACTO DE R.L.</t>
  </si>
  <si>
    <t>051128121631064</t>
  </si>
  <si>
    <t>ARISTIDES ORLANDO RIVAS</t>
  </si>
  <si>
    <t>06141210081024</t>
  </si>
  <si>
    <t>GEO CRISDAY, S.A. DE C.V.</t>
  </si>
  <si>
    <t>TECNIAVES, S.A. DE C.V.</t>
  </si>
  <si>
    <t>SO S.A DE C.V.</t>
  </si>
  <si>
    <t>06141312850308</t>
  </si>
  <si>
    <t>06142801880014</t>
  </si>
  <si>
    <t>PROCESADORA Y DISTRIBUIDDORA, S.A. DE C.V.</t>
  </si>
  <si>
    <t>08050503570016</t>
  </si>
  <si>
    <t>HILDA ALICIA VASQUEZ DE SERRANO</t>
  </si>
  <si>
    <t>05100209201014</t>
  </si>
  <si>
    <t>G&amp;G GROUP, S.A. DE C.V.</t>
  </si>
  <si>
    <t>05221608041014</t>
  </si>
  <si>
    <t>IMPOSENDI, S.A. DE C.V.</t>
  </si>
  <si>
    <t>0210180761019</t>
  </si>
  <si>
    <t>06141301171018</t>
  </si>
  <si>
    <t>LABORATORIO CLINICO FUNSAL</t>
  </si>
  <si>
    <t>06142909761221</t>
  </si>
  <si>
    <t>JESUS ANTONIO BRIOSO DIAZ</t>
  </si>
  <si>
    <t>UNION COMERCIAL DE ELSALVADOR, S.A. DE C.V.</t>
  </si>
  <si>
    <t>06141603061033</t>
  </si>
  <si>
    <t>ARGUZ, S.A. DE C.V.</t>
  </si>
  <si>
    <t>05112909211019</t>
  </si>
  <si>
    <t>DC AUTOMOTRIZ, S.A. DE C.V.</t>
  </si>
  <si>
    <t>06140202151068</t>
  </si>
  <si>
    <t>BRAU, S.A. DE C.V.</t>
  </si>
  <si>
    <t>INVERSIONES RAMIREZ QUINTANILLA, S.A DE C.V.</t>
  </si>
  <si>
    <t>06142203891254</t>
  </si>
  <si>
    <t>JUAQUIN ALBERTO QUINTEROS POSADA</t>
  </si>
  <si>
    <t>06142401181106</t>
  </si>
  <si>
    <t>TM INDUSTRIAL, S.A. DE C.V.</t>
  </si>
  <si>
    <t>06142807181018</t>
  </si>
  <si>
    <t>FAN COOL, S.A. DE C.V.</t>
  </si>
  <si>
    <t>05032807091015</t>
  </si>
  <si>
    <t>VARELL, S.A. DE C.V.</t>
  </si>
  <si>
    <t>06143008931094</t>
  </si>
  <si>
    <t>PRODIASER, S.A. DE C.V.</t>
  </si>
  <si>
    <t>06140704841084</t>
  </si>
  <si>
    <t>JORGE ALBERTO MENJIVAR</t>
  </si>
  <si>
    <t>05112812631064</t>
  </si>
  <si>
    <t>05112010120015</t>
  </si>
  <si>
    <t>06141011221011</t>
  </si>
  <si>
    <t>DIJOSA SA DE CV</t>
  </si>
  <si>
    <t>06141112600117</t>
  </si>
  <si>
    <t>MARTA ALICIA RIVAS DE ERAZO</t>
  </si>
  <si>
    <t>06141310151062</t>
  </si>
  <si>
    <t>MINERALES SA DE CV</t>
  </si>
  <si>
    <t>020890611</t>
  </si>
  <si>
    <t>RICARDO ERNESTO GIRON SANTOS</t>
  </si>
  <si>
    <t>05111408191011</t>
  </si>
  <si>
    <t>REPUESTOS CASTILLO SA DE CV</t>
  </si>
  <si>
    <t>15041RESIN383132023</t>
  </si>
  <si>
    <t>23BL000C</t>
  </si>
  <si>
    <t>06030301931016</t>
  </si>
  <si>
    <t>JOSE DAVID DIAZ ESCOBAR</t>
  </si>
  <si>
    <t>06142502211030</t>
  </si>
  <si>
    <t>GRUPO TIRE EXPRESSS, S.A. DE CV</t>
  </si>
  <si>
    <t>04</t>
  </si>
  <si>
    <t>06142908201010</t>
  </si>
  <si>
    <t>FONDOS PATRIM. Y CAPITAL VARIABLE SOCIEDAD COOP. DE AHORRO Y CRED. DE R.L.</t>
  </si>
  <si>
    <t>05012906061011</t>
  </si>
  <si>
    <t>AS MEDIA EL SALVADOR SA DE CV</t>
  </si>
  <si>
    <t>05012501191015</t>
  </si>
  <si>
    <t>ESCUELA DE COMUNICACIONES SA DE CV</t>
  </si>
  <si>
    <t>06141108111075</t>
  </si>
  <si>
    <t>DIFORZA INTERNATIONAL S.A. DE C.V.</t>
  </si>
  <si>
    <t>PROTECNO, SA DE CV</t>
  </si>
  <si>
    <t>046602701</t>
  </si>
  <si>
    <t>ROSALIO RIVERA SOLORZANO</t>
  </si>
  <si>
    <t>06142203111038</t>
  </si>
  <si>
    <t>DAYS CORPORATIONS, SA DE CV</t>
  </si>
  <si>
    <t>05110404191010</t>
  </si>
  <si>
    <t>AUTOMOTRIZ SERVITECLA, S.A. DE C.V.</t>
  </si>
  <si>
    <t>05030912201010</t>
  </si>
  <si>
    <t>CORPORACION HD, SA DE CV</t>
  </si>
  <si>
    <t>11081708871011</t>
  </si>
  <si>
    <t>JAIRO ESAU CHACON RODRIGUEZ</t>
  </si>
  <si>
    <t>06142712221020</t>
  </si>
  <si>
    <t>MADERAS PRIMAVERAL S.A. DE C.V.</t>
  </si>
  <si>
    <t>06140305191017</t>
  </si>
  <si>
    <t>TMALL,S.A. DE C.V.</t>
  </si>
  <si>
    <t>06141509891057</t>
  </si>
  <si>
    <t>ROLANDO CANIZALEZ</t>
  </si>
  <si>
    <t>06140604840010</t>
  </si>
  <si>
    <t>CANAL DOCE DE TELEVISION SA DE CV</t>
  </si>
  <si>
    <t>05020603840011</t>
  </si>
  <si>
    <t>21BL000E</t>
  </si>
  <si>
    <t>06141301231061</t>
  </si>
  <si>
    <t>PRONTO TIENDAS EL SALVADOR</t>
  </si>
  <si>
    <t>30/01/2024</t>
  </si>
  <si>
    <t>23/01/2024</t>
  </si>
  <si>
    <t>17/01/2024</t>
  </si>
  <si>
    <t>22/01/2024</t>
  </si>
  <si>
    <t>24/01/2024</t>
  </si>
  <si>
    <t>09/01/2024</t>
  </si>
  <si>
    <t>29/01/2024</t>
  </si>
  <si>
    <t>QUITAR GUIONES</t>
  </si>
  <si>
    <t>TEXTO</t>
  </si>
  <si>
    <t>RESULTADO</t>
  </si>
  <si>
    <t>36CB6F62C6ED44C491F92ACF391BBF77</t>
  </si>
  <si>
    <t xml:space="preserve">06140210081052 </t>
  </si>
  <si>
    <t>35101829170781239519716095168871</t>
  </si>
  <si>
    <t>350F3BFA04B411798366051442438704</t>
  </si>
  <si>
    <t>18/01/2024</t>
  </si>
  <si>
    <t>150FC58CF0CD58391302016284207293</t>
  </si>
  <si>
    <t>48F27747-0AE7-48A2-B31E-AEDAA1C91330</t>
  </si>
  <si>
    <t>48F277470AE748A2B31EAEDAA1C91330</t>
  </si>
  <si>
    <t>ESCUELA NACIONAL DE AGRICULTURA</t>
  </si>
  <si>
    <t>774</t>
  </si>
  <si>
    <t>18/12/2023</t>
  </si>
  <si>
    <t>EPA SA DE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</si>
</sst>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2"/>
      <color rgb="FF212529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11" fillId="7" borderId="6" xfId="0" quotePrefix="1" applyFont="1" applyFill="1" applyBorder="1" applyAlignment="1">
      <alignment horizontal="center"/>
    </xf>
    <xf numFmtId="49" fontId="0" fillId="16" borderId="28" xfId="0" applyNumberFormat="1" applyFill="1" applyBorder="1"/>
    <xf numFmtId="14" fontId="11" fillId="4" borderId="6" xfId="0" quotePrefix="1" applyNumberFormat="1" applyFont="1" applyFill="1" applyBorder="1" applyAlignment="1">
      <alignment horizontal="center"/>
    </xf>
    <xf numFmtId="0" fontId="0" fillId="17" borderId="32" xfId="0" applyFill="1" applyBorder="1"/>
    <xf numFmtId="0" fontId="33" fillId="18" borderId="0" xfId="0" applyFont="1" applyFill="1"/>
    <xf numFmtId="0" fontId="0" fillId="18" borderId="0" xfId="0" applyFill="1"/>
    <xf numFmtId="0" fontId="0" fillId="18" borderId="33" xfId="0" applyFill="1" applyBorder="1"/>
    <xf numFmtId="0" fontId="0" fillId="12" borderId="0" xfId="0" applyFill="1"/>
    <xf numFmtId="0" fontId="0" fillId="19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8" borderId="0" xfId="0" applyNumberFormat="1" applyFill="1"/>
    <xf numFmtId="0" fontId="0" fillId="19" borderId="34" xfId="0" applyFill="1" applyBorder="1"/>
    <xf numFmtId="0" fontId="0" fillId="12" borderId="35" xfId="0" applyFill="1" applyBorder="1"/>
    <xf numFmtId="0" fontId="0" fillId="12" borderId="36" xfId="0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14" fontId="0" fillId="0" borderId="0" xfId="0" quotePrefix="1" applyNumberFormat="1"/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B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1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5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05" totalsRowShown="0">
  <autoFilter ref="A1:B450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H13" sqref="H1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3 16384:16384" ht="49.5" customHeight="1" x14ac:dyDescent="0.25"/>
    <row r="2" spans="2:13 16384:16384" ht="15.75" thickBot="1" x14ac:dyDescent="0.3">
      <c r="H2" s="139" t="s">
        <v>9173</v>
      </c>
      <c r="I2" s="140"/>
      <c r="J2" s="140"/>
      <c r="K2" s="140"/>
      <c r="L2" s="141"/>
    </row>
    <row r="3" spans="2:13 16384:16384" ht="17.25" x14ac:dyDescent="0.3">
      <c r="B3" s="23" t="s">
        <v>17</v>
      </c>
      <c r="D3" s="46" t="s">
        <v>8491</v>
      </c>
      <c r="H3" s="126" t="s">
        <v>9174</v>
      </c>
      <c r="I3" s="127" t="s">
        <v>9182</v>
      </c>
      <c r="J3" s="128"/>
      <c r="K3" s="128"/>
      <c r="L3" s="129"/>
      <c r="M3" s="130">
        <f>LEN(I3)</f>
        <v>36</v>
      </c>
      <c r="XFD3" t="s">
        <v>8491</v>
      </c>
    </row>
    <row r="4" spans="2:13 16384:16384" x14ac:dyDescent="0.25">
      <c r="B4" s="23" t="s">
        <v>2</v>
      </c>
      <c r="D4" s="45" t="s">
        <v>9180</v>
      </c>
      <c r="H4" s="131" t="s">
        <v>9175</v>
      </c>
      <c r="I4" s="130" t="str">
        <f>SUBSTITUTE(I3,"-","")</f>
        <v>48F277470AE748A2B31EAEDAA1C91330</v>
      </c>
      <c r="J4" s="130"/>
      <c r="K4" s="130"/>
      <c r="L4" s="132"/>
      <c r="M4" s="130">
        <f t="shared" ref="M4:M8" si="0">LEN(I4)</f>
        <v>32</v>
      </c>
      <c r="XFD4" t="s">
        <v>8486</v>
      </c>
    </row>
    <row r="5" spans="2:13 16384:16384" hidden="1" x14ac:dyDescent="0.25">
      <c r="B5" s="23" t="s">
        <v>3</v>
      </c>
      <c r="D5" s="26" t="s">
        <v>7706</v>
      </c>
      <c r="H5" s="133"/>
      <c r="L5" s="134"/>
      <c r="M5" s="130">
        <f t="shared" si="0"/>
        <v>0</v>
      </c>
      <c r="XFD5" t="s">
        <v>8487</v>
      </c>
    </row>
    <row r="6" spans="2:13 16384:16384" ht="15" hidden="1" customHeight="1" x14ac:dyDescent="0.25">
      <c r="B6" s="23" t="s">
        <v>4</v>
      </c>
      <c r="D6" s="26" t="s">
        <v>0</v>
      </c>
      <c r="H6" s="133"/>
      <c r="L6" s="134"/>
      <c r="M6" s="130">
        <f t="shared" si="0"/>
        <v>0</v>
      </c>
      <c r="XFD6" t="s">
        <v>8488</v>
      </c>
    </row>
    <row r="7" spans="2:13 16384:16384" x14ac:dyDescent="0.25">
      <c r="B7" s="23" t="s">
        <v>5</v>
      </c>
      <c r="D7" s="123"/>
      <c r="H7" s="126" t="s">
        <v>9174</v>
      </c>
      <c r="I7" s="135" t="s">
        <v>1340</v>
      </c>
      <c r="J7" s="128"/>
      <c r="K7" s="128"/>
      <c r="L7" s="129"/>
      <c r="M7" s="130">
        <f t="shared" si="0"/>
        <v>14</v>
      </c>
      <c r="XFD7" t="s">
        <v>8490</v>
      </c>
    </row>
    <row r="8" spans="2:13 16384:16384" x14ac:dyDescent="0.25">
      <c r="B8" s="23" t="s">
        <v>6</v>
      </c>
      <c r="D8" s="43" t="s">
        <v>1340</v>
      </c>
      <c r="H8" s="136" t="s">
        <v>9175</v>
      </c>
      <c r="I8" s="137" t="str">
        <f>SUBSTITUTE(I7,"-","")</f>
        <v>02101911710016</v>
      </c>
      <c r="J8" s="137"/>
      <c r="K8" s="137"/>
      <c r="L8" s="138"/>
      <c r="M8" s="130">
        <f t="shared" si="0"/>
        <v>14</v>
      </c>
      <c r="XFD8" t="s">
        <v>8489</v>
      </c>
    </row>
    <row r="9" spans="2:13 16384:16384" x14ac:dyDescent="0.25">
      <c r="B9" s="23" t="s">
        <v>70</v>
      </c>
      <c r="D9" s="103" t="str">
        <f>IFERROR(IF(D8&lt;&gt;"",VLOOKUP(D8,Tabla4[#All],2,0),IF(D19&lt;&gt;0,VLOOKUP(D19,Tabla4[#All],2,0),0)),"")</f>
        <v>ALMACENES VIDRI, S.A. DE C.V.</v>
      </c>
      <c r="XFD9" t="s">
        <v>9019</v>
      </c>
    </row>
    <row r="10" spans="2:13 16384:16384" x14ac:dyDescent="0.25">
      <c r="B10" s="23" t="s">
        <v>7</v>
      </c>
      <c r="D10" s="104">
        <v>0</v>
      </c>
      <c r="F10" s="2"/>
      <c r="XFD10" t="s">
        <v>9020</v>
      </c>
    </row>
    <row r="11" spans="2:13 16384:16384" hidden="1" x14ac:dyDescent="0.25">
      <c r="B11" s="23" t="s">
        <v>8</v>
      </c>
      <c r="D11" s="104">
        <v>0</v>
      </c>
      <c r="F11" s="2"/>
      <c r="XFD11" t="s">
        <v>9021</v>
      </c>
    </row>
    <row r="12" spans="2:13 16384:16384" hidden="1" x14ac:dyDescent="0.25">
      <c r="B12" s="23" t="s">
        <v>9</v>
      </c>
      <c r="D12" s="104">
        <v>0</v>
      </c>
      <c r="F12" s="2"/>
      <c r="XFD12" t="s">
        <v>9022</v>
      </c>
    </row>
    <row r="13" spans="2:13 16384:16384" x14ac:dyDescent="0.25">
      <c r="B13" s="23" t="s">
        <v>10</v>
      </c>
      <c r="D13" s="105"/>
      <c r="F13" s="15"/>
      <c r="XFD13" t="s">
        <v>9023</v>
      </c>
    </row>
    <row r="14" spans="2:13 16384:16384" x14ac:dyDescent="0.25">
      <c r="B14" s="23" t="s">
        <v>11</v>
      </c>
      <c r="D14" s="104">
        <v>0</v>
      </c>
      <c r="F14" s="2"/>
      <c r="XFD14" t="s">
        <v>9024</v>
      </c>
    </row>
    <row r="15" spans="2:13 16384:16384" x14ac:dyDescent="0.25">
      <c r="B15" s="23" t="s">
        <v>13</v>
      </c>
      <c r="D15" s="105">
        <v>0</v>
      </c>
      <c r="F15" s="2"/>
    </row>
    <row r="16" spans="2:13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H2:L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5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5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5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5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5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5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5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5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5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5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5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5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5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5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5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5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5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5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5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5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5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5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5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5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5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5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5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5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5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5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5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5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5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5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5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5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5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5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5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5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5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5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5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5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5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5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5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5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5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5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5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5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5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5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5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5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5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5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5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5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5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5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5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5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5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5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5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5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5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5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5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5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5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5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5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5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5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5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5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5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5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5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5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5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5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5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5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5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5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5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5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5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5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5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5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5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5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5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5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5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5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5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5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5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5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5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5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5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5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5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5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5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5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5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5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5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5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5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5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5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5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5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5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5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5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5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5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5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5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5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5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5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5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5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5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5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5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5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5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5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5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5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5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5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5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5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5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5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5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5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5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5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5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5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5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5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5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5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5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5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5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5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5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5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5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5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5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5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5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5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5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5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5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5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5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5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5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5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5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5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5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5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5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5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5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5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5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5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5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5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5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5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5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5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5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5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5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5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5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5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5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5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5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5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5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5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5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5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5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5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5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5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5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5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5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5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5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5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5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5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5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5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5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5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5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5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5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5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5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5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5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5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5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5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5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5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5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5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5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5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5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5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5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5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5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5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5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5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5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5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5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5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5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5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5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5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5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5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5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5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5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5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5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5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5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5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5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5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5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5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5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5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5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5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5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5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5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5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5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5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5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5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5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5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5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5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5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5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5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5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5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5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5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5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5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5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5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5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5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5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5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5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5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5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5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5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5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5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5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5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5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5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5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5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5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5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5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5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5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5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5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5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5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5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5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5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5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5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5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5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5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5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5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5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5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5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5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5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5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5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5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5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5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5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5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5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5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5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5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5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5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5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5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5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5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5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5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5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5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5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5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5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5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5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5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5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5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5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5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5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5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5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5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5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5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5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5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5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5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5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5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5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5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5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5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5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5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5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5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5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5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5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5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5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5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5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5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5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5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5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5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5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5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5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5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5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5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5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5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5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5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5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5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5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5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5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5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5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5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5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5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5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5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5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5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5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5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5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5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5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5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5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5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5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5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5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5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5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5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5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5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5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5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5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5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5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5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5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5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5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5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5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5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5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5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5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5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5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5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5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5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5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5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5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5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5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5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5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5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5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5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5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5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5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5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5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5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5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5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5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5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5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5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5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5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5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5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5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5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5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5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5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5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5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5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5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5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5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5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5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5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5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5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5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5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5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5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5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5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5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5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5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5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5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5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5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5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5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5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5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5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5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5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5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5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5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5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5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5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5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5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5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5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5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5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5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5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5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5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5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5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5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5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5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5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5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5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5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5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5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5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5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5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5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5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5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5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5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5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5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5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5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5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5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5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5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5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5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5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5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5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5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5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5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5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5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5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5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5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5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5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5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5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5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5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5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5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5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5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5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5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5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5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5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5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5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5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5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5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5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5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5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5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5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5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5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5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5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5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5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5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5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5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5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5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5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5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5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5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5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5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5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5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5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5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5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5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5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5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5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5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5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5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5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5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5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5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5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5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5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5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5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5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5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5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5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5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5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5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5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5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5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5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5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5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5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5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5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5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5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5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5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5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5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5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5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5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5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278"/>
  <sheetViews>
    <sheetView zoomScaleNormal="100" workbookViewId="0">
      <selection activeCell="G7" sqref="G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21.570312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6"/>
      <c r="D1" s="116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9180</v>
      </c>
      <c r="C3" s="21" t="s">
        <v>9134</v>
      </c>
      <c r="D3" t="s">
        <v>0</v>
      </c>
      <c r="E3" t="s">
        <v>9183</v>
      </c>
      <c r="F3" t="s">
        <v>1340</v>
      </c>
      <c r="G3" t="s">
        <v>1341</v>
      </c>
      <c r="H3" s="2">
        <v>0</v>
      </c>
      <c r="I3" s="2">
        <v>0</v>
      </c>
      <c r="J3" s="2">
        <v>0</v>
      </c>
      <c r="K3" s="15">
        <v>2.65</v>
      </c>
      <c r="L3" s="2">
        <v>0</v>
      </c>
      <c r="M3" s="2">
        <v>0</v>
      </c>
      <c r="N3" s="2">
        <v>0</v>
      </c>
      <c r="O3" s="2">
        <v>0.34449999999999997</v>
      </c>
      <c r="P3" s="2">
        <v>2.9944999999999999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9180</v>
      </c>
      <c r="C4" s="21" t="s">
        <v>9134</v>
      </c>
      <c r="D4" t="s">
        <v>0</v>
      </c>
      <c r="E4" t="s">
        <v>9181</v>
      </c>
      <c r="F4" t="s">
        <v>1324</v>
      </c>
      <c r="G4" t="s">
        <v>1325</v>
      </c>
      <c r="H4" s="2">
        <v>2.41</v>
      </c>
      <c r="I4" s="2">
        <v>0</v>
      </c>
      <c r="J4" s="2">
        <v>0</v>
      </c>
      <c r="K4" s="15">
        <v>25.55</v>
      </c>
      <c r="L4" s="2">
        <v>0</v>
      </c>
      <c r="M4" s="2">
        <v>0</v>
      </c>
      <c r="N4" s="2">
        <v>0</v>
      </c>
      <c r="O4" s="2">
        <v>3.3215000000000003</v>
      </c>
      <c r="P4" s="2">
        <v>31.281500000000001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9180</v>
      </c>
      <c r="C5" s="21" t="s">
        <v>9134</v>
      </c>
      <c r="D5" t="s">
        <v>0</v>
      </c>
      <c r="E5" t="s">
        <v>9179</v>
      </c>
      <c r="F5" t="s">
        <v>1443</v>
      </c>
      <c r="G5" t="s">
        <v>1444</v>
      </c>
      <c r="H5" s="2">
        <v>1.62</v>
      </c>
      <c r="I5" s="2">
        <v>0</v>
      </c>
      <c r="J5" s="2">
        <v>0</v>
      </c>
      <c r="K5" s="15">
        <v>16.260000000000002</v>
      </c>
      <c r="L5" s="2">
        <v>0</v>
      </c>
      <c r="M5" s="2">
        <v>0</v>
      </c>
      <c r="N5" s="2">
        <v>0</v>
      </c>
      <c r="O5" s="2">
        <v>2.1138000000000003</v>
      </c>
      <c r="P5" s="2">
        <v>19.993800000000004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9172</v>
      </c>
      <c r="C6" s="21" t="s">
        <v>9134</v>
      </c>
      <c r="D6" t="s">
        <v>0</v>
      </c>
      <c r="E6" t="s">
        <v>9178</v>
      </c>
      <c r="F6" t="s">
        <v>1443</v>
      </c>
      <c r="G6" t="s">
        <v>1444</v>
      </c>
      <c r="H6" s="2">
        <v>1.56</v>
      </c>
      <c r="I6" s="2">
        <v>0</v>
      </c>
      <c r="J6" s="2">
        <v>0</v>
      </c>
      <c r="K6" s="15">
        <v>16.32</v>
      </c>
      <c r="L6" s="2">
        <v>0</v>
      </c>
      <c r="M6" s="2">
        <v>0</v>
      </c>
      <c r="N6" s="2">
        <v>0</v>
      </c>
      <c r="O6" s="2">
        <v>2.1215999999999999</v>
      </c>
      <c r="P6" s="2">
        <v>20.0016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9169</v>
      </c>
      <c r="C7" s="21" t="s">
        <v>9134</v>
      </c>
      <c r="D7" t="s">
        <v>0</v>
      </c>
      <c r="E7" t="s">
        <v>9176</v>
      </c>
      <c r="F7" t="s">
        <v>9177</v>
      </c>
      <c r="G7" t="s">
        <v>9187</v>
      </c>
      <c r="H7" s="2">
        <v>0</v>
      </c>
      <c r="I7" s="2">
        <v>0</v>
      </c>
      <c r="J7" s="2">
        <v>0</v>
      </c>
      <c r="K7" s="15">
        <v>3.98</v>
      </c>
      <c r="L7" s="2">
        <v>0</v>
      </c>
      <c r="M7" s="2">
        <v>0</v>
      </c>
      <c r="N7" s="2">
        <v>0</v>
      </c>
      <c r="O7" s="2">
        <v>0.51739999999999997</v>
      </c>
      <c r="P7" s="2">
        <v>4.4973999999999998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9169</v>
      </c>
      <c r="C8" t="s">
        <v>7706</v>
      </c>
      <c r="D8" t="s">
        <v>0</v>
      </c>
      <c r="E8">
        <v>2998</v>
      </c>
      <c r="F8" t="s">
        <v>9148</v>
      </c>
      <c r="G8" t="s">
        <v>9149</v>
      </c>
      <c r="H8" s="2">
        <v>0</v>
      </c>
      <c r="I8" s="2">
        <v>0</v>
      </c>
      <c r="J8" s="2">
        <v>0</v>
      </c>
      <c r="K8" s="15">
        <v>78.52</v>
      </c>
      <c r="L8" s="2">
        <v>0</v>
      </c>
      <c r="M8" s="2">
        <v>0</v>
      </c>
      <c r="N8" s="2">
        <v>0</v>
      </c>
      <c r="O8" s="2">
        <v>10.207599999999999</v>
      </c>
      <c r="P8" s="2">
        <v>88.727599999999995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s="149" t="s">
        <v>9186</v>
      </c>
      <c r="C9" t="s">
        <v>7706</v>
      </c>
      <c r="D9" t="s">
        <v>0</v>
      </c>
      <c r="E9">
        <v>32224530</v>
      </c>
      <c r="F9" t="s">
        <v>3436</v>
      </c>
      <c r="G9" t="s">
        <v>3437</v>
      </c>
      <c r="H9" s="2">
        <v>0</v>
      </c>
      <c r="I9" s="2">
        <v>0</v>
      </c>
      <c r="J9" s="2">
        <v>0</v>
      </c>
      <c r="K9" s="15">
        <v>20.34</v>
      </c>
      <c r="L9" s="2">
        <v>0</v>
      </c>
      <c r="M9" s="2">
        <v>0</v>
      </c>
      <c r="N9" s="2">
        <v>0</v>
      </c>
      <c r="O9" s="2">
        <v>2.6442000000000001</v>
      </c>
      <c r="P9" s="2">
        <v>22.984200000000001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9172</v>
      </c>
      <c r="C10" t="s">
        <v>7706</v>
      </c>
      <c r="D10" t="s">
        <v>0</v>
      </c>
      <c r="E10">
        <v>93</v>
      </c>
      <c r="F10" t="s">
        <v>9083</v>
      </c>
      <c r="G10" t="s">
        <v>9084</v>
      </c>
      <c r="H10" s="2">
        <v>0</v>
      </c>
      <c r="I10" s="2">
        <v>0</v>
      </c>
      <c r="J10" s="2">
        <v>0</v>
      </c>
      <c r="K10" s="15">
        <v>28.29</v>
      </c>
      <c r="L10" s="2">
        <v>0</v>
      </c>
      <c r="M10" s="2">
        <v>0</v>
      </c>
      <c r="N10" s="2">
        <v>0</v>
      </c>
      <c r="O10" s="2">
        <v>3.6777000000000002</v>
      </c>
      <c r="P10" s="2">
        <v>31.967700000000001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9171</v>
      </c>
      <c r="C11" t="s">
        <v>7706</v>
      </c>
      <c r="D11" t="s">
        <v>0</v>
      </c>
      <c r="E11">
        <v>1625</v>
      </c>
      <c r="F11" t="s">
        <v>9083</v>
      </c>
      <c r="G11" t="s">
        <v>9084</v>
      </c>
      <c r="H11" s="2">
        <v>0</v>
      </c>
      <c r="I11" s="2">
        <v>0</v>
      </c>
      <c r="J11" s="2">
        <v>0</v>
      </c>
      <c r="K11" s="15">
        <v>72.95</v>
      </c>
      <c r="L11" s="2">
        <v>0</v>
      </c>
      <c r="M11" s="2">
        <v>0</v>
      </c>
      <c r="N11" s="2">
        <v>0</v>
      </c>
      <c r="O11" s="2">
        <v>9.4835000000000012</v>
      </c>
      <c r="P11" s="2">
        <v>82.433500000000009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9170</v>
      </c>
      <c r="C12" t="s">
        <v>7706</v>
      </c>
      <c r="D12" t="s">
        <v>0</v>
      </c>
      <c r="E12">
        <v>829</v>
      </c>
      <c r="F12" t="s">
        <v>9101</v>
      </c>
      <c r="G12" t="s">
        <v>9102</v>
      </c>
      <c r="H12" s="2">
        <v>0</v>
      </c>
      <c r="I12" s="2">
        <v>0</v>
      </c>
      <c r="J12" s="2">
        <v>0</v>
      </c>
      <c r="K12" s="15">
        <v>30</v>
      </c>
      <c r="L12" s="2">
        <v>0</v>
      </c>
      <c r="M12" s="2">
        <v>0</v>
      </c>
      <c r="N12" s="2">
        <v>0</v>
      </c>
      <c r="O12" s="2">
        <v>3.9000000000000004</v>
      </c>
      <c r="P12" s="2">
        <v>33.9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9169</v>
      </c>
      <c r="C13" t="s">
        <v>7706</v>
      </c>
      <c r="D13" t="s">
        <v>0</v>
      </c>
      <c r="E13">
        <v>605794</v>
      </c>
      <c r="F13" t="s">
        <v>1375</v>
      </c>
      <c r="G13" t="s">
        <v>1376</v>
      </c>
      <c r="H13" s="2">
        <v>2.0299999999999998</v>
      </c>
      <c r="I13" s="2">
        <v>0</v>
      </c>
      <c r="J13" s="2">
        <v>0</v>
      </c>
      <c r="K13" s="15">
        <v>20.329999999999998</v>
      </c>
      <c r="L13" s="2">
        <v>0</v>
      </c>
      <c r="M13" s="2">
        <v>0</v>
      </c>
      <c r="N13" s="2">
        <v>0</v>
      </c>
      <c r="O13" s="2">
        <v>2.6429</v>
      </c>
      <c r="P13" s="2">
        <v>25.0029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s="21" t="s">
        <v>9168</v>
      </c>
      <c r="C14" t="s">
        <v>7706</v>
      </c>
      <c r="D14" t="s">
        <v>0</v>
      </c>
      <c r="E14">
        <v>376</v>
      </c>
      <c r="F14" t="s">
        <v>9060</v>
      </c>
      <c r="G14" t="s">
        <v>9061</v>
      </c>
      <c r="H14" s="2">
        <v>0</v>
      </c>
      <c r="I14" s="2">
        <v>0</v>
      </c>
      <c r="J14" s="2">
        <v>0</v>
      </c>
      <c r="K14" s="15">
        <v>60</v>
      </c>
      <c r="L14" s="2">
        <v>0</v>
      </c>
      <c r="M14" s="2">
        <v>0</v>
      </c>
      <c r="N14" s="2">
        <v>0</v>
      </c>
      <c r="O14" s="2">
        <v>7.8000000000000007</v>
      </c>
      <c r="P14" s="2">
        <v>67.8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t="s">
        <v>9167</v>
      </c>
      <c r="C15" t="s">
        <v>7706</v>
      </c>
      <c r="D15" t="s">
        <v>0</v>
      </c>
      <c r="E15">
        <v>387</v>
      </c>
      <c r="F15" t="s">
        <v>9060</v>
      </c>
      <c r="G15" t="s">
        <v>9061</v>
      </c>
      <c r="H15" s="2">
        <v>0</v>
      </c>
      <c r="I15" s="2">
        <v>0</v>
      </c>
      <c r="J15" s="2">
        <v>0</v>
      </c>
      <c r="K15" s="15">
        <v>630</v>
      </c>
      <c r="L15" s="2">
        <v>0</v>
      </c>
      <c r="M15" s="2">
        <v>0</v>
      </c>
      <c r="N15" s="2">
        <v>0</v>
      </c>
      <c r="O15" s="2">
        <v>81.900000000000006</v>
      </c>
      <c r="P15" s="2">
        <v>711.9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8491</v>
      </c>
      <c r="B16" t="s">
        <v>9166</v>
      </c>
      <c r="C16" t="s">
        <v>7706</v>
      </c>
      <c r="D16" t="s">
        <v>0</v>
      </c>
      <c r="E16">
        <v>1</v>
      </c>
      <c r="F16" t="s">
        <v>9060</v>
      </c>
      <c r="G16" t="s">
        <v>9061</v>
      </c>
      <c r="H16" s="2">
        <v>0</v>
      </c>
      <c r="I16" s="2">
        <v>0</v>
      </c>
      <c r="J16" s="2">
        <v>0</v>
      </c>
      <c r="K16" s="15">
        <v>45</v>
      </c>
      <c r="L16" s="2">
        <v>0</v>
      </c>
      <c r="M16" s="2">
        <v>0</v>
      </c>
      <c r="N16" s="2">
        <v>0</v>
      </c>
      <c r="O16" s="2">
        <v>5.8500000000000005</v>
      </c>
      <c r="P16" s="2">
        <v>50.85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C17" s="21"/>
      <c r="K17" s="15"/>
      <c r="Q17"/>
      <c r="S17" s="2"/>
      <c r="T17" s="2"/>
      <c r="U17" s="2"/>
    </row>
    <row r="18" spans="1:21" ht="15.75" thickBot="1" x14ac:dyDescent="0.3">
      <c r="T18" s="2"/>
      <c r="U18" s="2"/>
    </row>
    <row r="19" spans="1:21" ht="15.75" thickBot="1" x14ac:dyDescent="0.3">
      <c r="A19" s="142" t="s">
        <v>71</v>
      </c>
      <c r="B19" s="143"/>
      <c r="C19" s="143"/>
      <c r="D19" s="143"/>
      <c r="E19" s="143"/>
      <c r="F19" s="143"/>
      <c r="G19" s="144"/>
      <c r="H19" s="3">
        <f>+SUBTOTAL(9,Tabla1[C. EXENTAS])</f>
        <v>7.6199999999999992</v>
      </c>
      <c r="I19" s="3">
        <f>+SUBTOTAL(9,Tabla1[I. EXENTAS])</f>
        <v>0</v>
      </c>
      <c r="J19" s="3">
        <f>+SUBTOTAL(9,Tabla1[IMPOR EX])</f>
        <v>0</v>
      </c>
      <c r="K19" s="3">
        <f>+SUBTOTAL(9,Tabla1[C. GRAVADA])</f>
        <v>1050.19</v>
      </c>
      <c r="L19" s="3">
        <f>+SUBTOTAL(9,Tabla1[INTER GRAVA])</f>
        <v>0</v>
      </c>
      <c r="M19" s="3">
        <f>+SUBTOTAL(9,Tabla1[IMPOR BIENES])</f>
        <v>0</v>
      </c>
      <c r="N19" s="3">
        <f>+SUBTOTAL(9,Tabla1[IMPOR SERV])</f>
        <v>0</v>
      </c>
      <c r="O19" s="3">
        <f>+SUBTOTAL(9,Tabla1[IVA])</f>
        <v>136.5247</v>
      </c>
      <c r="P19" s="3">
        <f>+SUBTOTAL(9,Tabla1[TOTAL C.])</f>
        <v>1194.3346999999999</v>
      </c>
      <c r="Q19" s="3"/>
      <c r="R19" s="3">
        <f>+SUBTOTAL(9,Tabla1[ANEXO 3])</f>
        <v>0</v>
      </c>
      <c r="S19" s="3"/>
      <c r="T19" s="3">
        <f>+SUBTOTAL(9,Tabla1[PERCEPCIONES])</f>
        <v>0</v>
      </c>
      <c r="U19" s="2"/>
    </row>
    <row r="20" spans="1:21" x14ac:dyDescent="0.25">
      <c r="U20" s="2"/>
    </row>
    <row r="21" spans="1:21" x14ac:dyDescent="0.25">
      <c r="U21" s="2"/>
    </row>
    <row r="22" spans="1:21" x14ac:dyDescent="0.25">
      <c r="U22" s="2"/>
    </row>
    <row r="23" spans="1:21" x14ac:dyDescent="0.25">
      <c r="U23" s="2"/>
    </row>
    <row r="24" spans="1:21" x14ac:dyDescent="0.25">
      <c r="U24" s="2"/>
    </row>
    <row r="25" spans="1:21" x14ac:dyDescent="0.25">
      <c r="U25" s="2"/>
    </row>
    <row r="26" spans="1:21" x14ac:dyDescent="0.25"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113"/>
    </row>
    <row r="297" spans="21:21" x14ac:dyDescent="0.25">
      <c r="U297" s="113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1278" spans="1:20" s="42" customFormat="1" x14ac:dyDescent="0.25">
      <c r="A1278"/>
      <c r="B1278"/>
      <c r="C1278"/>
      <c r="D1278"/>
      <c r="E1278"/>
      <c r="F1278"/>
      <c r="G1278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/>
      <c r="S1278"/>
      <c r="T1278"/>
    </row>
  </sheetData>
  <dataConsolidate/>
  <mergeCells count="1">
    <mergeCell ref="A19:G19"/>
  </mergeCells>
  <phoneticPr fontId="8" type="noConversion"/>
  <conditionalFormatting sqref="E1:E1048576">
    <cfRule type="duplicateValues" dxfId="91" priority="21"/>
    <cfRule type="duplicateValues" dxfId="9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45320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9128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9129</v>
      </c>
      <c r="F7" s="2"/>
      <c r="XFD7" t="s">
        <v>8489</v>
      </c>
    </row>
    <row r="8" spans="1:9 16384:16384" ht="16.5" customHeight="1" x14ac:dyDescent="0.25">
      <c r="B8" s="23" t="s">
        <v>26</v>
      </c>
      <c r="D8" s="125"/>
      <c r="F8" s="33"/>
      <c r="XFD8" t="s">
        <v>9019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1:9 16384:16384" ht="16.5" customHeight="1" x14ac:dyDescent="0.25">
      <c r="B10" s="23" t="s">
        <v>24</v>
      </c>
      <c r="D10" s="124" t="s">
        <v>6822</v>
      </c>
      <c r="F10" s="39"/>
      <c r="XFD10" t="s">
        <v>9021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PRODUCTOS TECNOLOGICOS,S.A. DE C.V.</v>
      </c>
      <c r="F11" s="32"/>
      <c r="H11" s="1"/>
      <c r="I11" s="1"/>
      <c r="XFD11" t="s">
        <v>9022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2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B3" sqref="B3:S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45320</v>
      </c>
      <c r="C3" s="2" t="s">
        <v>1</v>
      </c>
      <c r="D3" s="2" t="s">
        <v>0</v>
      </c>
      <c r="E3" s="2" t="s">
        <v>9128</v>
      </c>
      <c r="F3" s="2" t="s">
        <v>9129</v>
      </c>
      <c r="G3" s="33">
        <v>45321</v>
      </c>
      <c r="H3" s="38">
        <v>45321</v>
      </c>
      <c r="I3" s="39" t="s">
        <v>6822</v>
      </c>
      <c r="J3" s="32" t="s">
        <v>6823</v>
      </c>
      <c r="K3" s="2">
        <v>0</v>
      </c>
      <c r="L3" s="2">
        <v>0</v>
      </c>
      <c r="M3" s="32">
        <v>60</v>
      </c>
      <c r="N3" s="2">
        <v>7.8000000000000007</v>
      </c>
      <c r="O3" s="2">
        <v>0</v>
      </c>
      <c r="P3" s="2">
        <v>0</v>
      </c>
      <c r="Q3" s="32">
        <v>67.8</v>
      </c>
      <c r="S3" s="2" t="s">
        <v>1</v>
      </c>
    </row>
    <row r="4" spans="1:19" x14ac:dyDescent="0.25">
      <c r="A4" s="2" t="s">
        <v>8491</v>
      </c>
      <c r="B4" s="40">
        <v>45320</v>
      </c>
      <c r="C4" s="2" t="s">
        <v>1</v>
      </c>
      <c r="D4" s="2" t="s">
        <v>0</v>
      </c>
      <c r="E4" s="2" t="s">
        <v>9128</v>
      </c>
      <c r="F4" s="2" t="s">
        <v>9129</v>
      </c>
      <c r="G4" s="33">
        <v>71</v>
      </c>
      <c r="H4" s="38">
        <v>71</v>
      </c>
      <c r="I4" s="39" t="s">
        <v>3561</v>
      </c>
      <c r="J4" s="32" t="s">
        <v>3562</v>
      </c>
      <c r="K4" s="2">
        <v>0</v>
      </c>
      <c r="L4" s="2">
        <v>0</v>
      </c>
      <c r="M4" s="32">
        <v>75</v>
      </c>
      <c r="N4" s="2">
        <v>9.75</v>
      </c>
      <c r="O4" s="2">
        <v>0</v>
      </c>
      <c r="P4" s="2">
        <v>0</v>
      </c>
      <c r="Q4" s="32">
        <v>84.75</v>
      </c>
      <c r="S4" s="2" t="s">
        <v>1</v>
      </c>
    </row>
    <row r="5" spans="1:19" x14ac:dyDescent="0.25">
      <c r="A5" s="2" t="s">
        <v>8491</v>
      </c>
      <c r="B5" s="40">
        <v>45316</v>
      </c>
      <c r="C5" s="2" t="s">
        <v>1</v>
      </c>
      <c r="D5" s="2" t="s">
        <v>0</v>
      </c>
      <c r="E5" s="2" t="s">
        <v>9128</v>
      </c>
      <c r="F5" s="2" t="s">
        <v>9129</v>
      </c>
      <c r="G5" s="33">
        <v>70</v>
      </c>
      <c r="H5" s="38">
        <v>70</v>
      </c>
      <c r="I5" s="39" t="s">
        <v>6822</v>
      </c>
      <c r="J5" s="32" t="s">
        <v>6823</v>
      </c>
      <c r="K5" s="2">
        <v>0</v>
      </c>
      <c r="L5" s="2">
        <v>0</v>
      </c>
      <c r="M5" s="32">
        <v>40</v>
      </c>
      <c r="N5" s="2">
        <v>5.2</v>
      </c>
      <c r="O5" s="2">
        <v>0</v>
      </c>
      <c r="P5" s="2">
        <v>0</v>
      </c>
      <c r="Q5" s="32">
        <v>45.2</v>
      </c>
      <c r="S5" s="2" t="s">
        <v>1</v>
      </c>
    </row>
    <row r="6" spans="1:19" x14ac:dyDescent="0.25">
      <c r="A6" s="2" t="s">
        <v>8491</v>
      </c>
      <c r="B6" s="40">
        <v>45314</v>
      </c>
      <c r="C6" s="2" t="s">
        <v>1</v>
      </c>
      <c r="D6" s="2" t="s">
        <v>0</v>
      </c>
      <c r="E6" s="2" t="s">
        <v>9128</v>
      </c>
      <c r="F6" s="2" t="s">
        <v>9129</v>
      </c>
      <c r="G6" s="33">
        <v>69</v>
      </c>
      <c r="H6" s="38">
        <v>69</v>
      </c>
      <c r="I6" s="39" t="s">
        <v>9074</v>
      </c>
      <c r="J6" s="32" t="s">
        <v>9075</v>
      </c>
      <c r="K6" s="2">
        <v>0</v>
      </c>
      <c r="L6" s="2">
        <v>0</v>
      </c>
      <c r="M6" s="32">
        <v>739</v>
      </c>
      <c r="N6" s="2">
        <v>96.070000000000007</v>
      </c>
      <c r="O6" s="2">
        <v>0</v>
      </c>
      <c r="P6" s="2">
        <v>0</v>
      </c>
      <c r="Q6" s="32">
        <v>835.07</v>
      </c>
      <c r="S6" s="2" t="s">
        <v>1</v>
      </c>
    </row>
    <row r="7" spans="1:19" x14ac:dyDescent="0.25">
      <c r="A7" s="2" t="s">
        <v>8491</v>
      </c>
      <c r="B7" s="40">
        <v>45300</v>
      </c>
      <c r="C7" s="2" t="s">
        <v>1</v>
      </c>
      <c r="D7" s="2" t="s">
        <v>0</v>
      </c>
      <c r="E7" s="2" t="s">
        <v>9128</v>
      </c>
      <c r="F7" s="2" t="s">
        <v>9129</v>
      </c>
      <c r="G7" s="33">
        <v>68</v>
      </c>
      <c r="H7" s="38">
        <v>68</v>
      </c>
      <c r="I7" s="39" t="s">
        <v>6822</v>
      </c>
      <c r="J7" s="32" t="s">
        <v>6823</v>
      </c>
      <c r="K7" s="2">
        <v>0</v>
      </c>
      <c r="L7" s="2">
        <v>0</v>
      </c>
      <c r="M7" s="32">
        <v>74</v>
      </c>
      <c r="N7" s="2">
        <v>9.620000000000001</v>
      </c>
      <c r="O7" s="2">
        <v>0</v>
      </c>
      <c r="P7" s="2">
        <v>0</v>
      </c>
      <c r="Q7" s="32">
        <v>83.62</v>
      </c>
      <c r="S7" s="2" t="s">
        <v>1</v>
      </c>
    </row>
    <row r="8" spans="1:19" x14ac:dyDescent="0.25">
      <c r="A8" s="2" t="s">
        <v>8491</v>
      </c>
      <c r="B8" s="40">
        <v>45300</v>
      </c>
      <c r="C8" s="2" t="s">
        <v>1</v>
      </c>
      <c r="D8" s="2" t="s">
        <v>0</v>
      </c>
      <c r="E8" s="2" t="s">
        <v>9128</v>
      </c>
      <c r="F8" s="2" t="s">
        <v>9129</v>
      </c>
      <c r="G8" s="33">
        <v>67</v>
      </c>
      <c r="H8" s="38">
        <v>67</v>
      </c>
      <c r="I8" s="39" t="s">
        <v>9164</v>
      </c>
      <c r="J8" s="32" t="s">
        <v>9165</v>
      </c>
      <c r="K8" s="2">
        <v>0</v>
      </c>
      <c r="L8" s="2">
        <v>0</v>
      </c>
      <c r="M8" s="32">
        <v>119</v>
      </c>
      <c r="N8" s="2">
        <v>15.47</v>
      </c>
      <c r="O8" s="2">
        <v>0</v>
      </c>
      <c r="P8" s="2">
        <v>0</v>
      </c>
      <c r="Q8" s="32">
        <v>134.47</v>
      </c>
      <c r="S8" s="2" t="s">
        <v>1</v>
      </c>
    </row>
    <row r="9" spans="1:19" x14ac:dyDescent="0.25">
      <c r="A9" s="2" t="s">
        <v>8491</v>
      </c>
      <c r="B9" s="40">
        <v>45300</v>
      </c>
      <c r="C9" s="2" t="s">
        <v>1</v>
      </c>
      <c r="D9" s="2" t="s">
        <v>0</v>
      </c>
      <c r="E9" s="2" t="s">
        <v>9128</v>
      </c>
      <c r="F9" s="2" t="s">
        <v>9129</v>
      </c>
      <c r="G9" s="33">
        <v>66</v>
      </c>
      <c r="H9" s="38">
        <v>66</v>
      </c>
      <c r="I9" s="39" t="s">
        <v>7676</v>
      </c>
      <c r="J9" s="32" t="s">
        <v>7675</v>
      </c>
      <c r="K9" s="2">
        <v>0</v>
      </c>
      <c r="L9" s="2">
        <v>0</v>
      </c>
      <c r="M9" s="32">
        <v>0</v>
      </c>
      <c r="N9" s="2">
        <v>0</v>
      </c>
      <c r="O9" s="2">
        <v>0</v>
      </c>
      <c r="P9" s="2">
        <v>0</v>
      </c>
      <c r="Q9" s="32">
        <v>0</v>
      </c>
      <c r="S9" s="2" t="s">
        <v>1</v>
      </c>
    </row>
    <row r="10" spans="1:19" x14ac:dyDescent="0.25">
      <c r="A10" s="2"/>
      <c r="B10" s="40"/>
      <c r="C10" s="2"/>
      <c r="D10" s="2"/>
      <c r="E10" s="2"/>
      <c r="F10" s="2"/>
      <c r="G10" s="33"/>
      <c r="H10" s="38"/>
      <c r="I10" s="39"/>
      <c r="J10" s="32"/>
      <c r="M10" s="32"/>
      <c r="Q10" s="32"/>
      <c r="S10" s="2"/>
    </row>
    <row r="11" spans="1:19" ht="15.75" thickBot="1" x14ac:dyDescent="0.3">
      <c r="R11" s="15"/>
      <c r="S11" s="1"/>
    </row>
    <row r="12" spans="1:19" ht="15.75" thickBot="1" x14ac:dyDescent="0.3">
      <c r="A12" s="143"/>
      <c r="B12" s="143"/>
      <c r="C12" s="143"/>
      <c r="D12" s="143"/>
      <c r="E12" s="143"/>
      <c r="F12" s="143"/>
      <c r="G12" s="143"/>
      <c r="H12" s="143"/>
      <c r="I12" s="143"/>
      <c r="J12" s="144"/>
      <c r="K12" s="4">
        <f>+SUBTOTAL(9,Tabla2[VENTA EXENTA])</f>
        <v>0</v>
      </c>
      <c r="L12" s="4">
        <f>+SUBTOTAL(9,Tabla2[VENTA NO SUJETA])</f>
        <v>0</v>
      </c>
      <c r="M12" s="3">
        <f>+SUBTOTAL(9,Tabla2[V. GRAVADA])</f>
        <v>1107</v>
      </c>
      <c r="N12" s="4">
        <f>+SUBTOTAL(9,Tabla2[D.FISCAL])</f>
        <v>143.91</v>
      </c>
      <c r="O12" s="4">
        <f>+SUBTOTAL(9,Tabla2[V CTA DE 3])</f>
        <v>0</v>
      </c>
      <c r="P12" s="4">
        <f>+SUBTOTAL(9,Tabla2[D. FISCAL A 3])</f>
        <v>0</v>
      </c>
      <c r="Q12" s="4">
        <f>+SUBTOTAL(9,Tabla2[VENTA TOTAL])</f>
        <v>1250.9100000000001</v>
      </c>
      <c r="R12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12:J12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9167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8"/>
  <sheetViews>
    <sheetView topLeftCell="D1" workbookViewId="0">
      <selection activeCell="B3" sqref="B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9167</v>
      </c>
      <c r="C3" t="s">
        <v>1</v>
      </c>
      <c r="D3" t="s">
        <v>7706</v>
      </c>
      <c r="E3" t="s">
        <v>8136</v>
      </c>
      <c r="F3" t="s">
        <v>8137</v>
      </c>
      <c r="G3">
        <v>22</v>
      </c>
      <c r="H3">
        <v>22</v>
      </c>
      <c r="I3">
        <v>22</v>
      </c>
      <c r="J3">
        <v>22</v>
      </c>
      <c r="K3">
        <v>0</v>
      </c>
      <c r="L3" s="2">
        <v>0</v>
      </c>
      <c r="M3" s="2">
        <v>0</v>
      </c>
      <c r="N3" s="2">
        <v>0</v>
      </c>
      <c r="O3" s="2">
        <v>937.2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937.2</v>
      </c>
      <c r="V3" t="s">
        <v>55</v>
      </c>
    </row>
    <row r="5" spans="1:22" ht="15.75" thickBot="1" x14ac:dyDescent="0.3"/>
    <row r="6" spans="1:22" ht="15.75" thickBot="1" x14ac:dyDescent="0.3">
      <c r="A6" s="142" t="s">
        <v>76</v>
      </c>
      <c r="B6" s="143"/>
      <c r="C6" s="143"/>
      <c r="D6" s="143"/>
      <c r="E6" s="143"/>
      <c r="F6" s="143"/>
      <c r="G6" s="143"/>
      <c r="H6" s="143"/>
      <c r="I6" s="143"/>
      <c r="J6" s="143"/>
      <c r="K6" s="144"/>
      <c r="L6" s="4">
        <f>+SUBTOTAL(9,Tabla3[V EXENTA])</f>
        <v>0</v>
      </c>
      <c r="M6" s="4">
        <f>+SUBTOTAL(9,Tabla3[VENTAS NO])</f>
        <v>0</v>
      </c>
      <c r="N6" s="4">
        <f>+SUBTOTAL(9,Tabla3[V NO SUJETAS])</f>
        <v>0</v>
      </c>
      <c r="O6" s="4">
        <f>+SUBTOTAL(9,Tabla3[V GRAVADAS])</f>
        <v>937.2</v>
      </c>
      <c r="P6" s="4">
        <f>+SUBTOTAL(9,Tabla3[EX IN CA])</f>
        <v>0</v>
      </c>
      <c r="Q6" s="4">
        <f>+SUBTOTAL(9,Tabla3[EX OUT CA])</f>
        <v>0</v>
      </c>
      <c r="R6" s="4">
        <f>+SUBTOTAL(9,Tabla3[EX SERVICE])</f>
        <v>0</v>
      </c>
      <c r="S6" s="4">
        <f>+SUBTOTAL(9,Tabla3[V ZONA FRAN])</f>
        <v>0</v>
      </c>
      <c r="T6" s="4">
        <f>+SUBTOTAL(9,Tabla3[V CTA A 3ERO])</f>
        <v>0</v>
      </c>
      <c r="U6" s="4">
        <f>+SUBTOTAL(9,Tabla3[TOTAL VENTA])</f>
        <v>937.2</v>
      </c>
    </row>
    <row r="7" spans="1:22" x14ac:dyDescent="0.25">
      <c r="O7" s="2">
        <f>O6/1.13</f>
        <v>829.38053097345141</v>
      </c>
    </row>
    <row r="8" spans="1:22" x14ac:dyDescent="0.25">
      <c r="O8" s="2">
        <f>O7*0.13</f>
        <v>107.81946902654869</v>
      </c>
    </row>
  </sheetData>
  <mergeCells count="1">
    <mergeCell ref="A6:K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21.75" customHeight="1" thickBot="1" x14ac:dyDescent="0.3">
      <c r="D2" t="str">
        <f>VLOOKUP(D5,'base de clientes'!A:B,2,FALSE)</f>
        <v>ESCUELA NACIONAL DE AGRICULTURA</v>
      </c>
    </row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9162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9163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5"/>
  <sheetViews>
    <sheetView showGridLines="0" workbookViewId="0">
      <selection activeCell="C2" sqref="C2:I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9162</v>
      </c>
      <c r="D2" s="13">
        <v>45314</v>
      </c>
      <c r="E2" t="s">
        <v>8264</v>
      </c>
      <c r="F2" t="s">
        <v>9163</v>
      </c>
      <c r="G2" t="s">
        <v>9185</v>
      </c>
      <c r="H2" s="2">
        <v>829.38</v>
      </c>
      <c r="I2" s="2">
        <v>8.2938000000000009</v>
      </c>
      <c r="J2">
        <v>7</v>
      </c>
    </row>
    <row r="3" spans="1:10" s="18" customFormat="1" x14ac:dyDescent="0.25">
      <c r="A3"/>
      <c r="B3"/>
      <c r="C3"/>
      <c r="D3" s="13"/>
      <c r="E3"/>
      <c r="F3"/>
      <c r="G3"/>
      <c r="H3" s="2"/>
      <c r="I3" s="2"/>
      <c r="J3"/>
    </row>
    <row r="4" spans="1:10" s="18" customFormat="1" x14ac:dyDescent="0.25">
      <c r="A4"/>
      <c r="B4"/>
      <c r="C4"/>
      <c r="D4" s="13"/>
      <c r="E4" s="1"/>
      <c r="F4" s="34"/>
      <c r="G4" s="34"/>
      <c r="H4" s="75"/>
      <c r="I4" s="2"/>
      <c r="J4" s="81"/>
    </row>
    <row r="5" spans="1:10" s="18" customFormat="1" x14ac:dyDescent="0.25">
      <c r="A5" t="s">
        <v>7719</v>
      </c>
      <c r="B5"/>
      <c r="C5"/>
      <c r="D5" s="13"/>
      <c r="E5" s="15">
        <f>SUBTOTAL(109,Tabla6[Tipo de documento])</f>
        <v>0</v>
      </c>
      <c r="F5" s="15">
        <f>SUBTOTAL(109,Tabla6[Serie])</f>
        <v>0</v>
      </c>
      <c r="G5" s="15"/>
      <c r="H5" s="36">
        <f>SUBTOTAL(109,Tabla6[Monto sujeto])</f>
        <v>829.38</v>
      </c>
      <c r="I5" s="36">
        <f>SUBTOTAL(109,Tabla6[Monto Retención 1%])</f>
        <v>8.2938000000000009</v>
      </c>
      <c r="J5" s="19">
        <f>SUBTOTAL(109,Tabla6[ANEXO])</f>
        <v>7</v>
      </c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05"/>
  <sheetViews>
    <sheetView topLeftCell="A4470" workbookViewId="0">
      <selection activeCell="B4505" sqref="B4505"/>
    </sheetView>
  </sheetViews>
  <sheetFormatPr baseColWidth="10" defaultColWidth="11.42578125" defaultRowHeight="15" x14ac:dyDescent="0.25"/>
  <cols>
    <col min="1" max="1" width="16.14062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0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1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9026</v>
      </c>
      <c r="B4412" t="s">
        <v>9025</v>
      </c>
    </row>
    <row r="4413" spans="1:2" x14ac:dyDescent="0.25">
      <c r="A4413" s="1" t="s">
        <v>9028</v>
      </c>
      <c r="B4413" t="s">
        <v>9027</v>
      </c>
    </row>
    <row r="4414" spans="1:2" x14ac:dyDescent="0.25">
      <c r="A4414" s="1" t="s">
        <v>9029</v>
      </c>
      <c r="B4414" t="s">
        <v>9041</v>
      </c>
    </row>
    <row r="4415" spans="1:2" x14ac:dyDescent="0.25">
      <c r="A4415" s="1" t="s">
        <v>9030</v>
      </c>
      <c r="B4415" t="s">
        <v>9042</v>
      </c>
    </row>
    <row r="4416" spans="1:2" x14ac:dyDescent="0.25">
      <c r="A4416" s="1" t="s">
        <v>9031</v>
      </c>
      <c r="B4416" t="s">
        <v>9043</v>
      </c>
    </row>
    <row r="4417" spans="1:2" x14ac:dyDescent="0.25">
      <c r="A4417" s="1" t="s">
        <v>9032</v>
      </c>
      <c r="B4417" t="s">
        <v>9044</v>
      </c>
    </row>
    <row r="4418" spans="1:2" x14ac:dyDescent="0.25">
      <c r="A4418" s="1" t="s">
        <v>9033</v>
      </c>
      <c r="B4418" t="s">
        <v>9045</v>
      </c>
    </row>
    <row r="4419" spans="1:2" x14ac:dyDescent="0.25">
      <c r="A4419" s="1" t="s">
        <v>9034</v>
      </c>
      <c r="B4419" t="s">
        <v>9046</v>
      </c>
    </row>
    <row r="4420" spans="1:2" x14ac:dyDescent="0.25">
      <c r="A4420" s="1" t="s">
        <v>9035</v>
      </c>
      <c r="B4420" t="s">
        <v>9047</v>
      </c>
    </row>
    <row r="4421" spans="1:2" x14ac:dyDescent="0.25">
      <c r="A4421" s="1" t="s">
        <v>9036</v>
      </c>
      <c r="B4421" t="s">
        <v>9048</v>
      </c>
    </row>
    <row r="4422" spans="1:2" x14ac:dyDescent="0.25">
      <c r="A4422" s="1" t="s">
        <v>9037</v>
      </c>
      <c r="B4422" t="s">
        <v>9049</v>
      </c>
    </row>
    <row r="4423" spans="1:2" x14ac:dyDescent="0.25">
      <c r="A4423" s="1" t="s">
        <v>9038</v>
      </c>
      <c r="B4423" t="s">
        <v>9050</v>
      </c>
    </row>
    <row r="4424" spans="1:2" x14ac:dyDescent="0.25">
      <c r="A4424" s="1" t="s">
        <v>9039</v>
      </c>
      <c r="B4424" t="s">
        <v>9051</v>
      </c>
    </row>
    <row r="4425" spans="1:2" x14ac:dyDescent="0.25">
      <c r="A4425" s="1" t="s">
        <v>9040</v>
      </c>
      <c r="B4425" t="s">
        <v>9052</v>
      </c>
    </row>
    <row r="4426" spans="1:2" x14ac:dyDescent="0.25">
      <c r="A4426" s="1" t="s">
        <v>9053</v>
      </c>
      <c r="B4426" t="s">
        <v>9054</v>
      </c>
    </row>
    <row r="4427" spans="1:2" x14ac:dyDescent="0.25">
      <c r="A4427" s="1" t="s">
        <v>3830</v>
      </c>
      <c r="B4427" t="s">
        <v>9055</v>
      </c>
    </row>
    <row r="4428" spans="1:2" x14ac:dyDescent="0.25">
      <c r="A4428" s="1" t="s">
        <v>1498</v>
      </c>
      <c r="B4428" t="s">
        <v>1499</v>
      </c>
    </row>
    <row r="4429" spans="1:2" x14ac:dyDescent="0.25">
      <c r="A4429" s="1" t="s">
        <v>3436</v>
      </c>
      <c r="B4429" t="s">
        <v>9056</v>
      </c>
    </row>
    <row r="4430" spans="1:2" x14ac:dyDescent="0.25">
      <c r="A4430" s="1" t="s">
        <v>39</v>
      </c>
      <c r="B4430" t="s">
        <v>1419</v>
      </c>
    </row>
    <row r="4431" spans="1:2" x14ac:dyDescent="0.25">
      <c r="A4431" s="1" t="s">
        <v>9057</v>
      </c>
      <c r="B4431" t="s">
        <v>9058</v>
      </c>
    </row>
    <row r="4432" spans="1:2" x14ac:dyDescent="0.25">
      <c r="A4432" s="1">
        <v>14070503650018</v>
      </c>
      <c r="B4432" t="s">
        <v>1325</v>
      </c>
    </row>
    <row r="4433" spans="1:2" x14ac:dyDescent="0.25">
      <c r="A4433" s="1" t="s">
        <v>1375</v>
      </c>
      <c r="B4433" t="s">
        <v>9059</v>
      </c>
    </row>
    <row r="4434" spans="1:2" x14ac:dyDescent="0.25">
      <c r="A4434" s="1" t="s">
        <v>9060</v>
      </c>
      <c r="B4434" t="s">
        <v>9061</v>
      </c>
    </row>
    <row r="4435" spans="1:2" x14ac:dyDescent="0.25">
      <c r="A4435" s="1" t="s">
        <v>1498</v>
      </c>
      <c r="B4435" t="s">
        <v>1499</v>
      </c>
    </row>
    <row r="4436" spans="1:2" x14ac:dyDescent="0.25">
      <c r="A4436" s="1" t="s">
        <v>1494</v>
      </c>
      <c r="B4436" t="s">
        <v>3195</v>
      </c>
    </row>
    <row r="4437" spans="1:2" x14ac:dyDescent="0.25">
      <c r="A4437" s="1" t="s">
        <v>1459</v>
      </c>
      <c r="B4437" t="s">
        <v>1604</v>
      </c>
    </row>
    <row r="4438" spans="1:2" x14ac:dyDescent="0.25">
      <c r="A4438" s="1" t="s">
        <v>1354</v>
      </c>
      <c r="B4438" t="s">
        <v>1514</v>
      </c>
    </row>
    <row r="4439" spans="1:2" x14ac:dyDescent="0.25">
      <c r="A4439" s="1" t="s">
        <v>9062</v>
      </c>
      <c r="B4439" t="s">
        <v>9063</v>
      </c>
    </row>
    <row r="4440" spans="1:2" x14ac:dyDescent="0.25">
      <c r="A4440" s="1" t="s">
        <v>9064</v>
      </c>
      <c r="B4440" t="s">
        <v>9065</v>
      </c>
    </row>
    <row r="4441" spans="1:2" x14ac:dyDescent="0.25">
      <c r="A4441" s="1" t="s">
        <v>9066</v>
      </c>
      <c r="B4441" t="s">
        <v>9067</v>
      </c>
    </row>
    <row r="4442" spans="1:2" x14ac:dyDescent="0.25">
      <c r="A4442" s="1" t="s">
        <v>9068</v>
      </c>
      <c r="B4442" t="s">
        <v>9069</v>
      </c>
    </row>
    <row r="4443" spans="1:2" x14ac:dyDescent="0.25">
      <c r="A4443" s="1" t="s">
        <v>7711</v>
      </c>
      <c r="B4443" t="s">
        <v>7712</v>
      </c>
    </row>
    <row r="4444" spans="1:2" x14ac:dyDescent="0.25">
      <c r="A4444" s="1" t="s">
        <v>1521</v>
      </c>
      <c r="B4444" t="s">
        <v>9070</v>
      </c>
    </row>
    <row r="4445" spans="1:2" x14ac:dyDescent="0.25">
      <c r="A4445" s="1" t="s">
        <v>2202</v>
      </c>
      <c r="B4445" t="s">
        <v>2203</v>
      </c>
    </row>
    <row r="4446" spans="1:2" x14ac:dyDescent="0.25">
      <c r="A4446" s="1" t="s">
        <v>1439</v>
      </c>
      <c r="B4446" t="s">
        <v>1440</v>
      </c>
    </row>
    <row r="4447" spans="1:2" x14ac:dyDescent="0.25">
      <c r="A4447" s="1" t="s">
        <v>5246</v>
      </c>
      <c r="B4447" t="s">
        <v>9071</v>
      </c>
    </row>
    <row r="4448" spans="1:2" x14ac:dyDescent="0.25">
      <c r="A4448" s="1" t="s">
        <v>120</v>
      </c>
      <c r="B4448" t="s">
        <v>2391</v>
      </c>
    </row>
    <row r="4449" spans="1:2" x14ac:dyDescent="0.25">
      <c r="A4449" s="1" t="s">
        <v>9072</v>
      </c>
      <c r="B4449" t="s">
        <v>9073</v>
      </c>
    </row>
    <row r="4450" spans="1:2" x14ac:dyDescent="0.25">
      <c r="A4450" s="1" t="s">
        <v>9074</v>
      </c>
      <c r="B4450" t="s">
        <v>9075</v>
      </c>
    </row>
    <row r="4451" spans="1:2" x14ac:dyDescent="0.25">
      <c r="A4451" s="1" t="s">
        <v>9076</v>
      </c>
      <c r="B4451" t="s">
        <v>9077</v>
      </c>
    </row>
    <row r="4452" spans="1:2" x14ac:dyDescent="0.25">
      <c r="A4452" s="1" t="s">
        <v>9078</v>
      </c>
      <c r="B4452" t="s">
        <v>9079</v>
      </c>
    </row>
    <row r="4453" spans="1:2" x14ac:dyDescent="0.25">
      <c r="A4453" s="1" t="s">
        <v>9012</v>
      </c>
      <c r="B4453" t="s">
        <v>1447</v>
      </c>
    </row>
    <row r="4454" spans="1:2" x14ac:dyDescent="0.25">
      <c r="A4454" s="1" t="s">
        <v>7369</v>
      </c>
      <c r="B4454" t="s">
        <v>9080</v>
      </c>
    </row>
    <row r="4455" spans="1:2" x14ac:dyDescent="0.25">
      <c r="A4455" s="1" t="s">
        <v>7310</v>
      </c>
      <c r="B4455" t="s">
        <v>9081</v>
      </c>
    </row>
    <row r="4456" spans="1:2" x14ac:dyDescent="0.25">
      <c r="A4456" s="1" t="s">
        <v>9082</v>
      </c>
      <c r="B4456" t="s">
        <v>2613</v>
      </c>
    </row>
    <row r="4457" spans="1:2" x14ac:dyDescent="0.25">
      <c r="A4457" s="1" t="s">
        <v>9083</v>
      </c>
      <c r="B4457" t="s">
        <v>9084</v>
      </c>
    </row>
    <row r="4458" spans="1:2" x14ac:dyDescent="0.25">
      <c r="A4458" s="1" t="s">
        <v>9085</v>
      </c>
      <c r="B4458" t="s">
        <v>9086</v>
      </c>
    </row>
    <row r="4459" spans="1:2" x14ac:dyDescent="0.25">
      <c r="A4459" s="1" t="s">
        <v>9087</v>
      </c>
      <c r="B4459" t="s">
        <v>9088</v>
      </c>
    </row>
    <row r="4460" spans="1:2" x14ac:dyDescent="0.25">
      <c r="A4460" s="1" t="s">
        <v>9089</v>
      </c>
      <c r="B4460" t="s">
        <v>9090</v>
      </c>
    </row>
    <row r="4461" spans="1:2" x14ac:dyDescent="0.25">
      <c r="A4461" s="1" t="s">
        <v>9091</v>
      </c>
      <c r="B4461" t="s">
        <v>9058</v>
      </c>
    </row>
    <row r="4462" spans="1:2" x14ac:dyDescent="0.25">
      <c r="A4462" s="1" t="s">
        <v>9092</v>
      </c>
      <c r="B4462" t="s">
        <v>9093</v>
      </c>
    </row>
    <row r="4463" spans="1:2" x14ac:dyDescent="0.25">
      <c r="A4463" s="1" t="s">
        <v>9094</v>
      </c>
      <c r="B4463" t="s">
        <v>9095</v>
      </c>
    </row>
    <row r="4464" spans="1:2" x14ac:dyDescent="0.25">
      <c r="A4464" s="1" t="s">
        <v>1572</v>
      </c>
      <c r="B4464" t="s">
        <v>9096</v>
      </c>
    </row>
    <row r="4465" spans="1:5" x14ac:dyDescent="0.25">
      <c r="A4465" s="1" t="s">
        <v>9097</v>
      </c>
      <c r="B4465" t="s">
        <v>9098</v>
      </c>
    </row>
    <row r="4466" spans="1:5" x14ac:dyDescent="0.25">
      <c r="A4466" s="1" t="s">
        <v>9099</v>
      </c>
      <c r="B4466" t="s">
        <v>9100</v>
      </c>
    </row>
    <row r="4467" spans="1:5" x14ac:dyDescent="0.25">
      <c r="A4467" s="1" t="s">
        <v>9101</v>
      </c>
      <c r="B4467" t="s">
        <v>9102</v>
      </c>
    </row>
    <row r="4468" spans="1:5" x14ac:dyDescent="0.25">
      <c r="A4468" s="1" t="s">
        <v>1384</v>
      </c>
      <c r="B4468" t="s">
        <v>1385</v>
      </c>
    </row>
    <row r="4469" spans="1:5" x14ac:dyDescent="0.25">
      <c r="A4469" s="1" t="s">
        <v>7599</v>
      </c>
      <c r="B4469" t="s">
        <v>7600</v>
      </c>
    </row>
    <row r="4470" spans="1:5" x14ac:dyDescent="0.25">
      <c r="A4470" s="1" t="s">
        <v>2200</v>
      </c>
      <c r="B4470" t="s">
        <v>2201</v>
      </c>
    </row>
    <row r="4471" spans="1:5" x14ac:dyDescent="0.25">
      <c r="A4471" s="1" t="s">
        <v>1443</v>
      </c>
      <c r="B4471" t="s">
        <v>9103</v>
      </c>
    </row>
    <row r="4472" spans="1:5" x14ac:dyDescent="0.25">
      <c r="A4472" s="1" t="s">
        <v>1409</v>
      </c>
      <c r="B4472" t="s">
        <v>1410</v>
      </c>
    </row>
    <row r="4473" spans="1:5" x14ac:dyDescent="0.25">
      <c r="A4473" s="1" t="s">
        <v>9104</v>
      </c>
      <c r="B4473" t="s">
        <v>9105</v>
      </c>
    </row>
    <row r="4474" spans="1:5" x14ac:dyDescent="0.25">
      <c r="A4474" s="1" t="s">
        <v>9106</v>
      </c>
      <c r="B4474" t="s">
        <v>9107</v>
      </c>
      <c r="E4474">
        <v>288.04000000000002</v>
      </c>
    </row>
    <row r="4475" spans="1:5" x14ac:dyDescent="0.25">
      <c r="A4475" s="1" t="s">
        <v>9108</v>
      </c>
      <c r="B4475" t="s">
        <v>9109</v>
      </c>
      <c r="C4475">
        <v>1936.16</v>
      </c>
      <c r="E4475">
        <v>703.16</v>
      </c>
    </row>
    <row r="4476" spans="1:5" x14ac:dyDescent="0.25">
      <c r="A4476" s="1" t="s">
        <v>9110</v>
      </c>
      <c r="B4476" t="s">
        <v>9111</v>
      </c>
      <c r="C4476">
        <v>1946.16</v>
      </c>
      <c r="E4476">
        <v>191.61</v>
      </c>
    </row>
    <row r="4477" spans="1:5" x14ac:dyDescent="0.25">
      <c r="A4477" s="1" t="s">
        <v>9112</v>
      </c>
      <c r="B4477" t="s">
        <v>9113</v>
      </c>
      <c r="C4477">
        <f>SUM(C4475:C4476)</f>
        <v>3882.32</v>
      </c>
      <c r="E4477">
        <v>370.13</v>
      </c>
    </row>
    <row r="4478" spans="1:5" x14ac:dyDescent="0.25">
      <c r="A4478" s="1" t="s">
        <v>9114</v>
      </c>
      <c r="B4478" t="s">
        <v>9115</v>
      </c>
      <c r="E4478">
        <v>393.22</v>
      </c>
    </row>
    <row r="4479" spans="1:5" x14ac:dyDescent="0.25">
      <c r="A4479" s="22" t="s">
        <v>9116</v>
      </c>
      <c r="B4479" t="s">
        <v>9077</v>
      </c>
      <c r="E4479">
        <f>SUM(E4474:E4478)</f>
        <v>1946.16</v>
      </c>
    </row>
    <row r="4480" spans="1:5" x14ac:dyDescent="0.25">
      <c r="A4480" s="22" t="s">
        <v>9117</v>
      </c>
      <c r="B4480" t="s">
        <v>9075</v>
      </c>
    </row>
    <row r="4481" spans="1:2" x14ac:dyDescent="0.25">
      <c r="A4481" s="22" t="s">
        <v>9118</v>
      </c>
      <c r="B4481" t="s">
        <v>9119</v>
      </c>
    </row>
    <row r="4482" spans="1:2" x14ac:dyDescent="0.25">
      <c r="A4482" s="22" t="s">
        <v>9120</v>
      </c>
      <c r="B4482" t="s">
        <v>9121</v>
      </c>
    </row>
    <row r="4483" spans="1:2" x14ac:dyDescent="0.25">
      <c r="A4483" s="22" t="s">
        <v>9122</v>
      </c>
      <c r="B4483" t="s">
        <v>9123</v>
      </c>
    </row>
    <row r="4484" spans="1:2" x14ac:dyDescent="0.25">
      <c r="A4484" s="22" t="s">
        <v>9124</v>
      </c>
      <c r="B4484" t="s">
        <v>9125</v>
      </c>
    </row>
    <row r="4485" spans="1:2" x14ac:dyDescent="0.25">
      <c r="A4485" s="22" t="s">
        <v>9126</v>
      </c>
      <c r="B4485" t="s">
        <v>9127</v>
      </c>
    </row>
    <row r="4486" spans="1:2" x14ac:dyDescent="0.25">
      <c r="A4486" s="22" t="s">
        <v>9130</v>
      </c>
      <c r="B4486" t="s">
        <v>9131</v>
      </c>
    </row>
    <row r="4487" spans="1:2" x14ac:dyDescent="0.25">
      <c r="A4487" s="22" t="s">
        <v>9132</v>
      </c>
      <c r="B4487" t="s">
        <v>9133</v>
      </c>
    </row>
    <row r="4488" spans="1:2" x14ac:dyDescent="0.25">
      <c r="A4488" s="22" t="s">
        <v>9135</v>
      </c>
      <c r="B4488" t="s">
        <v>9136</v>
      </c>
    </row>
    <row r="4489" spans="1:2" x14ac:dyDescent="0.25">
      <c r="A4489" s="22" t="s">
        <v>9137</v>
      </c>
      <c r="B4489" t="s">
        <v>9138</v>
      </c>
    </row>
    <row r="4490" spans="1:2" x14ac:dyDescent="0.25">
      <c r="A4490" s="22" t="s">
        <v>9139</v>
      </c>
      <c r="B4490" t="s">
        <v>9140</v>
      </c>
    </row>
    <row r="4491" spans="1:2" x14ac:dyDescent="0.25">
      <c r="A4491" s="22" t="s">
        <v>9141</v>
      </c>
      <c r="B4491" t="s">
        <v>9142</v>
      </c>
    </row>
    <row r="4492" spans="1:2" x14ac:dyDescent="0.25">
      <c r="A4492" s="1" t="s">
        <v>6822</v>
      </c>
      <c r="B4492" t="s">
        <v>9143</v>
      </c>
    </row>
    <row r="4493" spans="1:2" x14ac:dyDescent="0.25">
      <c r="A4493" s="22" t="s">
        <v>9144</v>
      </c>
      <c r="B4493" t="s">
        <v>9145</v>
      </c>
    </row>
    <row r="4494" spans="1:2" x14ac:dyDescent="0.25">
      <c r="A4494" s="22" t="s">
        <v>9146</v>
      </c>
      <c r="B4494" t="s">
        <v>9147</v>
      </c>
    </row>
    <row r="4495" spans="1:2" x14ac:dyDescent="0.25">
      <c r="A4495" s="22" t="s">
        <v>9148</v>
      </c>
      <c r="B4495" t="s">
        <v>9149</v>
      </c>
    </row>
    <row r="4496" spans="1:2" x14ac:dyDescent="0.25">
      <c r="A4496" s="22" t="s">
        <v>9150</v>
      </c>
      <c r="B4496" t="s">
        <v>9151</v>
      </c>
    </row>
    <row r="4497" spans="1:2" x14ac:dyDescent="0.25">
      <c r="A4497" s="22" t="s">
        <v>9152</v>
      </c>
      <c r="B4497" t="s">
        <v>9153</v>
      </c>
    </row>
    <row r="4498" spans="1:2" x14ac:dyDescent="0.25">
      <c r="A4498" s="21" t="s">
        <v>1317</v>
      </c>
      <c r="B4498" t="s">
        <v>2429</v>
      </c>
    </row>
    <row r="4499" spans="1:2" x14ac:dyDescent="0.25">
      <c r="A4499" s="22" t="s">
        <v>9154</v>
      </c>
      <c r="B4499" t="s">
        <v>9155</v>
      </c>
    </row>
    <row r="4500" spans="1:2" x14ac:dyDescent="0.25">
      <c r="A4500" s="22" t="s">
        <v>9156</v>
      </c>
      <c r="B4500" t="s">
        <v>9157</v>
      </c>
    </row>
    <row r="4501" spans="1:2" x14ac:dyDescent="0.25">
      <c r="A4501" s="22" t="s">
        <v>9158</v>
      </c>
      <c r="B4501" t="s">
        <v>9159</v>
      </c>
    </row>
    <row r="4502" spans="1:2" x14ac:dyDescent="0.25">
      <c r="A4502" s="22" t="s">
        <v>9160</v>
      </c>
      <c r="B4502" t="s">
        <v>9161</v>
      </c>
    </row>
    <row r="4503" spans="1:2" x14ac:dyDescent="0.25">
      <c r="A4503" s="22" t="s">
        <v>9164</v>
      </c>
      <c r="B4503" t="s">
        <v>9165</v>
      </c>
    </row>
    <row r="4504" spans="1:2" x14ac:dyDescent="0.25">
      <c r="A4504" s="22" t="s">
        <v>9162</v>
      </c>
      <c r="B4504" t="s">
        <v>9184</v>
      </c>
    </row>
    <row r="4505" spans="1:2" x14ac:dyDescent="0.25">
      <c r="A4505" s="22" t="s">
        <v>9177</v>
      </c>
      <c r="B4505" t="s">
        <v>9187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B4" sqref="B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F7" sqref="F7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47"/>
      <c r="C1" s="148"/>
      <c r="D1" s="145" t="s">
        <v>8954</v>
      </c>
      <c r="E1" s="146"/>
      <c r="F1" s="146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829.38</v>
      </c>
      <c r="F4" s="93"/>
      <c r="G4" s="109"/>
      <c r="H4" s="91" t="s">
        <v>8759</v>
      </c>
      <c r="I4" s="114">
        <f>ROUND(F7*0.13-F11*0.13-E13-E14,2)</f>
        <v>106.91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GRAVADA]],Tabla2[[#All],[MES]],Tabla7[[#Headers],[ENERO]],Tabla2[[#All],[TIPO DE DOC]],3),2)</f>
        <v>1107</v>
      </c>
      <c r="F5" s="93"/>
      <c r="G5" s="76"/>
      <c r="H5" s="91" t="s">
        <v>8761</v>
      </c>
      <c r="I5" s="101">
        <f>ROUND(F7*0.0175,2)+E15</f>
        <v>33.89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GRAVADA]],Tabla2[[#All],[MES]],Tabla7[[#Headers],[ENERO]],Tabla2[[#All],[TIPO DE DOC]],5),2)</f>
        <v>0</v>
      </c>
      <c r="F6" s="93"/>
      <c r="G6" s="109"/>
      <c r="H6" s="107" t="s">
        <v>8763</v>
      </c>
      <c r="I6" s="102">
        <f>SUM(I4:I5)</f>
        <v>140.80000000000001</v>
      </c>
      <c r="XFC6" t="s">
        <v>8265</v>
      </c>
    </row>
    <row r="7" spans="1:10 16383:16383" ht="18" customHeight="1" x14ac:dyDescent="0.25">
      <c r="D7" s="117" t="s">
        <v>8773</v>
      </c>
      <c r="E7" s="118"/>
      <c r="F7" s="119">
        <f>+E4+E5-E6</f>
        <v>1936.38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GRAVADA]],Tabla1[[#All],[MES]],Tabla7[[#Headers],[ENERO]],Tabla1[[#All],[TIPO DE DOC]],"03")</f>
        <v>1050.19</v>
      </c>
      <c r="F8" s="94"/>
      <c r="G8" s="109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BIENES]],Tabla1[[#All],[MES]],Tabla7[[#Headers],[ENERO]],Tabla1[[#All],[TIPO DE DOC]],12)</f>
        <v>0</v>
      </c>
      <c r="F9" s="94"/>
      <c r="G9" s="109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7" t="s">
        <v>8774</v>
      </c>
      <c r="E11" s="118"/>
      <c r="F11" s="119">
        <f>IFERROR(+E8+E9-E10,"")</f>
        <v>1050.19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EXENTAS]],Tabla1[[#All],[MES]],Tabla7[[#Headers],[ENERO]],Tabla1[[#All],[TIPO DE DOC]],"03")</f>
        <v>7.6199999999999992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1%]],Tabla6[[#Headers],[#Data],[Mes]],Tabla7[[#Headers],[ENERO]])</f>
        <v>8.2938000000000009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2024-02-16T22:31:21Z</dcterms:modified>
</cp:coreProperties>
</file>