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MIGUEL ANGEL\2024\"/>
    </mc:Choice>
  </mc:AlternateContent>
  <xr:revisionPtr revIDLastSave="0" documentId="13_ncr:1_{C5E54927-668F-4467-AC13-D26CC75E9C5E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RETENCIONES'!$A$1:$J$7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4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5" i="5"/>
  <c r="E5" i="29"/>
  <c r="D11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5" i="31" l="1"/>
  <c r="E16" i="29" s="1"/>
  <c r="J5" i="31"/>
  <c r="K5" i="31"/>
  <c r="L5" i="31"/>
  <c r="M5" i="31"/>
  <c r="N5" i="31"/>
  <c r="O5" i="31"/>
  <c r="P5" i="31"/>
  <c r="H5" i="31"/>
  <c r="S5" i="31"/>
  <c r="I8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5" i="29" l="1"/>
  <c r="F7" i="29"/>
  <c r="I5" i="29" s="1"/>
  <c r="F12" i="29"/>
  <c r="F8" i="29"/>
  <c r="I4" i="29" l="1"/>
  <c r="E8" i="13"/>
  <c r="I6" i="29" l="1"/>
  <c r="F8" i="13" l="1"/>
  <c r="T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5" i="7" l="1"/>
  <c r="J8" i="13" l="1"/>
  <c r="H8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7" i="8"/>
  <c r="M7" i="8"/>
  <c r="N7" i="8"/>
  <c r="O7" i="8"/>
  <c r="P7" i="8"/>
  <c r="Q7" i="8"/>
  <c r="K7" i="8"/>
  <c r="J5" i="7" l="1"/>
  <c r="K5" i="7"/>
  <c r="L5" i="7"/>
  <c r="M5" i="7"/>
  <c r="N5" i="7"/>
  <c r="O5" i="7"/>
  <c r="P5" i="7"/>
  <c r="I5" i="7"/>
  <c r="H5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<sst xmlns="http://schemas.openxmlformats.org/spreadsheetml/2006/main" count="26036" uniqueCount="9226">
  <si>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</si>
  <si>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</si>
  <si>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</si>
  <si>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</si>
  <si>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</si>
  <si>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</si>
  <si>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</si>
  <si>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</si>
  <si>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</si>
  <si>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</si>
  <si>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</si>
  <si>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</si>
  <si>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</si>
  <si>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</si>
  <si>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</si>
  <si>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</si>
  <si>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</si>
  <si>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</si>
  <si>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</si>
  <si>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</si>
  <si>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</si>
  <si>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</si>
  <si>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</si>
  <si>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</si>
  <si>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</si>
  <si>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</si>
  <si>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</si>
  <si>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</si>
  <si>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</si>
  <si>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</si>
  <si>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</si>
  <si>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</si>
  <si>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</si>
  <si>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</si>
  <si>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</si>
  <si>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</si>
  <si>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</si>
  <si>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</si>
  <si>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</si>
  <si>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</si>
  <si>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</si>
  <si>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</si>
  <si>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</si>
  <si>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</si>
  <si>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</si>
  <si>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</si>
  <si>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</si>
  <si>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</si>
  <si>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</si>
  <si>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</si>
  <si>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</si>
  <si>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</si>
  <si>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</si>
  <si>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</si>
  <si>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</si>
  <si>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</si>
  <si>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</si>
  <si>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</si>
  <si>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</si>
  <si>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</si>
  <si>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</si>
  <si>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</si>
  <si>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</si>
  <si>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</si>
  <si>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</si>
  <si>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</si>
  <si>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</si>
  <si>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</si>
  <si>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</si>
  <si>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</si>
  <si>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</si>
  <si>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</si>
  <si>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</si>
  <si>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</si>
  <si>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</si>
  <si>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</si>
  <si>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</si>
  <si>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</si>
  <si>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</si>
  <si>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</si>
  <si>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</si>
  <si>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</si>
  <si>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</si>
  <si>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</si>
  <si>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</si>
  <si>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</si>
  <si>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</si>
  <si>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</si>
  <si>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</si>
  <si>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</si>
  <si>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</si>
  <si>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</si>
  <si>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</si>
  <si>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</si>
  <si>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</si>
  <si>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</si>
  <si>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</si>
  <si>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</si>
  <si>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</si>
  <si>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</si>
  <si>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</si>
  <si>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</si>
  <si>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</si>
  <si>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</si>
  <si>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</si>
  <si>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</si>
  <si>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</si>
  <si>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</si>
  <si>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</si>
  <si>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</si>
  <si>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</si>
  <si>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</si>
  <si>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</si>
  <si>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</si>
  <si>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</si>
  <si>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</si>
  <si>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</si>
  <si>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</si>
  <si>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</si>
  <si>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</si>
  <si>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</si>
  <si>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</si>
  <si>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</si>
  <si>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</si>
  <si>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</si>
  <si>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</si>
  <si>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</si>
  <si>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</si>
  <si>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</si>
  <si>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</si>
  <si>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</si>
  <si>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</si>
  <si>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</si>
  <si>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</si>
  <si>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</si>
  <si>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</si>
  <si>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</si>
  <si>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</si>
  <si>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</si>
  <si>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</si>
  <si>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</si>
  <si>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</si>
  <si>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</si>
  <si>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</si>
  <si>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</si>
  <si>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</si>
  <si>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</si>
  <si>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</si>
  <si>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</si>
  <si>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</si>
  <si>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</si>
  <si>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</si>
  <si>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</si>
  <si>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</si>
  <si>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</si>
  <si>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</si>
  <si>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</si>
  <si>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</si>
  <si>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</si>
  <si>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</si>
  <si>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</si>
  <si>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</si>
  <si>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</si>
  <si>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</si>
  <si>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</si>
  <si>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</si>
  <si>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</si>
  <si>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</si>
  <si>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</si>
  <si>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</si>
  <si>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</si>
  <si>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</si>
  <si>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</si>
  <si>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</si>
  <si>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</si>
  <si>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</si>
  <si>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</si>
  <si>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</si>
  <si>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</si>
  <si>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</si>
  <si>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</si>
  <si>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</si>
  <si>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</si>
  <si>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</si>
  <si>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</si>
  <si>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</si>
  <si>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</si>
  <si>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</si>
  <si>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</si>
  <si>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</si>
  <si>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</si>
  <si>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</si>
  <si>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</si>
  <si>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</si>
  <si>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</si>
  <si>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</si>
  <si>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</si>
  <si>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</si>
  <si>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</si>
  <si>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</si>
  <si>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</si>
  <si>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</si>
  <si>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</si>
  <si>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</si>
  <si>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</si>
  <si>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</si>
  <si>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</si>
  <si>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</si>
  <si>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</si>
  <si>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</si>
  <si>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</si>
  <si>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</si>
  <si>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</si>
  <si>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</si>
  <si>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</si>
  <si>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</si>
  <si>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</si>
  <si>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</si>
  <si>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</si>
  <si>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</si>
  <si>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</si>
  <si>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</si>
  <si>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</si>
  <si>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</si>
  <si>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</si>
  <si>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</si>
  <si>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</si>
  <si>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</si>
  <si>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</si>
  <si>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</si>
  <si>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</si>
  <si>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</si>
  <si>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</si>
  <si>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</si>
  <si>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</si>
  <si>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</si>
  <si>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</si>
  <si>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</si>
  <si>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</si>
  <si>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</si>
  <si>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</si>
  <si>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</si>
  <si>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</si>
  <si>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</si>
  <si>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</si>
  <si>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</si>
  <si>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</si>
  <si>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</si>
  <si>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</si>
  <si>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</si>
  <si>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</si>
  <si>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</si>
  <si>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</si>
  <si>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</si>
  <si>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</si>
  <si>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</si>
  <si>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</si>
  <si>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</si>
  <si>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</si>
  <si>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</si>
  <si>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</si>
  <si>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</si>
  <si>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</si>
  <si>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</si>
  <si>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</si>
  <si>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</si>
  <si>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</si>
  <si>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</si>
  <si>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</si>
  <si>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</si>
  <si>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</si>
  <si>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</si>
  <si>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</si>
  <si>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</si>
  <si>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</si>
  <si>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</si>
  <si>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</si>
  <si>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</si>
  <si>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</si>
  <si>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</si>
  <si>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</si>
  <si>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</si>
  <si>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</si>
  <si>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</si>
  <si>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</si>
  <si>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</si>
  <si>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</si>
  <si>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</si>
  <si>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</si>
  <si>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</si>
  <si>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</si>
  <si>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</si>
  <si>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</si>
  <si>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</si>
  <si>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</si>
  <si>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</si>
  <si>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</si>
  <si>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</si>
  <si>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</si>
  <si>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</si>
  <si>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</si>
  <si>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</si>
  <si>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</si>
  <si>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</si>
  <si>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</si>
  <si>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</si>
  <si>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</si>
  <si>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</si>
  <si>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</si>
  <si>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</si>
  <si>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</si>
  <si>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</si>
  <si>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</si>
  <si>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</si>
  <si>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</si>
  <si>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</si>
  <si>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</si>
  <si>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</si>
  <si>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</si>
  <si>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</si>
  <si>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</si>
  <si>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</si>
  <si>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</si>
  <si>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</si>
  <si>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</si>
  <si>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</si>
  <si>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</si>
  <si>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</si>
  <si>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</si>
  <si>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</si>
  <si>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</si>
  <si>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</si>
  <si>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</si>
  <si>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</si>
  <si>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</si>
  <si>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</si>
  <si>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</si>
  <si>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</si>
  <si>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</si>
  <si>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</si>
  <si>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</si>
  <si>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</si>
  <si>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</si>
  <si>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</si>
  <si>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</si>
  <si>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</si>
  <si>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</si>
  <si>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</si>
  <si>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</si>
  <si>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</si>
  <si>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</si>
  <si>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</si>
  <si>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</si>
  <si>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</si>
  <si>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</si>
  <si>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</si>
  <si>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</si>
  <si>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</si>
  <si>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</si>
  <si>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</si>
  <si>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</si>
  <si>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</si>
  <si>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</si>
  <si>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</si>
  <si>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</si>
  <si>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</si>
  <si>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</si>
  <si>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</si>
  <si>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</si>
  <si>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</si>
  <si>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</si>
  <si>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</si>
  <si>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</si>
  <si>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</si>
  <si>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</si>
  <si>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</si>
  <si>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</si>
  <si>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</si>
  <si>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</si>
  <si>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</si>
  <si>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</si>
  <si>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</si>
  <si>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</si>
  <si>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</si>
  <si>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</si>
  <si>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</si>
  <si>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</si>
  <si>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</si>
  <si>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</si>
  <si>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</si>
  <si>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</si>
  <si>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</si>
  <si>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</si>
  <si>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</si>
  <si>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</si>
  <si>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</si>
  <si>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</si>
  <si>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</si>
  <si>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</si>
  <si>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</si>
  <si>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</si>
  <si>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</si>
  <si>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</si>
  <si>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</si>
  <si>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</si>
  <si>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</si>
  <si>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</si>
  <si>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</si>
  <si>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</si>
  <si>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</si>
  <si>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</si>
  <si>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</si>
  <si>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</si>
  <si>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</si>
  <si>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</si>
  <si>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</si>
  <si>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</si>
  <si>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</si>
  <si>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</si>
  <si>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</si>
  <si>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</si>
  <si>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</si>
  <si>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</si>
  <si>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</si>
  <si>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</si>
  <si>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</si>
  <si>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</si>
  <si>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</si>
  <si>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</si>
  <si>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</si>
  <si>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</si>
  <si>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</si>
  <si>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</si>
  <si>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</si>
  <si>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</si>
  <si>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</si>
  <si>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</si>
  <si>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</si>
  <si>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</si>
  <si>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</si>
  <si>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</si>
  <si>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</si>
  <si>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</si>
  <si>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</si>
  <si>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</si>
  <si>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</si>
  <si>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</si>
  <si>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</si>
  <si>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</si>
  <si>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</si>
  <si>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</si>
  <si>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</si>
  <si>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</si>
  <si>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</si>
  <si>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</si>
  <si>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</si>
  <si>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</si>
  <si>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</si>
  <si>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</si>
  <si>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</si>
  <si>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</si>
  <si>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</si>
  <si>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</si>
  <si>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</si>
  <si>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</si>
  <si>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</si>
  <si>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</si>
  <si>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</si>
  <si>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</si>
  <si>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</si>
  <si>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</si>
  <si>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</si>
  <si>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</si>
  <si>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</si>
  <si>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</si>
  <si>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</si>
  <si>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</si>
  <si>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</si>
  <si>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</si>
  <si>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</si>
  <si>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</si>
  <si>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</si>
  <si>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</si>
  <si>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</si>
  <si>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</si>
  <si>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</si>
  <si>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</si>
  <si>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</si>
  <si>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</si>
  <si>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</si>
  <si>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</si>
  <si>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</si>
  <si>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</si>
  <si>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</si>
  <si>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</si>
  <si>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</si>
  <si>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</si>
  <si>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</si>
  <si>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</si>
  <si>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</si>
  <si>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</si>
  <si>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</si>
  <si>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</si>
  <si>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</si>
  <si>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</si>
  <si>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</si>
  <si>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</si>
  <si>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</si>
  <si>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</si>
  <si>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</si>
  <si>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</si>
  <si>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</si>
  <si>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</si>
  <si>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</si>
  <si>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</si>
  <si>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</si>
  <si>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</si>
  <si>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</si>
  <si>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</si>
  <si>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</si>
  <si>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</si>
  <si>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</si>
  <si>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</si>
  <si>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</si>
  <si>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</si>
  <si>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</si>
  <si>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</si>
  <si>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</si>
  <si>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</si>
  <si>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</si>
  <si>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</si>
  <si>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</si>
  <si>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</si>
  <si>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</si>
  <si>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</si>
  <si>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</si>
  <si>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</si>
  <si>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</si>
  <si>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</si>
  <si>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</si>
  <si>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</si>
  <si>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</si>
  <si>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</si>
  <si>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</si>
  <si>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</si>
  <si>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</si>
  <si>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</si>
  <si>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</si>
  <si>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</si>
  <si>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</si>
  <si>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</si>
  <si>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</si>
  <si>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</si>
  <si>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</si>
  <si>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</si>
  <si>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</si>
  <si>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</si>
  <si>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</si>
  <si>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</si>
  <si>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</si>
  <si>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</si>
  <si>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</si>
  <si>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</si>
  <si>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</si>
  <si>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</si>
  <si>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</si>
  <si>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</si>
  <si>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</si>
  <si>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</si>
  <si>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</si>
  <si>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</si>
  <si>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</si>
  <si>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</si>
  <si>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</si>
  <si>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</si>
  <si>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</si>
  <si>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</si>
  <si>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</si>
  <si>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</si>
  <si>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</si>
  <si>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</si>
  <si>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</si>
  <si>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</si>
  <si>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</si>
  <si>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</si>
  <si>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</si>
  <si>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</si>
  <si>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</si>
  <si>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</si>
  <si>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</si>
  <si>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</si>
  <si>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</si>
  <si>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</si>
  <si>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</si>
  <si>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</si>
  <si>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</si>
  <si>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</si>
  <si>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</si>
  <si>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</si>
  <si>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</si>
  <si>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</si>
  <si>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</si>
  <si>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</si>
  <si>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</si>
  <si>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</si>
  <si>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</si>
  <si>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</si>
  <si>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</si>
  <si>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</si>
  <si>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</si>
  <si>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</si>
  <si>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</si>
  <si>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</si>
  <si>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</si>
  <si>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</si>
  <si>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</si>
  <si>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</si>
  <si>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</si>
  <si>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</si>
  <si>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</si>
  <si>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</si>
  <si>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</si>
  <si>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</si>
  <si>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</si>
  <si>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</si>
  <si>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</si>
  <si>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</si>
  <si>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</si>
  <si>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</si>
  <si>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</si>
  <si>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</si>
  <si>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</si>
  <si>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</si>
  <si>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</si>
  <si>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</si>
  <si>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</si>
  <si>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</si>
  <si>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</si>
  <si>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</si>
  <si>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</si>
  <si>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</si>
  <si>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</si>
  <si>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</si>
  <si>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</si>
  <si>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</si>
  <si>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</si>
  <si>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</si>
  <si>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</si>
  <si>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</si>
  <si>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</si>
  <si>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</si>
  <si>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</si>
  <si>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</si>
  <si>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</si>
  <si>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</si>
  <si>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</si>
  <si>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</si>
  <si>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</si>
  <si>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</si>
  <si>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</si>
  <si>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</si>
  <si>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</si>
  <si>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</si>
  <si>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</si>
  <si>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</si>
  <si>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</si>
  <si>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</si>
  <si>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</si>
  <si>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</si>
  <si>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</si>
  <si>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</si>
  <si>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</si>
  <si>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</si>
  <si>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</si>
  <si>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</si>
  <si>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</si>
  <si>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</si>
  <si>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</si>
  <si>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</si>
  <si>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</si>
  <si>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</si>
  <si>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</si>
  <si>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</si>
  <si>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</si>
  <si>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</si>
  <si>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</si>
  <si>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</si>
  <si>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</si>
  <si>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</si>
  <si>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</si>
  <si>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</si>
  <si>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</si>
  <si>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</si>
  <si>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</si>
  <si>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</si>
  <si>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</si>
  <si>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</si>
  <si>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</si>
  <si>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</si>
  <si>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</si>
  <si>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</si>
  <si>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</si>
  <si>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</si>
  <si>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</si>
  <si>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</si>
  <si>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</si>
  <si>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</si>
  <si>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</si>
  <si>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</si>
  <si>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</si>
  <si>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</si>
  <si>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</si>
  <si>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</si>
  <si>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</si>
  <si>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</si>
  <si>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</si>
  <si>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</si>
  <si>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</si>
  <si>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</si>
  <si>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</si>
  <si>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</si>
  <si>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</si>
  <si>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</si>
  <si>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</si>
  <si>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</si>
  <si>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</si>
  <si>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</si>
  <si>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</si>
  <si>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</si>
  <si>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</si>
  <si>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</si>
  <si>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</si>
  <si>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</si>
  <si>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</si>
  <si>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</si>
  <si>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</si>
  <si>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</si>
  <si>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</si>
  <si>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</si>
  <si>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</si>
  <si>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</si>
  <si>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</si>
  <si>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</si>
  <si>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</si>
  <si>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</si>
  <si>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</si>
  <si>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</si>
  <si>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</si>
  <si>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</si>
  <si>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</si>
  <si>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</si>
  <si>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</si>
  <si>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</si>
  <si>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</si>
  <si>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</si>
  <si>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</si>
  <si>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</si>
  <si>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</si>
  <si>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</si>
  <si>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</si>
  <si>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</si>
  <si>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</si>
  <si>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</si>
  <si>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</si>
  <si>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</si>
  <si>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</si>
  <si>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</si>
  <si>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</si>
  <si>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</si>
  <si>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</si>
  <si>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</si>
  <si>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</si>
  <si>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</si>
  <si>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</si>
  <si>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</si>
  <si>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</si>
  <si>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</si>
  <si>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</si>
  <si>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</si>
  <si>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</si>
  <si>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</si>
  <si>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</si>
  <si>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</si>
  <si>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</si>
  <si>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</si>
  <si>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</si>
  <si>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</si>
  <si>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</si>
  <si>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</si>
  <si>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</si>
  <si>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</si>
  <si>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</si>
  <si>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</si>
  <si>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</si>
  <si>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</si>
  <si>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</si>
  <si>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</si>
  <si>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</si>
  <si>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</si>
  <si>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</si>
  <si>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</si>
  <si>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</si>
  <si>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</si>
  <si>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</si>
  <si>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</si>
  <si>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</si>
  <si>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</si>
  <si>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</si>
  <si>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</si>
  <si>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</si>
  <si>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</si>
  <si>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</si>
  <si>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</si>
  <si>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</si>
  <si>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</si>
  <si>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</si>
  <si>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</si>
  <si>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</si>
  <si>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</si>
  <si>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</si>
  <si>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</si>
  <si>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</si>
  <si>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</si>
  <si>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</si>
  <si>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</si>
  <si>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</si>
  <si>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</si>
  <si>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</si>
  <si>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</si>
  <si>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</si>
  <si>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</si>
  <si>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</si>
  <si>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</si>
  <si>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</si>
  <si>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</si>
  <si>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</si>
  <si>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</si>
  <si>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</si>
  <si>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</si>
  <si>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</si>
  <si>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</si>
  <si>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</si>
  <si>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</si>
  <si>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</si>
  <si>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</si>
  <si>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</si>
  <si>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</si>
  <si>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</si>
  <si>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</si>
  <si>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</si>
  <si>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</si>
  <si>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</si>
  <si>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</si>
  <si>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</si>
  <si>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</si>
  <si>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</si>
  <si>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</si>
  <si>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</si>
  <si>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</si>
  <si>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</si>
  <si>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</si>
  <si>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</si>
  <si>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</si>
  <si>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</si>
  <si>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</si>
  <si>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</si>
  <si>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</si>
  <si>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</si>
  <si>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</si>
  <si>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</si>
  <si>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</si>
  <si>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</si>
  <si>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</si>
  <si>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</si>
  <si>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</si>
  <si>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</si>
  <si>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</si>
  <si>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</si>
  <si>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</si>
  <si>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</si>
  <si>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</si>
  <si>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</si>
  <si>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</si>
  <si>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</si>
  <si>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</si>
  <si>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</si>
  <si>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</si>
  <si>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</si>
  <si>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</si>
  <si>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</si>
  <si>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</si>
  <si>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</si>
  <si>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</si>
  <si>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</si>
  <si>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</si>
  <si>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</si>
  <si>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</si>
  <si>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</si>
  <si>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</si>
  <si>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</si>
  <si>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</si>
  <si>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</si>
  <si>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</si>
  <si>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</si>
  <si>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</si>
  <si>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</si>
  <si>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</si>
  <si>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</si>
  <si>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</si>
  <si>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</si>
  <si>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</si>
  <si>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</si>
  <si>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</si>
  <si>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</si>
  <si>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</si>
  <si>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</si>
  <si>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</si>
  <si>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</si>
  <si>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</si>
  <si>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</si>
  <si>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</si>
  <si>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</si>
  <si>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</si>
  <si>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</si>
  <si>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</si>
  <si>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</si>
  <si>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</si>
  <si>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</si>
  <si>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</si>
  <si>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</si>
  <si>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</si>
  <si>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</si>
  <si>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</si>
  <si>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</si>
  <si>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</si>
  <si>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</si>
  <si>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</si>
  <si>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</si>
  <si>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</si>
  <si>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</si>
  <si>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</si>
  <si>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</si>
  <si>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</si>
  <si>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</si>
  <si>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</si>
  <si>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</si>
  <si>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</si>
  <si>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</si>
  <si>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</si>
  <si>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</si>
  <si>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</si>
  <si>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</si>
  <si>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</si>
  <si>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</si>
  <si>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</si>
  <si>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</si>
  <si>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</si>
  <si>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</si>
  <si>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</si>
  <si>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</si>
  <si>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</si>
  <si>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</si>
  <si>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</si>
  <si>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</si>
  <si>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</si>
  <si>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</si>
  <si>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</si>
  <si>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</si>
  <si>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</si>
  <si>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</si>
  <si>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</si>
  <si>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</si>
  <si>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</si>
  <si>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</si>
  <si>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</si>
  <si>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</si>
  <si>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</si>
  <si>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</si>
  <si>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</si>
  <si>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</si>
  <si>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</si>
  <si>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</si>
  <si>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</si>
  <si>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</si>
  <si>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</si>
  <si>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</si>
  <si>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</si>
  <si>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</si>
  <si>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</si>
  <si>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</si>
  <si>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</si>
  <si>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</si>
  <si>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</si>
  <si>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</si>
  <si>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</si>
  <si>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</si>
  <si>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</si>
  <si>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</si>
  <si>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</si>
  <si>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</si>
  <si>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</si>
  <si>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</si>
  <si>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</si>
  <si>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</si>
  <si>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</si>
  <si>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</si>
  <si>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</si>
  <si>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</si>
  <si>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</si>
  <si>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</si>
  <si>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</si>
  <si>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</si>
  <si>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</si>
  <si>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</si>
  <si>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</si>
  <si>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</si>
  <si>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</si>
  <si>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</si>
  <si>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</si>
  <si>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</si>
  <si>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</si>
  <si>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</si>
  <si>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</si>
  <si>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</si>
  <si>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</si>
  <si>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</si>
  <si>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</si>
  <si>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</si>
  <si>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</si>
  <si>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</si>
  <si>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</si>
  <si>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</si>
  <si>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</si>
  <si>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</si>
  <si>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</si>
  <si>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</si>
  <si>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</si>
  <si>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</si>
  <si>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</si>
  <si>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</si>
  <si>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</si>
  <si>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</si>
  <si>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</si>
  <si>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</si>
  <si>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</si>
  <si>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</si>
  <si>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</si>
  <si>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</si>
  <si>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</si>
  <si>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</si>
  <si>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</si>
  <si>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</si>
  <si>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</si>
  <si>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</si>
  <si>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</si>
  <si>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</si>
  <si>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</si>
  <si>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</si>
  <si>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</si>
  <si>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</si>
  <si>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</si>
  <si>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</si>
  <si>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</si>
  <si>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</si>
  <si>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</si>
  <si>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</si>
  <si>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</si>
  <si>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</si>
  <si>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</si>
  <si>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</si>
  <si>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</si>
  <si>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</si>
  <si>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</si>
  <si>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</si>
  <si>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</si>
  <si>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</si>
  <si>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</si>
  <si>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</si>
  <si>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</si>
  <si>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</si>
  <si>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</si>
  <si>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</si>
  <si>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</si>
  <si>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</si>
  <si>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</si>
  <si>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</si>
  <si>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</si>
  <si>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</si>
  <si>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</si>
  <si>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</si>
  <si>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</si>
  <si>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</si>
  <si>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</si>
  <si>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</si>
  <si>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</si>
  <si>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</si>
  <si>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</si>
  <si>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</si>
  <si>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</si>
  <si>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</si>
  <si>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</si>
  <si>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</si>
  <si>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</si>
  <si>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</si>
  <si>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</si>
  <si>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</si>
  <si>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</si>
  <si>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</si>
  <si>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</si>
  <si>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</si>
  <si>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</si>
  <si>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</si>
  <si>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</si>
  <si>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</si>
  <si>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</si>
  <si>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</si>
  <si>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</si>
  <si>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</si>
  <si>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</si>
  <si>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</si>
  <si>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</si>
  <si>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</si>
  <si>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</si>
  <si>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</si>
  <si>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</si>
  <si>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</si>
  <si>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</si>
  <si>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</si>
  <si>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</si>
  <si>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</si>
  <si>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</si>
  <si>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</si>
  <si>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</si>
  <si>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</si>
  <si>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</si>
  <si>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</si>
  <si>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</si>
  <si>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</si>
  <si>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</si>
  <si>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</si>
  <si>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</si>
  <si>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</si>
  <si>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</si>
  <si>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</si>
  <si>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</si>
  <si>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</si>
  <si>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</si>
  <si>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</si>
  <si>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</si>
  <si>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</si>
  <si>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</si>
  <si>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</si>
  <si>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</si>
  <si>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</si>
  <si>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</si>
  <si>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</si>
  <si>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</si>
  <si>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</si>
  <si>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</si>
  <si>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</si>
  <si>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</si>
  <si>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</si>
  <si>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</si>
  <si>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</si>
  <si>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</si>
  <si>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</si>
  <si>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</si>
  <si>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</si>
  <si>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</si>
  <si>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</si>
  <si>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</si>
  <si>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</si>
  <si>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</si>
  <si>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</si>
  <si>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</si>
  <si>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</si>
  <si>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</si>
  <si>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</si>
  <si>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</si>
  <si>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</si>
  <si>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</si>
  <si>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</si>
  <si>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</si>
  <si>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</si>
  <si>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</si>
  <si>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</si>
  <si>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</si>
  <si>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</si>
  <si>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</si>
  <si>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</si>
  <si>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</si>
  <si>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</si>
  <si>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</si>
  <si>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</si>
  <si>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</si>
  <si>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</si>
  <si>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</si>
  <si>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</si>
  <si>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</si>
  <si>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</si>
  <si>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</si>
  <si>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</si>
  <si>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</si>
  <si>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</si>
  <si>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</si>
  <si>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</si>
  <si>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</si>
  <si>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</si>
  <si>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</si>
  <si>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</si>
  <si>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</si>
  <si>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</si>
  <si>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</si>
  <si>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</si>
  <si>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</si>
  <si>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</si>
  <si>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</si>
  <si>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</si>
  <si>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</si>
  <si>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</si>
  <si>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</si>
  <si>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</si>
  <si>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</si>
  <si>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</si>
  <si>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</si>
  <si>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</si>
  <si>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</si>
  <si>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</si>
  <si>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</si>
  <si>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</si>
  <si>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</si>
  <si>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</si>
  <si>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</si>
  <si>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</si>
  <si>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</si>
  <si>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</si>
  <si>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</si>
  <si>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</si>
  <si>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</si>
  <si>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</si>
  <si>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</si>
  <si>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</si>
  <si>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</si>
  <si>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</si>
  <si>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</si>
  <si>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</si>
  <si>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</si>
  <si>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</si>
  <si>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</si>
  <si>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</si>
  <si>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</si>
  <si>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</si>
  <si>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</si>
  <si>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</si>
  <si>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</si>
  <si>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</si>
  <si>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</si>
  <si>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</si>
  <si>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</si>
  <si>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</si>
  <si>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</si>
  <si>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</si>
  <si>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</si>
  <si>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</si>
  <si>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</si>
  <si>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</si>
  <si>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</si>
  <si>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</si>
  <si>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</si>
  <si>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</si>
  <si>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</si>
  <si>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</si>
  <si>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</si>
  <si>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</si>
  <si>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</si>
  <si>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</si>
  <si>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</si>
  <si>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</si>
  <si>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</si>
  <si>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</si>
  <si>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</si>
  <si>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</si>
  <si>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</si>
  <si>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</si>
  <si>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</si>
  <si>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</si>
  <si>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</si>
  <si>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</si>
  <si>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</si>
  <si>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</si>
  <si>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</si>
  <si>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</si>
  <si>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</si>
  <si>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</si>
  <si>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</si>
  <si>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</si>
  <si>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</si>
  <si>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</si>
  <si>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</si>
  <si>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</si>
  <si>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</si>
  <si>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</si>
  <si>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</si>
  <si>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</si>
  <si>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</si>
  <si>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</si>
  <si>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</si>
  <si>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</si>
  <si>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</si>
  <si>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</si>
  <si>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</si>
  <si>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</si>
  <si>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</si>
  <si>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</si>
  <si>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</si>
  <si>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</si>
  <si>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</si>
  <si>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</si>
  <si>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</si>
  <si>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</si>
  <si>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</si>
  <si>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</si>
  <si>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</si>
  <si>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</si>
  <si>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</si>
  <si>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</si>
  <si>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</si>
  <si>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</si>
  <si>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</si>
  <si>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</si>
  <si>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</si>
  <si>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</si>
  <si>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</si>
  <si>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</si>
  <si>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</si>
  <si>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</si>
  <si>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</si>
  <si>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</si>
  <si>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</si>
  <si>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</si>
  <si>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</si>
  <si>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</si>
  <si>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</si>
  <si>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</si>
  <si>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</si>
  <si>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</si>
  <si>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</si>
  <si>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</si>
  <si>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</si>
  <si>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</si>
  <si>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</si>
  <si>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</si>
  <si>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</si>
  <si>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</si>
  <si>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</si>
  <si>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</si>
  <si>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</si>
  <si>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</si>
  <si>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</si>
  <si>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</si>
  <si>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</si>
  <si>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</si>
  <si>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</si>
  <si>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</si>
  <si>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</si>
  <si>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</si>
  <si>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</si>
  <si>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</si>
  <si>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</si>
  <si>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</si>
  <si>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</si>
  <si>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</si>
  <si>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</si>
  <si>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</si>
  <si>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</si>
  <si>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</si>
  <si>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</si>
  <si>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</si>
  <si>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</si>
  <si>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</si>
  <si>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</si>
  <si>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</si>
  <si>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</si>
  <si>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</si>
  <si>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</si>
  <si>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</si>
  <si>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</si>
  <si>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</si>
  <si>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</si>
  <si>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</si>
  <si>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</si>
  <si>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</si>
  <si>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</si>
  <si>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</si>
  <si>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</si>
  <si>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</si>
  <si>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</si>
  <si>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</si>
  <si>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</si>
  <si>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</si>
  <si>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</si>
  <si>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</si>
  <si>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</si>
  <si>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</si>
  <si>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</si>
  <si>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</si>
  <si>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</si>
  <si>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</si>
  <si>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</si>
  <si>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</si>
  <si>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</si>
  <si>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</si>
  <si>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</si>
  <si>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</si>
  <si>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</si>
  <si>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</si>
  <si>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</si>
  <si>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</si>
  <si>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</si>
  <si>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</si>
  <si>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</si>
  <si>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</si>
  <si>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</si>
  <si>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</si>
  <si>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</si>
  <si>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</si>
  <si>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</si>
  <si>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</si>
  <si>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</si>
  <si>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</si>
  <si>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</si>
  <si>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</si>
  <si>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</si>
  <si>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</si>
  <si>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</si>
  <si>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</si>
  <si>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</si>
  <si>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</si>
  <si>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</si>
  <si>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</si>
  <si>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</si>
  <si>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</si>
  <si>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</si>
  <si>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</si>
  <si>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</si>
  <si>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</si>
  <si>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</si>
  <si>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</si>
  <si>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</si>
  <si>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</si>
  <si>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</si>
  <si>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</si>
  <si>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</si>
  <si>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</si>
  <si>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</si>
  <si>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</si>
  <si>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</si>
  <si>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</si>
  <si>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</si>
  <si>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</si>
  <si>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</si>
  <si>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</si>
  <si>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</si>
  <si>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</si>
  <si>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</si>
  <si>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</si>
  <si>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</si>
  <si>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</si>
  <si>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</si>
  <si>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</si>
  <si>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</si>
  <si>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</si>
  <si>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</si>
  <si>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</si>
  <si>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</si>
  <si>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</si>
  <si>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</si>
  <si>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</si>
  <si>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</si>
  <si>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</si>
  <si>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</si>
  <si>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</si>
  <si>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</si>
  <si>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</si>
  <si>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</si>
  <si>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</si>
  <si>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</si>
  <si>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</si>
  <si>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</si>
  <si>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</si>
  <si>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</si>
  <si>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</si>
  <si>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</si>
  <si>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</si>
  <si>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</si>
  <si>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</si>
  <si>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</si>
  <si>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</si>
  <si>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</si>
  <si>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</si>
  <si>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</si>
  <si>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</si>
  <si>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</si>
  <si>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</si>
  <si>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</si>
  <si>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</si>
  <si>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</si>
  <si>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</si>
  <si>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</si>
  <si>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</si>
  <si>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</si>
  <si>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</si>
  <si>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</si>
  <si>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</si>
  <si>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</si>
  <si>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</si>
  <si>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</si>
  <si>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</si>
  <si>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</si>
  <si>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</si>
  <si>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</si>
  <si>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</si>
  <si>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</si>
  <si>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</si>
  <si>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</si>
  <si>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</si>
  <si>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</si>
  <si>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</si>
  <si>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</si>
  <si>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</si>
  <si>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</si>
  <si>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</si>
  <si>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</si>
  <si>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</si>
  <si>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</si>
  <si>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</si>
  <si>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</si>
  <si>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</si>
  <si>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</si>
  <si>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</si>
  <si>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</si>
  <si>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</si>
  <si>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</si>
  <si>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</si>
  <si>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</si>
  <si>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</si>
  <si>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</si>
  <si>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</si>
  <si>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</si>
  <si>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</si>
  <si>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</si>
  <si>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</si>
  <si>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</si>
  <si>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</si>
  <si>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</si>
  <si>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</si>
  <si>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</si>
  <si>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</si>
  <si>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</si>
  <si>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</si>
  <si>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</si>
  <si>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</si>
  <si>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</si>
  <si>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</si>
  <si>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</si>
  <si>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</si>
  <si>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</si>
  <si>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</si>
  <si>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</si>
  <si>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</si>
  <si>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</si>
  <si>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</si>
  <si>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</si>
  <si>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</si>
  <si>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</si>
  <si>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</si>
  <si>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</si>
  <si>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</si>
  <si>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</si>
  <si>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</si>
  <si>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</si>
  <si>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</si>
  <si>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</si>
  <si>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</si>
  <si>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</si>
  <si>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</si>
  <si>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</si>
  <si>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</si>
  <si>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</si>
  <si>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</si>
  <si>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</si>
  <si>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</si>
  <si>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</si>
  <si>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</si>
  <si>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</si>
  <si>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</si>
  <si>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</si>
  <si>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</si>
  <si>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</si>
  <si>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</si>
  <si>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</si>
  <si>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</si>
  <si>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</si>
  <si>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</si>
  <si>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</si>
  <si>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</si>
  <si>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</si>
  <si>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</si>
  <si>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</si>
  <si>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</si>
  <si>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</si>
  <si>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</si>
  <si>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</si>
  <si>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</si>
  <si>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</si>
  <si>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</si>
  <si>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</si>
  <si>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</si>
  <si>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</si>
  <si>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</si>
  <si>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</si>
  <si>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</si>
  <si>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</si>
  <si>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</si>
  <si>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</si>
  <si>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</si>
  <si>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</si>
  <si>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</si>
  <si>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</si>
  <si>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</si>
  <si>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</si>
  <si>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</si>
  <si>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</si>
  <si>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</si>
  <si>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</si>
  <si>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</si>
  <si>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</si>
  <si>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</si>
  <si>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</si>
  <si>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</si>
  <si>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</si>
  <si>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</si>
  <si>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</si>
  <si>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</si>
  <si>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</si>
  <si>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</si>
  <si>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</si>
  <si>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</si>
  <si>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</si>
  <si>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</si>
  <si>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</si>
  <si>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</si>
  <si>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</si>
  <si>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</si>
  <si>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</si>
  <si>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</si>
  <si>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</si>
  <si>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</si>
  <si>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</si>
  <si>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</si>
  <si>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</si>
  <si>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</si>
  <si>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</si>
  <si>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</si>
  <si>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</si>
  <si>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</si>
  <si>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</si>
  <si>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</si>
  <si>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</si>
  <si>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</si>
  <si>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</si>
  <si>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</si>
  <si>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</si>
  <si>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</si>
  <si>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</si>
  <si>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</si>
  <si>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</si>
  <si>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</si>
  <si>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</si>
  <si>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</si>
  <si>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</si>
  <si>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</si>
  <si>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</si>
  <si>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</si>
  <si>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</si>
  <si>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</si>
  <si>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</si>
  <si>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</si>
  <si>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</si>
  <si>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</si>
  <si>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</si>
  <si>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</si>
  <si>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</si>
  <si>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</si>
  <si>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</si>
  <si>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</si>
  <si>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</si>
  <si>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</si>
  <si>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</si>
  <si>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</si>
  <si>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</si>
  <si>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</si>
  <si>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</si>
  <si>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</si>
  <si>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</si>
  <si>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</si>
  <si>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</si>
  <si>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</si>
  <si>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</si>
  <si>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</si>
  <si>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</si>
  <si>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</si>
  <si>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</si>
  <si>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</si>
  <si>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</si>
  <si>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</si>
  <si>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</si>
  <si>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</si>
  <si>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</si>
  <si>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</si>
  <si>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</si>
  <si>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</si>
  <si>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</si>
  <si>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</si>
  <si>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</si>
  <si>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</si>
  <si>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</si>
  <si>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</si>
  <si>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</si>
  <si>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</si>
  <si>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</si>
  <si>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</si>
  <si>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</si>
  <si>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</si>
  <si>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</si>
  <si>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</si>
  <si>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</si>
  <si>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</si>
  <si>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</si>
  <si>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</si>
  <si>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</si>
  <si>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</si>
  <si>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</si>
  <si>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</si>
  <si>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</si>
  <si>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</si>
  <si>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</si>
  <si>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</si>
  <si>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</si>
  <si>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</si>
  <si>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</si>
  <si>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</si>
  <si>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</si>
  <si>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</si>
  <si>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</si>
  <si>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</si>
  <si>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</si>
  <si>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</si>
  <si>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</si>
  <si>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</si>
  <si>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</si>
  <si>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</si>
  <si>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</si>
  <si>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</si>
  <si>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</si>
  <si>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</si>
  <si>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</si>
  <si>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</si>
  <si>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</si>
  <si>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</si>
  <si>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</si>
  <si>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</si>
  <si>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</si>
  <si>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</si>
  <si>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</si>
  <si>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</si>
  <si>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</si>
  <si>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</si>
  <si>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</si>
  <si>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</si>
  <si>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</si>
  <si>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</si>
  <si>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</si>
  <si>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</si>
  <si>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</si>
  <si>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</si>
  <si>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</si>
  <si>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</si>
  <si>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</si>
  <si>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</si>
  <si>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</si>
  <si>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</si>
  <si>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</si>
  <si>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</si>
  <si>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</si>
  <si>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</si>
  <si>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</si>
  <si>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</si>
  <si>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</si>
  <si>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</si>
  <si>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</si>
  <si>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</si>
  <si>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</si>
  <si>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</si>
  <si>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</si>
  <si>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</si>
  <si>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</si>
  <si>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</si>
  <si>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</si>
  <si>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</si>
  <si>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</si>
  <si>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</si>
  <si>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</si>
  <si>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</si>
  <si>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</si>
  <si>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</si>
  <si>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</si>
  <si>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</si>
  <si>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</si>
  <si>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</si>
  <si>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</si>
  <si>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</si>
  <si>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</si>
  <si>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</si>
  <si>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</si>
  <si>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</si>
  <si>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</si>
  <si>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</si>
  <si>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</si>
  <si>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</si>
  <si>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</si>
  <si>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</si>
  <si>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</si>
  <si>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</si>
  <si>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</si>
  <si>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</si>
  <si>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</si>
  <si>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</si>
  <si>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</si>
  <si>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</si>
  <si>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</si>
  <si>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</si>
  <si>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</si>
  <si>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</si>
  <si>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</si>
  <si>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</si>
  <si>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</si>
  <si>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</si>
  <si>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</si>
  <si>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</si>
  <si>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</si>
  <si>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</si>
  <si>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</si>
  <si>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</si>
  <si>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</si>
  <si>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</si>
  <si>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</si>
  <si>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</si>
  <si>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</si>
  <si>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</si>
  <si>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</si>
  <si>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</si>
  <si>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</si>
  <si>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</si>
  <si>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</si>
  <si>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</si>
  <si>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</si>
  <si>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</si>
  <si>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</si>
  <si>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</si>
  <si>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</si>
  <si>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</si>
  <si>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</si>
  <si>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</si>
  <si>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</si>
  <si>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</si>
  <si>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</si>
  <si>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</si>
  <si>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</si>
  <si>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</si>
  <si>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</si>
  <si>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</si>
  <si>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</si>
  <si>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</si>
  <si>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</si>
  <si>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</si>
  <si>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</si>
  <si>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</si>
  <si>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</si>
  <si>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</si>
  <si>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</si>
  <si>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</si>
  <si>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</si>
  <si>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</si>
  <si>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</si>
  <si>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</si>
  <si>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</si>
  <si>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</si>
  <si>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</si>
  <si>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</si>
  <si>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</si>
  <si>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</si>
  <si>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</si>
  <si>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</si>
  <si>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</si>
  <si>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</si>
  <si>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</si>
  <si>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</si>
  <si>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</si>
  <si>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</si>
  <si>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</si>
  <si>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</si>
  <si>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</si>
  <si>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</si>
  <si>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</si>
  <si>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</si>
  <si>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</si>
  <si>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</si>
  <si>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</si>
  <si>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</si>
  <si>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</si>
  <si>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</si>
  <si>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</si>
  <si>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</si>
  <si>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</si>
  <si>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</si>
  <si>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</si>
  <si>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</si>
  <si>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</si>
  <si>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</si>
  <si>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</si>
  <si>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</si>
  <si>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</si>
  <si>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</si>
  <si>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</si>
  <si>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</si>
  <si>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</si>
  <si>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</si>
  <si>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</si>
  <si>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</si>
  <si>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</si>
  <si>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</si>
  <si>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</si>
  <si>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</si>
  <si>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</si>
  <si>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</si>
  <si>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</si>
  <si>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</si>
  <si>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</si>
  <si>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</si>
  <si>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</si>
  <si>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</si>
  <si>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</si>
  <si>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</si>
  <si>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</si>
  <si>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</si>
  <si>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</si>
  <si>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</si>
  <si>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</si>
  <si>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</si>
  <si>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</si>
  <si>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</si>
  <si>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</si>
  <si>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</si>
  <si>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</si>
  <si>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</si>
  <si>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</si>
  <si>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</si>
  <si>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</si>
  <si>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</si>
  <si>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</si>
  <si>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</si>
  <si>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</si>
  <si>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</si>
  <si>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</si>
  <si>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</si>
  <si>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</si>
  <si>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</si>
  <si>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</si>
  <si>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</si>
  <si>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</si>
  <si>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</si>
  <si>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</si>
  <si>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</si>
  <si>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</si>
  <si>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</si>
  <si>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</si>
  <si>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</si>
  <si>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</si>
  <si>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</si>
  <si>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</si>
  <si>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</si>
  <si>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</si>
  <si>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</si>
  <si>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</si>
  <si>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</si>
  <si>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</si>
  <si>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</si>
  <si>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</si>
  <si>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</si>
  <si>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</si>
  <si>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</si>
  <si>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</si>
  <si>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</si>
  <si>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</si>
  <si>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</si>
  <si>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</si>
  <si>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</si>
  <si>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</si>
  <si>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</si>
  <si>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</si>
  <si>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</si>
  <si>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</si>
  <si>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</si>
  <si>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</si>
  <si>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</si>
  <si>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</si>
  <si>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</si>
  <si>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</si>
  <si>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</si>
  <si>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</si>
  <si>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</si>
  <si>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</si>
  <si>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</si>
  <si>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</si>
  <si>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</si>
  <si>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</si>
  <si>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</si>
  <si>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</si>
  <si>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</si>
  <si>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</si>
  <si>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</si>
  <si>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</si>
  <si>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</si>
  <si>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</si>
  <si>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</si>
  <si>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</si>
  <si>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</si>
  <si>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</si>
  <si>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</si>
  <si>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</si>
  <si>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</si>
  <si>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</si>
  <si>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</si>
  <si>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</si>
  <si>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</si>
  <si>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</si>
  <si>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</si>
  <si>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</si>
  <si>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</si>
  <si>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</si>
  <si>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</si>
  <si>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</si>
  <si>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</si>
  <si>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</si>
  <si>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</si>
  <si>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</si>
  <si>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</si>
  <si>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</si>
  <si>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</si>
  <si>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</si>
  <si>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</si>
  <si>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</si>
  <si>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</si>
  <si>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</si>
  <si>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</si>
  <si>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</si>
  <si>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</si>
  <si>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</si>
  <si>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</si>
  <si>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</si>
  <si>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</si>
  <si>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</si>
  <si>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</si>
  <si>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</si>
  <si>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</si>
  <si>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</si>
  <si>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</si>
  <si>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</si>
  <si>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</si>
  <si>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</si>
  <si>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</si>
  <si>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</si>
  <si>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</si>
  <si>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</si>
  <si>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</si>
  <si>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</si>
  <si>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</si>
  <si>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</si>
  <si>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</si>
  <si>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</si>
  <si>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</si>
  <si>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</si>
  <si>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</si>
  <si>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</si>
  <si>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</si>
  <si>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</si>
  <si>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</si>
  <si>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</si>
  <si>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</si>
  <si>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</si>
  <si>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</si>
  <si>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</si>
  <si>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</si>
  <si>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</si>
  <si>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</si>
  <si>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</si>
  <si>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</si>
  <si>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</si>
  <si>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</si>
  <si>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</si>
  <si>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</si>
  <si>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</si>
  <si>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</si>
  <si>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</si>
  <si>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</si>
  <si>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</si>
  <si>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</si>
  <si>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</si>
  <si>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</si>
  <si>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</si>
  <si>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</si>
  <si>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</si>
  <si>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</si>
  <si>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</si>
  <si>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</si>
  <si>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</si>
  <si>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</si>
  <si>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</si>
  <si>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</si>
  <si>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</si>
  <si>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</si>
  <si>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</si>
  <si>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</si>
  <si>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</si>
  <si>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</si>
  <si>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</si>
  <si>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</si>
  <si>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</si>
  <si>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</si>
  <si>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</si>
  <si>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</si>
  <si>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</si>
  <si>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</si>
  <si>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</si>
  <si>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</si>
  <si>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</si>
  <si>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</si>
  <si>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</si>
  <si>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</si>
  <si>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</si>
  <si>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</si>
  <si>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</si>
  <si>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</si>
  <si>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</si>
  <si>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</si>
  <si>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</si>
  <si>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</si>
  <si>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</si>
  <si>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</si>
  <si>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</si>
  <si>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</si>
  <si>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</si>
  <si>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</si>
  <si>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</si>
  <si>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</si>
  <si>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</si>
  <si>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</si>
  <si>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</si>
  <si>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</si>
  <si>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</si>
  <si>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</si>
  <si>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</si>
  <si>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</si>
  <si>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</si>
  <si>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</si>
  <si>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</si>
  <si>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</si>
  <si>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</si>
  <si>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</si>
  <si>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</si>
  <si>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</si>
  <si>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</si>
  <si>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</si>
  <si>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</si>
  <si>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</si>
  <si>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</si>
  <si>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</si>
  <si>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</si>
  <si>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</si>
  <si>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</si>
  <si>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</si>
  <si>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</si>
  <si>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</si>
  <si>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</si>
  <si>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</si>
  <si>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</si>
  <si>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</si>
  <si>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</si>
  <si>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</si>
  <si>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</si>
  <si>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</si>
  <si>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</si>
  <si>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</si>
  <si>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</si>
  <si>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</si>
  <si>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</si>
  <si>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</si>
  <si>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</si>
  <si>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</si>
  <si>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</si>
  <si>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</si>
  <si>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</si>
  <si>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</si>
  <si>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</si>
  <si>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</si>
  <si>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</si>
  <si>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</si>
  <si>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</si>
  <si>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</si>
  <si>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</si>
  <si>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</si>
  <si>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</si>
  <si>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</si>
  <si>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</si>
  <si>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</si>
  <si>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</si>
  <si>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</si>
  <si>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</si>
  <si>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</si>
  <si>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</si>
  <si>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</si>
  <si>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</si>
  <si>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</si>
  <si>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</si>
  <si>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</si>
  <si>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</si>
  <si>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</si>
  <si>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</si>
  <si>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</si>
  <si>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</si>
  <si>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</si>
  <si>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</si>
  <si>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</si>
  <si>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</si>
  <si>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</si>
  <si>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</si>
  <si>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</si>
  <si>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</si>
  <si>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</si>
  <si>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</si>
  <si>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</si>
  <si>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</si>
  <si>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</si>
  <si>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</si>
  <si>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</si>
  <si>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</si>
  <si>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</si>
  <si>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</si>
  <si>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</si>
  <si>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</si>
  <si>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</si>
  <si>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</si>
  <si>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</si>
  <si>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</si>
  <si>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</si>
  <si>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</si>
  <si>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</si>
  <si>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</si>
  <si>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</si>
  <si>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</si>
  <si>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</si>
  <si>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</si>
  <si>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</si>
  <si>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</si>
  <si>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</si>
  <si>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</si>
  <si>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</si>
  <si>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</si>
  <si>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</si>
  <si>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</si>
  <si>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</si>
  <si>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</si>
  <si>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</si>
  <si>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</si>
  <si>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</si>
  <si>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</si>
  <si>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</si>
  <si>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</si>
  <si>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</si>
  <si>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</si>
  <si>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</si>
  <si>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</si>
  <si>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</si>
  <si>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</si>
  <si>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</si>
  <si>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</si>
  <si>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</si>
  <si>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</si>
  <si>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</si>
  <si>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</si>
  <si>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</si>
  <si>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</si>
  <si>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</si>
  <si>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</si>
  <si>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</si>
  <si>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</si>
  <si>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</si>
  <si>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</si>
  <si>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</si>
  <si>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</si>
  <si>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</si>
  <si>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</si>
  <si>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</si>
  <si>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</si>
  <si>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</si>
  <si>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</si>
  <si>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</si>
  <si>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</si>
  <si>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</si>
  <si>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</si>
  <si>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</si>
  <si>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</si>
  <si>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</si>
  <si>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</si>
  <si>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</si>
  <si>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</si>
  <si>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</si>
  <si>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</si>
  <si>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</si>
  <si>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</si>
  <si>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</si>
  <si>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</si>
  <si>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</si>
  <si>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</si>
  <si>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</si>
  <si>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</si>
  <si>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</si>
  <si>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</si>
  <si>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</si>
  <si>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</si>
  <si>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</si>
  <si>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</si>
  <si>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</si>
  <si>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</si>
  <si>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</si>
  <si>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</si>
  <si>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</si>
  <si>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</si>
  <si>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</si>
  <si>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</si>
  <si>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</si>
  <si>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</si>
  <si>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</si>
  <si>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</si>
  <si>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</si>
  <si>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</si>
  <si>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</si>
  <si>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</si>
  <si>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</si>
  <si>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</si>
  <si>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</si>
  <si>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</si>
  <si>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</si>
  <si>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</si>
  <si>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</si>
  <si>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</si>
  <si>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</si>
  <si>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</si>
  <si>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</si>
  <si>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</si>
  <si>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</si>
  <si>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</si>
  <si>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</si>
  <si>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</si>
  <si>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</si>
  <si>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</si>
  <si>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</si>
  <si>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</si>
  <si>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</si>
  <si>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</si>
  <si>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</si>
  <si>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</si>
  <si>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</si>
  <si>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</si>
  <si>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</si>
  <si>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</si>
  <si>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</si>
  <si>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</si>
  <si>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</si>
  <si>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</si>
  <si>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</si>
  <si>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</si>
  <si>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</si>
  <si>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</si>
  <si>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</si>
  <si>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</si>
  <si>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</si>
  <si>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</si>
  <si>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</si>
  <si>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</si>
  <si>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</si>
  <si>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</si>
  <si>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</si>
  <si>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</si>
  <si>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</si>
  <si>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</si>
  <si>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</si>
  <si>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</si>
  <si>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</si>
  <si>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</si>
  <si>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</si>
  <si>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</si>
  <si>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</si>
  <si>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</si>
  <si>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</si>
  <si>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</si>
  <si>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</si>
  <si>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</si>
  <si>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</si>
  <si>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</si>
  <si>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</si>
  <si>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</si>
  <si>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</si>
  <si>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</si>
  <si>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</si>
  <si>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</si>
  <si>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</si>
  <si>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</si>
  <si>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</si>
  <si>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</si>
  <si>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</si>
  <si>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</si>
  <si>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</si>
  <si>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</si>
  <si>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</si>
  <si>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</si>
  <si>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</si>
  <si>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</si>
  <si>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</si>
  <si>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</si>
  <si>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</si>
  <si>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</si>
  <si>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</si>
  <si>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</si>
  <si>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</si>
  <si>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</si>
  <si>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</si>
  <si>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</si>
  <si>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</si>
  <si>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</si>
  <si>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</si>
  <si>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</si>
  <si>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</si>
  <si>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</si>
  <si>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</si>
  <si>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</si>
  <si>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</si>
  <si>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</si>
  <si>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</si>
  <si>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</si>
  <si>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</si>
  <si>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</si>
  <si>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</si>
  <si>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</si>
  <si>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</si>
  <si>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</si>
  <si>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</si>
  <si>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</si>
  <si>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</si>
  <si>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</si>
  <si>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</si>
  <si>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</si>
  <si>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</si>
  <si>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</si>
  <si>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</si>
  <si>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</si>
  <si>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</si>
  <si>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</si>
  <si>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</si>
  <si>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</si>
  <si>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</si>
  <si>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</si>
  <si>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</si>
  <si>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</si>
  <si>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</si>
  <si>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</si>
  <si>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</si>
  <si>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</si>
  <si>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</si>
  <si>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</si>
  <si>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</si>
  <si>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</si>
  <si>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</si>
  <si>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</si>
  <si>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</si>
  <si>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</si>
  <si>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</si>
  <si>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</si>
  <si>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</si>
  <si>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</si>
  <si>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</si>
  <si>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</si>
  <si>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</si>
  <si>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</si>
  <si>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</si>
  <si>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</si>
  <si>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</si>
  <si>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</si>
  <si>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</si>
  <si>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</si>
  <si>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</si>
  <si>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</si>
  <si>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</si>
  <si>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</si>
  <si>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</si>
  <si>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</si>
  <si>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</si>
  <si>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</si>
  <si>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</si>
  <si>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</si>
  <si>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</si>
  <si>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</si>
  <si>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</si>
  <si>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</si>
  <si>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</si>
  <si>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</si>
  <si>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</si>
  <si>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</si>
  <si>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</si>
  <si>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</si>
  <si>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</si>
  <si>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</si>
  <si>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</si>
  <si>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</si>
  <si>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</si>
  <si>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</si>
  <si>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</si>
  <si>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</si>
  <si>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</si>
  <si>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</si>
  <si>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</si>
  <si>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</si>
  <si>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</si>
  <si>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</si>
  <si>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</si>
  <si>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</si>
  <si>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</si>
  <si>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</si>
  <si>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</si>
  <si>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</si>
  <si>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</si>
  <si>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</si>
  <si>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</si>
  <si>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</si>
  <si>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</si>
  <si>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</si>
  <si>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</si>
  <si>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</si>
  <si>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</si>
  <si>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</si>
  <si>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</si>
  <si>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</si>
  <si>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</si>
  <si>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</si>
  <si>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</si>
  <si>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</si>
  <si>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</si>
  <si>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</si>
  <si>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</si>
  <si>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</si>
  <si>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</si>
  <si>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</si>
  <si>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</si>
  <si>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</si>
  <si>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</si>
  <si>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</si>
  <si>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</si>
  <si>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</si>
  <si>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</si>
  <si>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</si>
  <si>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</si>
  <si>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</si>
  <si>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</si>
  <si>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</si>
  <si>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</si>
  <si>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</si>
  <si>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</si>
  <si>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</si>
  <si>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</si>
  <si>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</si>
  <si>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</si>
  <si>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</si>
  <si>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</si>
  <si>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</si>
  <si>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</si>
  <si>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</si>
  <si>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</si>
  <si>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</si>
  <si>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</si>
  <si>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</si>
  <si>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</si>
  <si>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</si>
  <si>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</si>
  <si>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</si>
  <si>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</si>
  <si>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</si>
  <si>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</si>
  <si>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</si>
  <si>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</si>
  <si>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</si>
  <si>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</si>
  <si>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</si>
  <si>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</si>
  <si>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</si>
  <si>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</si>
  <si>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</si>
  <si>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</si>
  <si>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</si>
  <si>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</si>
  <si>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</si>
  <si>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</si>
  <si>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</si>
  <si>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</si>
  <si>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</si>
  <si>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</si>
  <si>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</si>
  <si>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</si>
  <si>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</si>
  <si>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</si>
  <si>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</si>
  <si>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</si>
  <si>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</si>
  <si>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</si>
  <si>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</si>
  <si>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</si>
  <si>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</si>
  <si>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</si>
  <si>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</si>
  <si>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</si>
  <si>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</si>
  <si>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</si>
  <si>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</si>
  <si>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</si>
  <si>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</si>
  <si>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</si>
  <si>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</si>
  <si>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</si>
  <si>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</si>
  <si>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</si>
  <si>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</si>
  <si>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</si>
  <si>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</si>
  <si>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</si>
  <si>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</si>
  <si>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</si>
  <si>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</si>
  <si>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</si>
  <si>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</si>
  <si>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</si>
  <si>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</si>
  <si>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</si>
  <si>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</si>
  <si>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</si>
  <si>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</si>
  <si>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</si>
  <si>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</si>
  <si>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</si>
  <si>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</si>
  <si>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</si>
  <si>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</si>
  <si>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</si>
  <si>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</si>
  <si>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</si>
  <si>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</si>
  <si>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</si>
  <si>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</si>
  <si>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</si>
  <si>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</si>
  <si>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</si>
  <si>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</si>
  <si>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</si>
  <si>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</si>
  <si>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</si>
  <si>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</si>
  <si>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</si>
  <si>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</si>
  <si>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</si>
  <si>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</si>
  <si>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</si>
  <si>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</si>
  <si>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</si>
  <si>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</si>
  <si>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</si>
  <si>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</si>
  <si>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</si>
  <si>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</si>
  <si>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</si>
  <si>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</si>
  <si>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</si>
  <si>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</si>
  <si>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</si>
  <si>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</si>
  <si>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</si>
  <si>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</si>
  <si>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</si>
  <si>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</si>
  <si>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</si>
  <si>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</si>
  <si>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</si>
  <si>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</si>
  <si>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</si>
  <si>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</si>
  <si>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</si>
  <si>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</si>
  <si>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</si>
  <si>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</si>
  <si>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</si>
  <si>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</si>
  <si>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</si>
  <si>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</si>
  <si>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</si>
  <si>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</si>
  <si>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</si>
  <si>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</si>
  <si>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</si>
  <si>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</si>
  <si>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</si>
  <si>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</si>
  <si>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</si>
  <si>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</si>
  <si>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</si>
  <si>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</si>
  <si>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</si>
  <si>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</si>
  <si>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</si>
  <si>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</si>
  <si>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</si>
  <si>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</si>
  <si>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</si>
  <si>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</si>
  <si>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</si>
  <si>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</si>
  <si>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</si>
  <si>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</si>
  <si>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</si>
  <si>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</si>
  <si>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</si>
  <si>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</si>
  <si>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</si>
  <si>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</si>
  <si>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</si>
  <si>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</si>
  <si>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</si>
  <si>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</si>
  <si>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</si>
  <si>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</si>
  <si>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</si>
  <si>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</si>
  <si>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</si>
  <si>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</si>
  <si>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</si>
  <si>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</si>
  <si>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</si>
  <si>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</si>
  <si>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</si>
  <si>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</si>
  <si>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</si>
  <si>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</si>
  <si>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</si>
  <si>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</si>
  <si>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</si>
  <si>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</si>
  <si>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</si>
  <si>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</si>
  <si>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</si>
  <si>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</si>
  <si>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</si>
  <si>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</si>
  <si>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</si>
  <si>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</si>
  <si>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</si>
  <si>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</si>
  <si>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</si>
  <si>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</si>
  <si>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</si>
  <si>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</si>
  <si>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</si>
  <si>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</si>
  <si>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</si>
  <si>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</si>
  <si>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</si>
  <si>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</si>
  <si>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</si>
  <si>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</si>
  <si>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</si>
  <si>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</si>
  <si>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</si>
  <si>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</si>
  <si>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</si>
  <si>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</si>
  <si>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</si>
  <si>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</si>
  <si>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</si>
  <si>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</si>
  <si>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</si>
  <si>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</si>
  <si>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</si>
  <si>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</si>
  <si>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</si>
  <si>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</si>
  <si>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</si>
  <si>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</si>
  <si>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</si>
  <si>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</si>
  <si>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</si>
  <si>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</si>
  <si>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</si>
  <si>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</si>
  <si>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</si>
  <si>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</si>
  <si>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</si>
  <si>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</si>
  <si>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</si>
  <si>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</si>
  <si>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</si>
  <si>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</si>
  <si>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</si>
  <si>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</si>
  <si>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</si>
  <si>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</si>
  <si>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</si>
  <si>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</si>
  <si>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</si>
  <si>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</si>
  <si>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</si>
  <si>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</si>
  <si>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</si>
  <si>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</si>
  <si>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</si>
  <si>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</si>
  <si>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</si>
  <si>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</si>
  <si>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</si>
  <si>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</si>
  <si>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</si>
  <si>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</si>
  <si>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</si>
  <si>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</si>
  <si>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</si>
  <si>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</si>
  <si>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</si>
  <si>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</si>
  <si>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</si>
  <si>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</si>
  <si>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</si>
  <si>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</si>
  <si>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</si>
  <si>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</si>
  <si>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</si>
  <si>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</si>
  <si>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</si>
  <si>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</si>
  <si>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</si>
  <si>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</si>
  <si>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</si>
  <si>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</si>
  <si>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</si>
  <si>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</si>
  <si>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</si>
  <si>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</si>
  <si>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</si>
  <si>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</si>
  <si>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</si>
  <si>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</si>
  <si>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</si>
  <si>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</si>
  <si>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</si>
  <si>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</si>
  <si>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</si>
  <si>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</si>
  <si>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</si>
  <si>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</si>
  <si>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</si>
  <si>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</si>
  <si>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</si>
  <si>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</si>
  <si>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</si>
  <si>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</si>
  <si>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</si>
  <si>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</si>
  <si>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</si>
  <si>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</si>
  <si>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</si>
  <si>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</si>
  <si>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</si>
  <si>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</si>
  <si>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</si>
  <si>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</si>
  <si>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</si>
  <si>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</si>
  <si>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</si>
  <si>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</si>
  <si>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</si>
  <si>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</si>
  <si>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</si>
  <si>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</si>
  <si>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</si>
  <si>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</si>
  <si>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</si>
  <si>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</si>
  <si>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</si>
  <si>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</si>
  <si>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</si>
  <si>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</si>
  <si>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</si>
  <si>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</si>
  <si>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</si>
  <si>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</si>
  <si>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</si>
  <si>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</si>
  <si>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</si>
  <si>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</si>
  <si>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</si>
  <si>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</si>
  <si>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</si>
  <si>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</si>
  <si>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</si>
  <si>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</si>
  <si>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</si>
  <si>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</si>
  <si>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</si>
  <si>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</si>
  <si>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</si>
  <si>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</si>
  <si>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</si>
  <si>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</si>
  <si>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</si>
  <si>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</si>
  <si>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</si>
  <si>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</si>
  <si>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</si>
  <si>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</si>
  <si>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</si>
  <si>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</si>
  <si>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</si>
  <si>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</si>
  <si>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</si>
  <si>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</si>
  <si>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</si>
  <si>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</si>
  <si>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</si>
  <si>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</si>
  <si>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</si>
  <si>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</si>
  <si>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</si>
  <si>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</si>
  <si>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</si>
  <si>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</si>
  <si>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</si>
  <si>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</si>
  <si>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</si>
  <si>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</si>
  <si>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</si>
  <si>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</si>
  <si>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</si>
  <si>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</si>
  <si>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</si>
  <si>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</si>
  <si>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</si>
  <si>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</si>
  <si>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</si>
  <si>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</si>
  <si>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</si>
  <si>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</si>
  <si>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</si>
  <si>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</si>
  <si>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</si>
  <si>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</si>
  <si>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</si>
  <si>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</si>
  <si>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</si>
  <si>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</si>
  <si>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</si>
  <si>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</si>
  <si>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</si>
  <si>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</si>
  <si>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</si>
  <si>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</si>
  <si>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</si>
  <si>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</si>
  <si>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</si>
  <si>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</si>
  <si>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</si>
  <si>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</si>
  <si>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</si>
  <si>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</si>
  <si>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</si>
  <si>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</si>
  <si>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</si>
  <si>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</si>
  <si>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</si>
  <si>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</si>
  <si>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</si>
  <si>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</si>
  <si>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</si>
  <si>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</si>
  <si>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</si>
  <si>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</si>
  <si>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</si>
  <si>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</si>
  <si>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</si>
  <si>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</si>
  <si>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</si>
  <si>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</si>
  <si>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</si>
  <si>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</si>
  <si>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</si>
  <si>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</si>
  <si>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</si>
  <si>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</si>
  <si>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</si>
  <si>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</si>
  <si>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</si>
  <si>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</si>
  <si>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</si>
  <si>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</si>
  <si>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</si>
  <si>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</si>
  <si>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</si>
  <si>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</si>
  <si>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</si>
  <si>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</si>
  <si>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</si>
  <si>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</si>
  <si>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</si>
  <si>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</si>
  <si>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</si>
  <si>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</si>
  <si>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</si>
  <si>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</si>
  <si>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</si>
  <si>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</si>
  <si>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</si>
  <si>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</si>
  <si>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</si>
  <si>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</si>
  <si>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</si>
  <si>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</si>
  <si>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</si>
  <si>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</si>
  <si>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</si>
  <si>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</si>
  <si>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</si>
  <si>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</si>
  <si>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</si>
  <si>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</si>
  <si>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</si>
  <si>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</si>
  <si>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</si>
  <si>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</si>
  <si>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</si>
  <si>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</si>
  <si>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</si>
  <si>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</si>
  <si>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</si>
  <si>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</si>
  <si>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</si>
  <si>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</si>
  <si>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</si>
  <si>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</si>
  <si>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</si>
  <si>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</si>
  <si>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</si>
  <si>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</si>
  <si>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</si>
  <si>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</si>
  <si>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</si>
  <si>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</si>
  <si>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</si>
  <si>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</si>
  <si>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</si>
  <si>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</si>
  <si>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</si>
  <si>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</si>
  <si>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</si>
  <si>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</si>
  <si>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</si>
  <si>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</si>
  <si>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</si>
  <si>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</si>
  <si>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</si>
  <si>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</si>
  <si>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</si>
  <si>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</si>
  <si>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</si>
  <si>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</si>
  <si>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</si>
  <si>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</si>
  <si>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</si>
  <si>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</si>
  <si>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</si>
  <si>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</si>
  <si>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</si>
  <si>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</si>
  <si>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</si>
  <si>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</si>
  <si>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</si>
  <si>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</si>
  <si>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</si>
  <si>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</si>
  <si>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</si>
  <si>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</si>
  <si>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</si>
  <si>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</si>
  <si>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</si>
  <si>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</si>
  <si>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</si>
  <si>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</si>
  <si>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</si>
  <si>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</si>
  <si>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</si>
  <si>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</si>
  <si>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</si>
  <si>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</si>
  <si>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</si>
  <si>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</si>
  <si>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</si>
  <si>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</si>
  <si>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</si>
  <si>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</si>
  <si>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</si>
  <si>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</si>
  <si>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</si>
  <si>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</si>
  <si>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</si>
  <si>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</si>
  <si>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</si>
  <si>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</si>
  <si>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</si>
  <si>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</si>
  <si>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</si>
  <si>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</si>
  <si>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</si>
  <si>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</si>
  <si>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</si>
  <si>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</si>
  <si>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</si>
  <si>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</si>
  <si>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</si>
  <si>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</si>
  <si>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</si>
  <si>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</si>
  <si>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</si>
  <si>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</si>
  <si>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</si>
  <si>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</si>
  <si>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</si>
  <si>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</si>
  <si>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</si>
  <si>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</si>
  <si>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</si>
  <si>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</si>
  <si>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</si>
  <si>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</si>
  <si>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</si>
  <si>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</si>
  <si>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</si>
  <si>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</si>
  <si>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</si>
  <si>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</si>
  <si>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</si>
  <si>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</si>
  <si>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</si>
  <si>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</si>
  <si>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</si>
  <si>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</si>
  <si>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</si>
  <si>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</si>
  <si>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</si>
  <si>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</si>
  <si>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</si>
  <si>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</si>
  <si>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</si>
  <si>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</si>
  <si>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</si>
  <si>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</si>
  <si>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</si>
  <si>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</si>
  <si>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</si>
  <si>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</si>
  <si>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</si>
  <si>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</si>
  <si>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</si>
  <si>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</si>
  <si>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</si>
  <si>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</si>
  <si>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</si>
  <si>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</si>
  <si>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</si>
  <si>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</si>
  <si>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</si>
  <si>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</si>
  <si>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</si>
  <si>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</si>
  <si>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</si>
  <si>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</si>
  <si>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</si>
  <si>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</si>
  <si>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</si>
  <si>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</si>
  <si>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</si>
  <si>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</si>
  <si>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</si>
  <si>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</si>
  <si>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</si>
  <si>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</si>
  <si>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</si>
  <si>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</si>
  <si>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</si>
  <si>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</si>
  <si>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</si>
  <si>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</si>
  <si>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</si>
  <si>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</si>
  <si>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</si>
  <si>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</si>
  <si>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</si>
  <si>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</si>
  <si>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</si>
  <si>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</si>
  <si>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</si>
  <si>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</si>
  <si>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</si>
  <si>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</si>
  <si>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</si>
  <si>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</si>
  <si>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</si>
  <si>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</si>
  <si>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</si>
  <si>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</si>
  <si>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</si>
  <si>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</si>
  <si>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</si>
  <si>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</si>
  <si>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</si>
  <si>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</si>
  <si>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</si>
  <si>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</si>
  <si>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</si>
  <si>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</si>
  <si>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</si>
  <si>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</si>
  <si>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</si>
  <si>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</si>
  <si>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</si>
  <si>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</si>
  <si>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</si>
  <si>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</si>
  <si>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</si>
  <si>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</si>
  <si>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</si>
  <si>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</si>
  <si>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</si>
  <si>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</si>
  <si>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</si>
  <si>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</si>
  <si>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</si>
  <si>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</si>
  <si>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</si>
  <si>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</si>
  <si>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</si>
  <si>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</si>
  <si>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</si>
  <si>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</si>
  <si>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</si>
  <si>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</si>
  <si>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</si>
  <si>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</si>
  <si>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</si>
  <si>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</si>
  <si>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</si>
  <si>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</si>
  <si>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</si>
  <si>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</si>
  <si>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</si>
  <si>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</si>
  <si>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</si>
  <si>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</si>
  <si>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</si>
  <si>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</si>
  <si>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</si>
  <si>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</si>
  <si>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</si>
  <si>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</si>
  <si>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</si>
  <si>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</si>
  <si>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</si>
  <si>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</si>
  <si>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</si>
  <si>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</si>
  <si>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</si>
  <si>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</si>
  <si>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</si>
  <si>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</si>
  <si>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</si>
  <si>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</si>
  <si>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</si>
  <si>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</si>
  <si>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</si>
  <si>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</si>
  <si>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</si>
  <si>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</si>
  <si>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</si>
  <si>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</si>
  <si>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</si>
  <si>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</si>
  <si>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</si>
  <si>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</si>
  <si>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</si>
  <si>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</si>
  <si>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</si>
  <si>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</si>
  <si>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</si>
  <si>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</si>
  <si>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</si>
  <si>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</si>
  <si>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</si>
  <si>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</si>
  <si>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</si>
  <si>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</si>
  <si>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</si>
  <si>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</si>
  <si>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</si>
  <si>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</si>
  <si>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</si>
  <si>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</si>
  <si>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</si>
  <si>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</si>
  <si>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</si>
  <si>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</si>
  <si>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</si>
  <si>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</si>
  <si>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</si>
  <si>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</si>
  <si>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</si>
  <si>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</si>
  <si>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</si>
  <si>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</si>
  <si>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</si>
  <si>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</si>
  <si>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</si>
  <si>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</si>
  <si>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</si>
  <si>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</si>
  <si>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</si>
  <si>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</si>
  <si>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</si>
  <si>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</si>
  <si>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</si>
  <si>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</si>
  <si>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</si>
  <si>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</si>
  <si>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</si>
  <si>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</si>
  <si>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</si>
  <si>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</si>
  <si>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</si>
  <si>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</si>
  <si>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</si>
  <si>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</si>
  <si>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</si>
  <si>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</si>
  <si>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</si>
  <si>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</si>
  <si>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</si>
  <si>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</si>
  <si>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</si>
  <si>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</si>
  <si>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</si>
  <si>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</si>
  <si>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</si>
  <si>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</si>
  <si>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</si>
  <si>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</si>
  <si>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</si>
  <si>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</si>
  <si>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</si>
  <si>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</si>
  <si>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</si>
  <si>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</si>
  <si>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</si>
  <si>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</si>
  <si>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</si>
  <si>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</si>
  <si>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</si>
  <si>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</si>
  <si>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</si>
  <si>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</si>
  <si>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</si>
  <si>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</si>
  <si>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</si>
  <si>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</si>
  <si>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</si>
  <si>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</si>
  <si>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</si>
  <si>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</si>
  <si>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</si>
  <si>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</si>
  <si>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</si>
  <si>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</si>
  <si>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</si>
  <si>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</si>
  <si>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</si>
  <si>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</si>
  <si>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</si>
  <si>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</si>
  <si>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</si>
  <si>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</si>
  <si>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</si>
  <si>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</si>
  <si>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</si>
  <si>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</si>
  <si>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</si>
  <si>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</si>
  <si>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</si>
  <si>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</si>
  <si>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</si>
  <si>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</si>
  <si>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</si>
  <si>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</si>
  <si>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</si>
  <si>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</si>
  <si>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</si>
  <si>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</si>
  <si>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</si>
  <si>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</si>
  <si>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</si>
  <si>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</si>
  <si>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</si>
  <si>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</si>
  <si>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</si>
  <si>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</si>
  <si>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</si>
  <si>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</si>
  <si>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</si>
  <si>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</si>
  <si>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</si>
  <si>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</si>
  <si>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</si>
  <si>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</si>
  <si>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</si>
  <si>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</si>
  <si>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</si>
  <si>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</si>
  <si>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</si>
  <si>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</si>
  <si>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</si>
  <si>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</si>
  <si>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</si>
  <si>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</si>
  <si>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</si>
  <si>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</si>
  <si>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</si>
  <si>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</si>
  <si>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</si>
  <si>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</si>
  <si>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</si>
  <si>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</si>
  <si>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</si>
  <si>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</si>
  <si>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</si>
  <si>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</si>
  <si>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</si>
  <si>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</si>
  <si>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</si>
  <si>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</si>
  <si>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</si>
  <si>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</si>
  <si>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</si>
  <si>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</si>
  <si>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</si>
  <si>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</si>
  <si>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</si>
  <si>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</si>
  <si>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</si>
  <si>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</si>
  <si>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</si>
  <si>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</si>
  <si>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</si>
  <si>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</si>
  <si>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</si>
  <si>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</si>
  <si>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</si>
  <si>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</si>
  <si>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</si>
  <si>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</si>
  <si>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</si>
  <si>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</si>
  <si>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</si>
  <si>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</si>
  <si>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</si>
  <si>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</si>
  <si>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</si>
  <si>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</si>
  <si>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</si>
  <si>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</si>
  <si>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</si>
  <si>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</si>
  <si>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</si>
  <si>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</si>
  <si>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</si>
  <si>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</si>
  <si>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</si>
  <si>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</si>
  <si>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</si>
  <si>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</si>
  <si>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</si>
  <si>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</si>
  <si>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</si>
  <si>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</si>
  <si>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</si>
  <si>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</si>
  <si>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</si>
  <si>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</si>
  <si>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</si>
  <si>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</si>
  <si>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</si>
  <si>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</si>
  <si>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</si>
  <si>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</si>
  <si>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</si>
  <si>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</si>
  <si>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</si>
  <si>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</si>
  <si>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</si>
  <si>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</si>
  <si>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</si>
  <si>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</si>
  <si>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</si>
  <si>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</si>
  <si>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</si>
  <si>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</si>
  <si>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</si>
  <si>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</si>
  <si>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</si>
  <si>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</si>
  <si>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</si>
  <si>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</si>
  <si>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</si>
  <si>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</si>
  <si>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</si>
  <si>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</si>
  <si>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</si>
  <si>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</si>
  <si>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</si>
  <si>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</si>
  <si>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</si>
  <si>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</si>
  <si>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</si>
  <si>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</si>
  <si>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</si>
  <si>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</si>
  <si>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</si>
  <si>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</si>
  <si>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</si>
  <si>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</si>
  <si>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</si>
  <si>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</si>
  <si>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</si>
  <si>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</si>
  <si>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</si>
  <si>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</si>
  <si>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</si>
  <si>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</si>
  <si>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</si>
  <si>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</si>
  <si>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</si>
  <si>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</si>
  <si>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</si>
  <si>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</si>
  <si>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</si>
  <si>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</si>
  <si>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</si>
  <si>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</si>
  <si>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</si>
  <si>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</si>
  <si>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</si>
  <si>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</si>
  <si>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</si>
  <si>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</si>
  <si>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</si>
  <si>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</si>
  <si>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</si>
  <si>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</si>
  <si>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</si>
  <si>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</si>
  <si>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</si>
  <si>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</si>
  <si>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</si>
  <si>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</si>
  <si>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</si>
  <si>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</si>
  <si>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</si>
  <si>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</si>
  <si>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</si>
  <si>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</si>
  <si>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</si>
  <si>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</si>
  <si>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</si>
  <si>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</si>
  <si>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</si>
  <si>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</si>
  <si>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</si>
  <si>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</si>
  <si>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</si>
  <si>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</si>
  <si>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</si>
  <si>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</si>
  <si>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</si>
  <si>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</si>
  <si>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</si>
  <si>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</si>
  <si>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</si>
  <si>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</si>
  <si>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</si>
  <si>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</si>
  <si>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</si>
  <si>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</si>
  <si>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</si>
  <si>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</si>
  <si>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</si>
  <si>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</si>
  <si>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</si>
  <si>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</si>
  <si>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</si>
  <si>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</si>
  <si>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</si>
  <si>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</si>
  <si>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</si>
  <si>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</si>
  <si>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</si>
  <si>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</si>
  <si>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</si>
  <si>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</si>
  <si>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</si>
  <si>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</si>
  <si>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</si>
  <si>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</si>
  <si>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</si>
  <si>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</si>
  <si>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</si>
  <si>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</si>
  <si>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</si>
  <si>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</si>
  <si>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</si>
  <si>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</si>
  <si>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</si>
  <si>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</si>
  <si>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</si>
  <si>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</si>
  <si>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</si>
  <si>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</si>
  <si>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</si>
  <si>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</si>
  <si>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</si>
  <si>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</si>
  <si>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</si>
  <si>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</si>
  <si>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</si>
  <si>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</si>
  <si>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</si>
  <si>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</si>
  <si>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</si>
  <si>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</si>
  <si>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</si>
  <si>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</si>
  <si>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</si>
  <si>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</si>
  <si>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</si>
  <si>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</si>
  <si>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</si>
  <si>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</si>
  <si>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</si>
  <si>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</si>
  <si>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</si>
  <si>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</si>
  <si>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</si>
  <si>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</si>
  <si>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</si>
  <si>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</si>
  <si>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</si>
  <si>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</si>
  <si>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</si>
  <si>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</si>
  <si>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</si>
  <si>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</si>
  <si>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</si>
  <si>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</si>
  <si>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</si>
  <si>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</si>
  <si>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</si>
  <si>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</si>
  <si>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</si>
  <si>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</si>
  <si>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</si>
  <si>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</si>
  <si>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</si>
  <si>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</si>
  <si>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</si>
  <si>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</si>
  <si>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</si>
  <si>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</si>
  <si>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</si>
  <si>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</si>
  <si>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</si>
  <si>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</si>
  <si>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</si>
  <si>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</si>
  <si>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</si>
  <si>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</si>
  <si>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</si>
  <si>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</si>
  <si>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</si>
  <si>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</si>
  <si>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</si>
  <si>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</si>
  <si>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</si>
  <si>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</si>
  <si>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</si>
  <si>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</si>
  <si>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</si>
  <si>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</si>
  <si>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</si>
  <si>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</si>
  <si>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</si>
  <si>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</si>
  <si>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</si>
  <si>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</si>
  <si>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</si>
  <si>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</si>
  <si>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</si>
  <si>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</si>
  <si>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</si>
  <si>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</si>
  <si>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</si>
  <si>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</si>
  <si>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</si>
  <si>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</si>
  <si>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</si>
  <si>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</si>
  <si>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</si>
  <si>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</si>
  <si>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</si>
  <si>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</si>
  <si>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</si>
  <si>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</si>
  <si>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</si>
  <si>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</si>
  <si>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</si>
  <si>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</si>
  <si>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</si>
  <si>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</si>
  <si>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</si>
  <si>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</si>
  <si>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</si>
  <si>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</si>
  <si>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</si>
  <si>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</si>
  <si>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</si>
  <si>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</si>
  <si>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</si>
  <si>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</si>
  <si>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</si>
  <si>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</si>
  <si>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</si>
  <si>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</si>
  <si>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</si>
  <si>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</si>
  <si>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</si>
  <si>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</si>
  <si>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</si>
  <si>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</si>
  <si>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</si>
  <si>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</si>
  <si>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</si>
  <si>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</si>
  <si>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</si>
  <si>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</si>
  <si>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</si>
  <si>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</si>
  <si>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</si>
  <si>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</si>
  <si>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</si>
  <si>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</si>
  <si>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</si>
  <si>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</si>
  <si>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</si>
  <si>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</si>
  <si>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</si>
  <si>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</si>
  <si>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</si>
  <si>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</si>
  <si>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</si>
  <si>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</si>
  <si>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</si>
  <si>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</si>
  <si>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</si>
  <si>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</si>
  <si>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</si>
  <si>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</si>
  <si>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</si>
  <si>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</si>
  <si>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</si>
  <si>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</si>
  <si>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</si>
  <si>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</si>
  <si>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</si>
  <si>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</si>
  <si>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</si>
  <si>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</si>
  <si>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</si>
  <si>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</si>
  <si>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</si>
  <si>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</si>
  <si>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</si>
  <si>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</si>
  <si>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</si>
  <si>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</si>
  <si>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</si>
  <si>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</si>
  <si>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</si>
  <si>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</si>
  <si>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</si>
  <si>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</si>
  <si>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</si>
  <si>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</si>
  <si>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</si>
  <si>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</si>
  <si>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</si>
  <si>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</si>
  <si>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</si>
  <si>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</si>
  <si>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</si>
  <si>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</si>
  <si>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</si>
  <si>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</si>
  <si>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</si>
  <si>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</si>
  <si>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</si>
  <si>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</si>
  <si>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</si>
  <si>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</si>
  <si>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</si>
  <si>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</si>
  <si>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</si>
  <si>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</si>
  <si>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</si>
  <si>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</si>
  <si>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</si>
  <si>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</si>
  <si>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</si>
  <si>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</si>
  <si>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</si>
  <si>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</si>
  <si>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</si>
  <si>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</si>
  <si>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</si>
  <si>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</si>
  <si>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</si>
  <si>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</si>
  <si>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</si>
  <si>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</si>
  <si>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</si>
  <si>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</si>
  <si>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</si>
  <si>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</si>
  <si>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</si>
  <si>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</si>
  <si>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</si>
  <si>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</si>
  <si>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</si>
  <si>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</si>
  <si>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</si>
  <si>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</si>
  <si>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</si>
  <si>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</si>
  <si>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</si>
  <si>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</si>
  <si>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</si>
  <si>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</si>
  <si>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</si>
  <si>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</si>
  <si>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</si>
  <si>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</si>
  <si>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</si>
  <si>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</si>
  <si>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</si>
  <si>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</si>
  <si>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</si>
  <si>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</si>
  <si>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</si>
  <si>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</si>
  <si>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</si>
  <si>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</si>
  <si>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</si>
  <si>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</si>
  <si>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</si>
  <si>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</si>
  <si>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</si>
  <si>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</si>
  <si>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</si>
  <si>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</si>
  <si>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</si>
  <si>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</si>
  <si>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</si>
  <si>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</si>
  <si>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</si>
  <si>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</si>
  <si>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</si>
  <si>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</si>
  <si>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</si>
  <si>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</si>
  <si>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</si>
  <si>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</si>
  <si>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</si>
  <si>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</si>
  <si>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</si>
  <si>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</si>
  <si>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</si>
  <si>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</si>
  <si>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</si>
  <si>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</si>
  <si>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</si>
  <si>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</si>
  <si>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</si>
  <si>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</si>
  <si>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</si>
  <si>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</si>
  <si>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</si>
  <si>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</si>
  <si>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</si>
  <si>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</si>
  <si>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</si>
  <si>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</si>
  <si>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</si>
  <si>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</si>
  <si>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</si>
  <si>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</si>
  <si>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</si>
  <si>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</si>
  <si>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</si>
  <si>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</si>
  <si>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</si>
  <si>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</si>
  <si>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</si>
  <si>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</si>
  <si>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</si>
  <si>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</si>
  <si>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</si>
  <si>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</si>
  <si>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</si>
  <si>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</si>
  <si>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</si>
  <si>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</si>
  <si>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</si>
  <si>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</si>
  <si>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</si>
  <si>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</si>
  <si>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</si>
  <si>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</si>
  <si>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</si>
  <si>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</si>
  <si>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</si>
  <si>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</si>
  <si>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</si>
  <si>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</si>
  <si>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</si>
  <si>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</si>
  <si>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</si>
  <si>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</si>
  <si>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</si>
  <si>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</si>
  <si>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</si>
  <si>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</si>
  <si>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</si>
  <si>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</si>
  <si>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</si>
  <si>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</si>
  <si>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</si>
  <si>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</si>
  <si>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</si>
  <si>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</si>
  <si>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</si>
  <si>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</si>
  <si>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</si>
  <si>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</si>
  <si>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</si>
  <si>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</si>
  <si>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</si>
  <si>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</si>
  <si>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</si>
  <si>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</si>
  <si>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</si>
  <si>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</si>
  <si>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</si>
  <si>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</si>
  <si>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</si>
  <si>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</si>
  <si>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</si>
  <si>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</si>
  <si>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</si>
  <si>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</si>
  <si>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</si>
  <si>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</si>
  <si>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</si>
  <si>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</si>
  <si>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</si>
  <si>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</si>
  <si>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</si>
  <si>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</si>
  <si>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</si>
  <si>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</si>
  <si>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</si>
  <si>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</si>
  <si>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</si>
  <si>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</si>
  <si>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</si>
  <si>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</si>
  <si>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</si>
  <si>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</si>
  <si>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</si>
  <si>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</si>
  <si>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</si>
  <si>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</si>
  <si>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</si>
  <si>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</si>
  <si>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</si>
  <si>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</si>
  <si>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</si>
  <si>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</si>
  <si>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</si>
  <si>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</si>
  <si>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</si>
  <si>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</si>
  <si>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</si>
  <si>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</si>
  <si>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</si>
  <si>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</si>
  <si>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</si>
  <si>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</si>
  <si>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</si>
  <si>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</si>
  <si>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</si>
  <si>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</si>
  <si>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</si>
  <si>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</si>
  <si>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</si>
  <si>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</si>
  <si>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</si>
  <si>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</si>
  <si>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</si>
  <si>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</si>
  <si>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</si>
  <si>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</si>
  <si>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</si>
  <si>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</si>
  <si>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</si>
  <si>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</si>
  <si>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</si>
  <si>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</si>
  <si>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</si>
  <si>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</si>
  <si>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</si>
  <si>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</si>
  <si>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</si>
  <si>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</si>
  <si>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</si>
  <si>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</si>
  <si>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</si>
  <si>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</si>
  <si>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</si>
  <si>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</si>
  <si>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</si>
  <si>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</si>
  <si>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</si>
  <si>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</si>
  <si>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</si>
  <si>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</si>
  <si>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</si>
  <si>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</si>
  <si>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</si>
  <si>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</si>
  <si>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</si>
  <si>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</si>
  <si>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</si>
  <si>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</si>
  <si>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</si>
  <si>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</si>
  <si>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</si>
  <si>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</si>
  <si>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</si>
  <si>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</si>
  <si>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</si>
  <si>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</si>
  <si>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</si>
  <si>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</si>
  <si>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</si>
  <si>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</si>
  <si>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</si>
  <si>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</si>
  <si>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</si>
  <si>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</si>
  <si>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</si>
  <si>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</si>
  <si>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</si>
  <si>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</si>
  <si>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</si>
  <si>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</si>
  <si>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</si>
  <si>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</si>
  <si>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</si>
  <si>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</si>
  <si>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</si>
  <si>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</si>
  <si>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</si>
  <si>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</si>
  <si>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</si>
  <si>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</si>
  <si>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</si>
  <si>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</si>
  <si>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</si>
  <si>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</si>
  <si>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</si>
  <si>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</si>
  <si>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</si>
  <si>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</si>
  <si>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</si>
  <si>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</si>
  <si>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</si>
  <si>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</si>
  <si>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</si>
  <si>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</si>
  <si>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</si>
  <si>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</si>
  <si>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</si>
  <si>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</si>
  <si>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</si>
  <si>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</si>
  <si>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</si>
  <si>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</si>
  <si>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</si>
  <si>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</si>
  <si>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</si>
  <si>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</si>
  <si>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</si>
  <si>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</si>
  <si>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</si>
  <si>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</si>
  <si>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</si>
  <si>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</si>
  <si>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</si>
  <si>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</si>
  <si>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</si>
  <si>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</si>
  <si>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</si>
  <si>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</si>
  <si>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</si>
  <si>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</si>
  <si>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</si>
  <si>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</si>
  <si>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</si>
  <si>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</si>
  <si>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</si>
  <si>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</si>
  <si>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</si>
  <si>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</si>
  <si>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</si>
  <si>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</si>
  <si>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</si>
  <si>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</si>
  <si>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</si>
  <si>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</si>
  <si>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</si>
  <si>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</si>
  <si>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</si>
  <si>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</si>
  <si>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</si>
  <si>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</si>
  <si>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</si>
  <si>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</si>
  <si>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</si>
  <si>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</si>
  <si>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</si>
  <si>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</si>
  <si>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</si>
  <si>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</si>
  <si>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</si>
  <si>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</si>
  <si>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</si>
  <si>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</si>
  <si>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</si>
  <si>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</si>
  <si>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</si>
  <si>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</si>
  <si>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</si>
  <si>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</si>
  <si>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</si>
  <si>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</si>
  <si>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</si>
  <si>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</si>
  <si>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</si>
  <si>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</si>
  <si>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</si>
  <si>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</si>
  <si>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</si>
  <si>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</si>
  <si>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</si>
  <si>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</si>
  <si>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</si>
  <si>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</si>
  <si>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</si>
  <si>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</si>
  <si>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</si>
  <si>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</si>
  <si>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</si>
  <si>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</si>
  <si>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</si>
  <si>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</si>
  <si>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</si>
  <si>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</si>
  <si>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</si>
  <si>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</si>
  <si>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</si>
  <si>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</si>
  <si>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</si>
  <si>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</si>
  <si>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</si>
  <si>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</si>
  <si>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</si>
  <si>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</si>
  <si>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</si>
  <si>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</si>
  <si>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</si>
  <si>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</si>
  <si>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</si>
  <si>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</si>
  <si>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</si>
  <si>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</si>
  <si>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</si>
  <si>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</si>
  <si>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</si>
  <si>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</si>
  <si>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</si>
  <si>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</si>
  <si>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</si>
  <si>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</si>
  <si>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</si>
  <si>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</si>
  <si>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</si>
  <si>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</si>
  <si>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</si>
  <si>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</si>
  <si>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</si>
  <si>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</si>
  <si>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</si>
  <si>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</si>
  <si>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</si>
  <si>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</si>
  <si>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</si>
  <si>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</si>
  <si>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</si>
  <si>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</si>
  <si>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</si>
  <si>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</si>
  <si>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</si>
  <si>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</si>
  <si>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</si>
  <si>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</si>
  <si>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</si>
  <si>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</si>
  <si>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</si>
  <si>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</si>
  <si>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</si>
  <si>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</si>
  <si>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</si>
  <si>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</si>
  <si>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</si>
  <si>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</si>
  <si>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</si>
  <si>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</si>
  <si>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</si>
  <si>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</si>
  <si>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</si>
  <si>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</si>
  <si>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</si>
  <si>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</si>
  <si>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</si>
  <si>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</si>
  <si>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</si>
  <si>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</si>
  <si>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</si>
  <si>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</si>
  <si>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</si>
  <si>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</si>
  <si>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</si>
  <si>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</si>
  <si>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</si>
  <si>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</si>
  <si>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</si>
  <si>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</si>
  <si>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</si>
  <si>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</si>
  <si>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</si>
  <si>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</si>
  <si>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</si>
  <si>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</si>
  <si>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</si>
  <si>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</si>
  <si>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</si>
  <si>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</si>
  <si>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</si>
  <si>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</si>
  <si>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</si>
  <si>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</si>
  <si>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</si>
  <si>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</si>
  <si>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</si>
  <si>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</si>
  <si>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</si>
  <si>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</si>
  <si>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</si>
  <si>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</si>
  <si>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</si>
  <si>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</si>
  <si>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</si>
  <si>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</si>
  <si>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</si>
  <si>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</si>
  <si>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</si>
  <si>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</si>
  <si>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</si>
  <si>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</si>
  <si>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</si>
  <si>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</si>
  <si>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</si>
  <si>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</si>
  <si>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</si>
  <si>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</si>
  <si>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</si>
  <si>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</si>
  <si>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</si>
  <si>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</si>
  <si>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</si>
  <si>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</si>
  <si>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</si>
  <si>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</si>
  <si>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</si>
  <si>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</si>
  <si>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</si>
  <si>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</si>
  <si>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</si>
  <si>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</si>
  <si>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</si>
  <si>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</si>
  <si>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</si>
  <si>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</si>
  <si>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</si>
  <si>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</si>
  <si>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</si>
  <si>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</si>
  <si>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</si>
  <si>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</si>
  <si>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</si>
  <si>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</si>
  <si>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</si>
  <si>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</si>
  <si>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</si>
  <si>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</si>
  <si>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</si>
  <si>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</si>
  <si>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</si>
  <si>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</si>
  <si>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</si>
  <si>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</si>
  <si>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</si>
  <si>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</si>
  <si>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</si>
  <si>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</si>
  <si>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</si>
  <si>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</si>
  <si>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</si>
  <si>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</si>
  <si>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</si>
  <si>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</si>
  <si>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</si>
  <si>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</si>
  <si>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</si>
  <si>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</si>
  <si>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</si>
  <si>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</si>
  <si>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</si>
  <si>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</si>
  <si>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</si>
  <si>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</si>
  <si>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</si>
  <si>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</si>
  <si>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</si>
  <si>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</si>
  <si>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</si>
  <si>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</si>
  <si>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</si>
  <si>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</si>
  <si>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</si>
  <si>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</si>
  <si>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</si>
  <si>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</si>
  <si>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</si>
  <si>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</si>
  <si>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</si>
  <si>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</si>
  <si>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</si>
  <si>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</si>
  <si>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</si>
  <si>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</si>
  <si>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</si>
  <si>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</si>
  <si>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</si>
  <si>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</si>
  <si>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</si>
  <si>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</si>
  <si>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</si>
  <si>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</si>
  <si>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</si>
  <si>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</si>
  <si>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</si>
  <si>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</si>
  <si>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</si>
  <si>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</si>
  <si>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</si>
  <si>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</si>
  <si>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</si>
  <si>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</si>
  <si>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</si>
  <si>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</si>
  <si>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</si>
  <si>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</si>
  <si>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</si>
  <si>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</si>
  <si>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</si>
  <si>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</si>
  <si>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</si>
  <si>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</si>
  <si>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</si>
  <si>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</si>
  <si>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</si>
  <si>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</si>
  <si>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</si>
  <si>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</si>
  <si>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</si>
  <si>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</si>
  <si>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</si>
  <si>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</si>
  <si>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</si>
  <si>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</si>
  <si>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</si>
  <si>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</si>
  <si>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</si>
  <si>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</si>
  <si>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</si>
  <si>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</si>
  <si>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</si>
  <si>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</si>
  <si>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</si>
  <si>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</si>
  <si>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</si>
  <si>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</si>
  <si>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</si>
  <si>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</si>
  <si>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</si>
  <si>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</si>
  <si>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</si>
  <si>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</si>
  <si>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</si>
  <si>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</si>
  <si>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</si>
  <si>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</si>
  <si>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</si>
  <si>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</si>
  <si>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</si>
  <si>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</si>
  <si>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</si>
  <si>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</si>
  <si>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</si>
  <si>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</si>
  <si>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</si>
  <si>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</si>
  <si>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</si>
  <si>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</si>
  <si>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</si>
  <si>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</si>
  <si>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</si>
  <si>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</si>
  <si>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</si>
  <si>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</si>
  <si>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</si>
  <si>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</si>
  <si>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</si>
  <si>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</si>
  <si>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</si>
  <si>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</si>
  <si>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</si>
  <si>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</si>
  <si>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</si>
  <si>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</si>
  <si>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</si>
  <si>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</si>
  <si>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</si>
  <si>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</si>
  <si>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</si>
  <si>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</si>
  <si>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</si>
  <si>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</si>
  <si>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</si>
  <si>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</si>
  <si>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</si>
  <si>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</si>
  <si>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</si>
  <si>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</si>
  <si>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</si>
  <si>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</si>
  <si>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</si>
  <si>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</si>
  <si>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</si>
  <si>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</si>
  <si>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</si>
  <si>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</si>
  <si>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</si>
  <si>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</si>
  <si>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</si>
  <si>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</si>
  <si>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</si>
  <si>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</si>
  <si>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</si>
  <si>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</si>
  <si>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</si>
  <si>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</si>
  <si>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</si>
  <si>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</si>
  <si>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</si>
  <si>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</si>
  <si>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</si>
  <si>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</si>
  <si>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</si>
  <si>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</si>
  <si>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</si>
  <si>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</si>
  <si>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</si>
  <si>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</si>
  <si>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</si>
  <si>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</si>
  <si>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</si>
  <si>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</si>
  <si>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</si>
  <si>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</si>
  <si>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</si>
  <si>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</si>
  <si>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</si>
  <si>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</si>
  <si>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</si>
  <si>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</si>
  <si>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</si>
  <si>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</si>
  <si>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</si>
  <si>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</si>
  <si>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</si>
  <si>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</si>
  <si>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</si>
  <si>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</si>
  <si>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</si>
  <si>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</si>
  <si>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</si>
  <si>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</si>
  <si>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</si>
  <si>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</si>
  <si>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</si>
  <si>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</si>
  <si>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</si>
  <si>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</si>
  <si>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</si>
  <si>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</si>
  <si>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</si>
  <si>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</si>
  <si>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</si>
  <si>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</si>
  <si>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</si>
  <si>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</si>
  <si>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</si>
  <si>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</si>
  <si>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</si>
  <si>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</si>
  <si>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</si>
  <si>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</si>
  <si>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</si>
  <si>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</si>
  <si>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</si>
  <si>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</si>
  <si>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</si>
  <si>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</si>
  <si>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</si>
  <si>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</si>
  <si>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</si>
  <si>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</si>
  <si>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</si>
  <si>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</si>
  <si>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</si>
  <si>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</si>
  <si>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</si>
  <si>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</si>
  <si>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</si>
  <si>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</si>
  <si>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</si>
  <si>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</si>
  <si>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</si>
  <si>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</si>
  <si>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</si>
  <si>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</si>
  <si>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</si>
  <si>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</si>
  <si>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</si>
  <si>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</si>
  <si>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</si>
  <si>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</si>
  <si>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</si>
  <si>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</si>
  <si>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</si>
  <si>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</si>
  <si>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</si>
  <si>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</si>
  <si>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</si>
  <si>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</si>
  <si>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</si>
  <si>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</si>
  <si>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</si>
  <si>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</si>
  <si>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</si>
  <si>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</si>
  <si>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</si>
  <si>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</si>
  <si>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</si>
  <si>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</si>
  <si>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</si>
  <si>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</si>
  <si>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</si>
  <si>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</si>
  <si>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</si>
  <si>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</si>
  <si>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</si>
  <si>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</si>
  <si>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</si>
  <si>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</si>
  <si>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</si>
  <si>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</si>
  <si>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</si>
  <si>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</si>
  <si>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</si>
  <si>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</si>
  <si>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</si>
  <si>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</si>
  <si>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</si>
  <si>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</si>
  <si>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</si>
  <si>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</si>
  <si>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</si>
  <si>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</si>
  <si>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</si>
  <si>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</si>
  <si>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</si>
  <si>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</si>
  <si>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</si>
  <si>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</si>
  <si>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</si>
  <si>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</si>
  <si>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</si>
  <si>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</si>
  <si>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</si>
  <si>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</si>
  <si>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</si>
  <si>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</si>
  <si>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</si>
  <si>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</si>
  <si>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</si>
  <si>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</si>
  <si>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</si>
  <si>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</si>
  <si>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</si>
  <si>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</si>
  <si>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</si>
  <si>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</si>
  <si>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</si>
  <si>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</si>
  <si>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</si>
  <si>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</si>
  <si>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</si>
  <si>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</si>
  <si>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</si>
  <si>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</si>
  <si>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</si>
  <si>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</si>
  <si>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</si>
  <si>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</si>
  <si>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</si>
  <si>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</si>
  <si>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</si>
  <si>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</si>
  <si>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</si>
  <si>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</si>
  <si>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</si>
  <si>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</si>
  <si>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</si>
  <si>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</si>
  <si>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</si>
  <si>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</si>
  <si>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</si>
  <si>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</si>
  <si>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</si>
  <si>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</si>
  <si>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</si>
  <si>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</si>
  <si>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</si>
  <si>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</si>
  <si>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</si>
  <si>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</si>
  <si>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</si>
  <si>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</si>
  <si>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</si>
  <si>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</si>
  <si>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</si>
  <si>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</si>
  <si>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</si>
  <si>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</si>
  <si>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</si>
  <si>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</si>
  <si>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</si>
  <si>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</si>
  <si>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</si>
  <si>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</si>
  <si>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</si>
  <si>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</si>
  <si>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</si>
  <si>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</si>
  <si>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</si>
  <si>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</si>
  <si>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</si>
  <si>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</si>
  <si>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</si>
  <si>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</si>
  <si>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</si>
  <si>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</si>
  <si>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</si>
  <si>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</si>
  <si>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</si>
  <si>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</si>
  <si>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</si>
  <si>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</si>
  <si>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</si>
  <si>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</si>
  <si>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</si>
  <si>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</si>
  <si>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</si>
  <si>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</si>
  <si>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</si>
  <si>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</si>
  <si>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</si>
  <si>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</si>
  <si>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</si>
  <si>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</si>
  <si>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</si>
  <si>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</si>
  <si>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</si>
  <si>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</si>
  <si>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</si>
  <si>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</si>
  <si>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</si>
  <si>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</si>
  <si>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</si>
  <si>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</si>
  <si>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</si>
  <si>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</si>
  <si>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</si>
  <si>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</si>
  <si>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</si>
  <si>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</si>
  <si>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</si>
  <si>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</si>
  <si>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</si>
  <si>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</si>
  <si>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</si>
  <si>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</si>
  <si>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</si>
  <si>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</si>
  <si>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</si>
  <si>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</si>
  <si>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</si>
  <si>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</si>
  <si>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</si>
  <si>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</si>
  <si>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</si>
  <si>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</si>
  <si>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</si>
  <si>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</si>
  <si>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</si>
  <si>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</si>
  <si>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</si>
  <si>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</si>
  <si>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</si>
  <si>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</si>
  <si>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</si>
  <si>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</si>
  <si>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</si>
  <si>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</si>
  <si>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</si>
  <si>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</si>
  <si>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</si>
  <si>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</si>
  <si>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</si>
  <si>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</si>
  <si>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</si>
  <si>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</si>
  <si>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</si>
  <si>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</si>
  <si>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</si>
  <si>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</si>
  <si>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</si>
  <si>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</si>
  <si>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</si>
  <si>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</si>
  <si>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</si>
  <si>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</si>
  <si>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</si>
  <si>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</si>
  <si>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</si>
  <si>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</si>
  <si>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</si>
  <si>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</si>
  <si>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</si>
  <si>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</si>
  <si>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</si>
  <si>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</si>
  <si>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</si>
  <si>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</si>
  <si>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</si>
  <si>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</si>
  <si>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</si>
  <si>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</si>
  <si>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</si>
  <si>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</si>
  <si>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</si>
  <si>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</si>
  <si>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</si>
  <si>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</si>
  <si>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</si>
  <si>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</si>
  <si>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</si>
  <si>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</si>
  <si>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</si>
  <si>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</si>
  <si>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</si>
  <si>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</si>
  <si>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</si>
  <si>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</si>
  <si>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</si>
  <si>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</si>
  <si>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</si>
  <si>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</si>
  <si>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</si>
  <si>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</si>
  <si>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</si>
  <si>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</si>
  <si>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</si>
  <si>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</si>
  <si>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</si>
  <si>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</si>
  <si>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</si>
  <si>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</si>
  <si>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</si>
  <si>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</si>
  <si>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</si>
  <si>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</si>
  <si>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</si>
  <si>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</si>
  <si>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</si>
  <si>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</si>
  <si>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</si>
  <si>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</si>
  <si>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</si>
  <si>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</si>
  <si>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</si>
  <si>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</si>
  <si>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</si>
  <si>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</si>
  <si>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</si>
  <si>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</si>
  <si>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</si>
  <si>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</si>
  <si>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</si>
  <si>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</si>
  <si>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</si>
  <si>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</si>
  <si>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</si>
  <si>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</si>
  <si>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</si>
  <si>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</si>
  <si>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</si>
  <si>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</si>
  <si>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</si>
  <si>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</si>
  <si>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</si>
  <si>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</si>
  <si>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</si>
  <si>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</si>
  <si>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</si>
  <si>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</si>
  <si>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</si>
  <si>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</si>
  <si>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</si>
  <si>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</si>
  <si>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</si>
  <si>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</si>
  <si>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</si>
  <si>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</si>
  <si>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</si>
  <si>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</si>
  <si>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</si>
  <si>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</si>
  <si>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</si>
  <si>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</si>
  <si>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</si>
  <si>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</si>
  <si>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</si>
  <si>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</si>
  <si>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</si>
  <si>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</si>
  <si>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</si>
  <si>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</si>
  <si>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</si>
  <si>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</si>
  <si>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</si>
  <si>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</si>
  <si>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</si>
  <si>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</si>
  <si>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</si>
  <si>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</si>
  <si>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</si>
  <si>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</si>
  <si>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</si>
  <si>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</si>
  <si>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</si>
  <si>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</si>
  <si>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</si>
  <si>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</si>
  <si>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</si>
  <si>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</si>
  <si>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</si>
  <si>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</si>
  <si>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</si>
  <si>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</si>
  <si>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</si>
  <si>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</si>
  <si>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</si>
  <si>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</si>
  <si>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</si>
  <si>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</si>
  <si>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</si>
  <si>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</si>
  <si>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</si>
  <si>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</si>
  <si>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</si>
  <si>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</si>
  <si>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</si>
  <si>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</si>
  <si>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</si>
  <si>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</si>
  <si>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</si>
  <si>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</si>
  <si>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</si>
  <si>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</si>
  <si>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</si>
  <si>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</si>
  <si>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</si>
  <si>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</si>
  <si>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</si>
  <si>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</si>
  <si>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</si>
  <si>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</si>
  <si>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</si>
  <si>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</si>
  <si>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</si>
  <si>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</si>
  <si>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</si>
  <si>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</si>
  <si>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</si>
  <si>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</si>
  <si>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</si>
  <si>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</si>
  <si>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</si>
  <si>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</si>
  <si>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</si>
  <si>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</si>
  <si>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</si>
  <si>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</si>
  <si>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</si>
  <si>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</si>
  <si>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</si>
  <si>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</si>
  <si>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</si>
  <si>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</si>
  <si>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</si>
  <si>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</si>
  <si>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</si>
  <si>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</si>
  <si>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</si>
  <si>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</si>
  <si>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</si>
  <si>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</si>
  <si>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</si>
  <si>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</si>
  <si>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</si>
  <si>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</si>
  <si>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</si>
  <si>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</si>
  <si>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</si>
  <si>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</si>
  <si>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</si>
  <si>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</si>
  <si>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</si>
  <si>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</si>
  <si>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</si>
  <si>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</si>
  <si>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</si>
  <si>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</si>
  <si>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</si>
  <si>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</si>
  <si>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</si>
  <si>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</si>
  <si>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</si>
  <si>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</si>
  <si>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</si>
  <si>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</si>
  <si>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</si>
  <si>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</si>
  <si>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</si>
  <si>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</si>
  <si>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</si>
  <si>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</si>
  <si>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</si>
  <si>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</si>
  <si>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</si>
  <si>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</si>
  <si>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</si>
  <si>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</si>
  <si>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</si>
  <si>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</si>
  <si>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</si>
  <si>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</si>
  <si>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</si>
  <si>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</si>
  <si>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</si>
  <si>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</si>
  <si>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</si>
  <si>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</si>
  <si>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</si>
  <si>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</si>
  <si>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</si>
  <si>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</si>
  <si>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</si>
  <si>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</si>
  <si>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</si>
  <si>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</si>
  <si>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</si>
  <si>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</si>
  <si>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</si>
  <si>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</si>
  <si>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</si>
  <si>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</si>
  <si>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</si>
  <si>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</si>
  <si>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</si>
  <si>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</si>
  <si>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</si>
  <si>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</si>
  <si>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</si>
  <si>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</si>
  <si>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</si>
  <si>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</si>
  <si>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</si>
  <si>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</si>
  <si>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</si>
  <si>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</si>
  <si>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</si>
  <si>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</si>
  <si>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</si>
  <si>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</si>
  <si>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</si>
  <si>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</si>
  <si>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</si>
  <si>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</si>
  <si>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</si>
  <si>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</si>
  <si>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</si>
  <si>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</si>
  <si>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</si>
  <si>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</si>
  <si>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</si>
  <si>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</si>
  <si>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</si>
  <si>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</si>
  <si>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</si>
  <si>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</si>
  <si>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</si>
  <si>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</si>
  <si>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</si>
  <si>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</si>
  <si>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</si>
  <si>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</si>
  <si>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</si>
  <si>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</si>
  <si>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</si>
  <si>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</si>
  <si>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</si>
  <si>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</si>
  <si>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</si>
  <si>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</si>
  <si>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</si>
  <si>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</si>
  <si>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</si>
  <si>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</si>
  <si>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</si>
  <si>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</si>
  <si>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</si>
  <si>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</si>
  <si>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</si>
  <si>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</si>
  <si>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</si>
  <si>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</si>
  <si>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</si>
  <si>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</si>
  <si>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</si>
  <si>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</si>
  <si>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</si>
  <si>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</si>
  <si>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</si>
  <si>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</si>
  <si>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</si>
  <si>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</si>
  <si>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</si>
  <si>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</si>
  <si>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</si>
  <si>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</si>
  <si>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</si>
  <si>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</si>
  <si>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</si>
  <si>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</si>
  <si>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</si>
  <si>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</si>
  <si>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</si>
  <si>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</si>
  <si>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</si>
  <si>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</si>
  <si>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</si>
  <si>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</si>
  <si>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</si>
  <si>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</si>
  <si>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</si>
  <si>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</si>
  <si>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</si>
  <si>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</si>
  <si>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</si>
  <si>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</si>
  <si>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</si>
  <si>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</si>
  <si>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</si>
  <si>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</si>
  <si>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</si>
  <si>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</si>
  <si>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</si>
  <si>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</si>
  <si>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</si>
  <si>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</si>
  <si>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</si>
  <si>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</si>
  <si>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</si>
  <si>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</si>
  <si>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</si>
  <si>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</si>
  <si>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</si>
  <si>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</si>
  <si>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</si>
  <si>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</si>
  <si>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</si>
  <si>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</si>
  <si>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</si>
  <si>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</si>
  <si>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</si>
  <si>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</si>
  <si>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</si>
  <si>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</si>
  <si>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</si>
  <si>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</si>
  <si>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</si>
  <si>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</si>
  <si>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</si>
  <si>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</si>
  <si>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</si>
  <si>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</si>
  <si>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</si>
  <si>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</si>
  <si>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</si>
  <si>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</si>
  <si>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</si>
  <si>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</si>
  <si>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</si>
  <si>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</si>
  <si>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</si>
  <si>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</si>
  <si>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</si>
  <si>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</si>
  <si>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</si>
  <si>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</si>
  <si>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</si>
  <si>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</si>
  <si>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</si>
  <si>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</si>
  <si>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</si>
  <si>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</si>
  <si>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</si>
  <si>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</si>
  <si>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</si>
  <si>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</si>
  <si>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</si>
  <si>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</si>
  <si>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</si>
  <si>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</si>
  <si>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</si>
  <si>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</si>
  <si>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</si>
  <si>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</si>
  <si>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</si>
  <si>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</si>
  <si>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</si>
  <si>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</si>
  <si>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</si>
  <si>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</si>
  <si>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</si>
  <si>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</si>
  <si>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</si>
  <si>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</si>
  <si>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</si>
  <si>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</si>
  <si>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</si>
  <si>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</si>
  <si>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</si>
  <si>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</si>
  <si>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</si>
  <si>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</si>
  <si>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</si>
  <si>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</si>
  <si>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</si>
  <si>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</si>
  <si>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</si>
  <si>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</si>
  <si>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</si>
  <si>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</si>
  <si>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</si>
  <si>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</si>
  <si>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</si>
  <si>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</si>
  <si>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</si>
  <si>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</si>
  <si>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</si>
  <si>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</si>
  <si>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</si>
  <si>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</si>
  <si>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</si>
  <si>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</si>
  <si>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</si>
  <si>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</si>
  <si>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</si>
  <si>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</si>
  <si>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</si>
  <si>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</si>
  <si>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</si>
  <si>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</si>
  <si>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</si>
  <si>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</si>
  <si>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</si>
  <si>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</si>
  <si>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</si>
  <si>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</si>
  <si>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</si>
  <si>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</si>
  <si>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</si>
  <si>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</si>
  <si>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</si>
  <si>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</si>
  <si>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</si>
  <si>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</si>
  <si>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</si>
  <si>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</si>
  <si>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</si>
  <si>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</si>
  <si>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</si>
  <si>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</si>
  <si>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</si>
  <si>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</si>
  <si>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</si>
  <si>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</si>
  <si>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</si>
  <si>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</si>
  <si>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</si>
  <si>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</si>
  <si>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</si>
  <si>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</si>
  <si>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</si>
  <si>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</si>
  <si>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</si>
  <si>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</si>
  <si>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</si>
  <si>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</si>
  <si>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</si>
  <si>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</si>
  <si>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</si>
  <si>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</si>
  <si>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</si>
  <si>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</si>
  <si>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</si>
  <si>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</si>
  <si>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</si>
  <si>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</si>
  <si>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</si>
  <si>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</si>
  <si>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</si>
  <si>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</si>
  <si>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</si>
  <si>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</si>
  <si>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</si>
  <si>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</si>
  <si>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</si>
  <si>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</si>
  <si>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</si>
  <si>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</si>
  <si>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</si>
  <si>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</si>
  <si>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</si>
  <si>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</si>
  <si>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</si>
  <si>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</si>
  <si>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</si>
  <si>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</si>
  <si>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</si>
  <si>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</si>
  <si>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</si>
  <si>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</si>
  <si>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</si>
  <si>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</si>
  <si>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</si>
  <si>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</si>
  <si>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</si>
  <si>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</si>
  <si>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</si>
  <si>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</si>
  <si>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</si>
  <si>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</si>
  <si>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</si>
  <si>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</si>
  <si>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</si>
  <si>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</si>
  <si>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</si>
  <si>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</si>
  <si>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</si>
  <si>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</si>
  <si>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</si>
  <si>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</si>
  <si>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</si>
  <si>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</si>
  <si>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</si>
  <si>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</si>
  <si>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</si>
  <si>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</si>
  <si>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</si>
  <si>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</si>
  <si>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</si>
  <si>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</si>
  <si>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</si>
  <si>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</si>
  <si>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</si>
  <si>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</si>
  <si>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</si>
  <si>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</si>
  <si>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</si>
  <si>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</si>
  <si>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</si>
  <si>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</si>
  <si>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</si>
  <si>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</si>
  <si>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</si>
  <si>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</si>
  <si>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</si>
  <si>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</si>
  <si>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</si>
  <si>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</si>
  <si>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</si>
  <si>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</si>
  <si>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</si>
  <si>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</si>
  <si>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</si>
  <si>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</si>
  <si>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</si>
  <si>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</si>
  <si>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</si>
  <si>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</si>
  <si>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</si>
  <si>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</si>
  <si>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</si>
  <si>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</si>
  <si>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</si>
  <si>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</si>
  <si>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</si>
  <si>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</si>
  <si>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</si>
  <si>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</si>
  <si>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</si>
  <si>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</si>
  <si>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</si>
  <si>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</si>
  <si>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</si>
  <si>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</si>
  <si>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</si>
  <si>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</si>
  <si>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</si>
  <si>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</si>
  <si>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</si>
  <si>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</si>
  <si>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</si>
  <si>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</si>
  <si>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</si>
  <si>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</si>
  <si>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</si>
  <si>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</si>
  <si>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</si>
  <si>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</si>
  <si>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</si>
  <si>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</si>
  <si>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</si>
  <si>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</si>
  <si>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</si>
  <si>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</si>
  <si>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</si>
  <si>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</si>
  <si>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</si>
  <si>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</si>
  <si>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</si>
  <si>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</si>
  <si>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</si>
  <si>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</si>
  <si>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</si>
  <si>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</si>
  <si>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</si>
  <si>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</si>
  <si>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</si>
  <si>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</si>
  <si>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</si>
  <si>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</si>
  <si>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</si>
  <si>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</si>
  <si>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</si>
  <si>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</si>
  <si>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</si>
  <si>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</si>
  <si>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</si>
  <si>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</si>
  <si>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</si>
  <si>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</si>
  <si>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</si>
  <si>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</si>
  <si>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</si>
  <si>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</si>
  <si>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</si>
  <si>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</si>
  <si>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</si>
  <si>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</si>
  <si>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</si>
  <si>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</si>
  <si>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</si>
  <si>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</si>
  <si>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</si>
  <si>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</si>
  <si>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</si>
  <si>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</si>
  <si>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</si>
  <si>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</si>
  <si>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</si>
  <si>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</si>
  <si>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</si>
  <si>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</si>
  <si>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</si>
  <si>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</si>
  <si>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</si>
  <si>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</si>
  <si>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</si>
  <si>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</si>
  <si>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</si>
  <si>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</si>
  <si>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</si>
  <si>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</si>
  <si>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</si>
  <si>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</si>
  <si>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</si>
  <si>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</si>
  <si>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</si>
  <si>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</si>
  <si>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</si>
  <si>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</si>
  <si>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</si>
  <si>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</si>
  <si>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</si>
  <si>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</si>
  <si>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</si>
  <si>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</si>
  <si>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</si>
  <si>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</si>
  <si>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</si>
  <si>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</si>
  <si>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</si>
  <si>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</si>
  <si>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</si>
  <si>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</si>
  <si>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</si>
  <si>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</si>
  <si>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</si>
  <si>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</si>
  <si>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</si>
  <si>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</si>
  <si>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</si>
  <si>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</si>
  <si>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</si>
  <si>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</si>
  <si>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</si>
  <si>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</si>
  <si>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</si>
  <si>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</si>
  <si>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</si>
  <si>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</si>
  <si>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</si>
  <si>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</si>
  <si>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</si>
  <si>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</si>
  <si>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</si>
  <si>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</si>
  <si>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</si>
  <si>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</si>
  <si>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</si>
  <si>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</si>
  <si>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</si>
  <si>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</si>
  <si>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</si>
  <si>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</si>
  <si>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</si>
  <si>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</si>
  <si>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</si>
  <si>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</si>
  <si>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</si>
  <si>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</si>
  <si>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</si>
  <si>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</si>
  <si>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</si>
  <si>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</si>
  <si>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</si>
  <si>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</si>
  <si>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</si>
  <si>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</si>
  <si>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</si>
  <si>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</si>
  <si>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</si>
  <si>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</si>
  <si>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</si>
  <si>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</si>
  <si>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</si>
  <si>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</si>
  <si>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</si>
  <si>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</si>
  <si>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</si>
  <si>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</si>
  <si>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</si>
  <si>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</si>
  <si>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</si>
  <si>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</si>
  <si>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</si>
  <si>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</si>
  <si>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</si>
  <si>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</si>
  <si>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</si>
  <si>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</si>
  <si>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</si>
  <si>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</si>
  <si>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</si>
  <si>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</si>
  <si>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</si>
  <si>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</si>
  <si>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</si>
  <si>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</si>
  <si>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</si>
  <si>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</si>
  <si>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</si>
  <si>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</si>
  <si>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</si>
  <si>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</si>
  <si>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</si>
  <si>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</si>
  <si>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</si>
  <si>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</si>
  <si>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</si>
  <si>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</si>
  <si>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</si>
  <si>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</si>
  <si>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</si>
  <si>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</si>
  <si>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</si>
  <si>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</si>
  <si>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</si>
  <si>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</si>
  <si>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</si>
  <si>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</si>
  <si>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</si>
  <si>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</si>
  <si>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</si>
  <si>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</si>
  <si>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</si>
  <si>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</si>
  <si>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</si>
  <si>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</si>
  <si>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</si>
  <si>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</si>
  <si>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</si>
  <si>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</si>
  <si>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</si>
  <si>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</si>
  <si>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</si>
  <si>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</si>
  <si>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</si>
  <si>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</si>
  <si>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</si>
  <si>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</si>
  <si>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</si>
  <si>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</si>
  <si>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</si>
  <si>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</si>
  <si>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</si>
  <si>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</si>
  <si>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</si>
  <si>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</si>
  <si>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</si>
  <si>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</si>
  <si>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</si>
  <si>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</si>
  <si>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</si>
  <si>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</si>
  <si>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</si>
  <si>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</si>
  <si>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</si>
  <si>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</si>
  <si>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</si>
  <si>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</si>
  <si>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</si>
  <si>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</si>
  <si>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</si>
  <si>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</si>
  <si>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</si>
  <si>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</si>
  <si>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</si>
  <si>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</si>
  <si>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</si>
  <si>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</si>
  <si>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</si>
  <si>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</si>
  <si>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</si>
  <si>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</si>
  <si>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</si>
  <si>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</si>
  <si>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</si>
  <si>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</si>
  <si>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</si>
  <si>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</si>
  <si>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</si>
  <si>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</si>
  <si>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</si>
  <si>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</si>
  <si>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</si>
  <si>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</si>
  <si>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</si>
  <si>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</si>
  <si>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</si>
  <si>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</si>
  <si>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</si>
  <si>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</si>
  <si>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</si>
  <si>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</si>
  <si>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</si>
  <si>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</si>
  <si>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</si>
  <si>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</si>
  <si>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</si>
  <si>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</si>
  <si>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</si>
  <si>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</si>
  <si>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</si>
  <si>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</si>
  <si>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</si>
  <si>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</si>
  <si>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</si>
  <si>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</si>
  <si>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</si>
  <si>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</si>
  <si>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</si>
  <si>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</si>
  <si>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</si>
  <si>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</si>
  <si>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</si>
  <si>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</si>
  <si>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</si>
  <si>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</si>
  <si>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</si>
  <si>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</si>
  <si>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</si>
  <si>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</si>
  <si>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</si>
  <si>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</si>
  <si>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</si>
  <si>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</si>
  <si>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</si>
  <si>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</si>
  <si>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</si>
  <si>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</si>
  <si>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</si>
  <si>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</si>
  <si>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</si>
  <si>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</si>
  <si>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</si>
  <si>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</si>
  <si>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</si>
  <si>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</si>
  <si>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</si>
  <si>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</si>
  <si>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</si>
  <si>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</si>
  <si>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</si>
  <si>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</si>
  <si>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</si>
  <si>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</si>
  <si>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</si>
  <si>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</si>
  <si>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</si>
  <si>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</si>
  <si>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</si>
  <si>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</si>
  <si>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</si>
  <si>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</si>
  <si>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</si>
  <si>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</si>
  <si>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</si>
  <si>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</si>
  <si>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</si>
  <si>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</si>
  <si>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</si>
  <si>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</si>
  <si>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</si>
  <si>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</si>
  <si>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</si>
  <si>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</si>
  <si>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</si>
  <si>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</si>
  <si>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</si>
  <si>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</si>
  <si>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</si>
  <si>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</si>
  <si>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</si>
  <si>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</si>
  <si>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</si>
  <si>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</si>
  <si>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</si>
  <si>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</si>
  <si>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</si>
  <si>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</si>
  <si>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</si>
  <si>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</si>
  <si>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</si>
  <si>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</si>
  <si>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</si>
  <si>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</si>
  <si>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</si>
  <si>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</si>
  <si>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</si>
  <si>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</si>
  <si>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</si>
  <si>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</si>
  <si>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</si>
  <si>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</si>
  <si>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</si>
  <si>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</si>
  <si>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</si>
  <si>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</si>
  <si>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</si>
  <si>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</si>
  <si>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</si>
  <si>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</si>
  <si>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</si>
  <si>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</si>
  <si>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</si>
  <si>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</si>
  <si>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</si>
  <si>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</si>
  <si>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</si>
  <si>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</si>
  <si>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</si>
  <si>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</si>
  <si>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</si>
  <si>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</si>
  <si>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</si>
  <si>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</si>
  <si>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</si>
  <si>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</si>
  <si>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</si>
  <si>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</si>
  <si>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</si>
  <si>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</si>
  <si>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</si>
  <si>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</si>
  <si>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</si>
  <si>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</si>
  <si>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</si>
  <si>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</si>
  <si>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</si>
  <si>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</si>
  <si>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</si>
  <si>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</si>
  <si>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</si>
  <si>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</si>
  <si>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</si>
  <si>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</si>
  <si>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</si>
  <si>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</si>
  <si>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</si>
  <si>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</si>
  <si>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</si>
  <si>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</si>
  <si>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</si>
  <si>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</si>
  <si>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</si>
  <si>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</si>
  <si>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</si>
  <si>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</si>
  <si>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</si>
  <si>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</si>
  <si>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</si>
  <si>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</si>
  <si>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</si>
  <si>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</si>
  <si>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</si>
  <si>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</si>
  <si>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</si>
  <si>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</si>
  <si>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</si>
  <si>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</si>
  <si>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</si>
  <si>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</si>
  <si>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</si>
  <si>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</si>
  <si>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</si>
  <si>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</si>
  <si>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</si>
  <si>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</si>
  <si>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</si>
  <si>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</si>
  <si>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</si>
  <si>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</si>
  <si>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</si>
  <si>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</si>
  <si>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</si>
  <si>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</si>
  <si>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</si>
  <si>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</si>
  <si>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</si>
  <si>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</si>
  <si>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</si>
  <si>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</si>
  <si>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</si>
  <si>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</si>
  <si>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</si>
  <si>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</si>
  <si>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</si>
  <si>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</si>
  <si>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</si>
  <si>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</si>
  <si>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</si>
  <si>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</si>
  <si>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</si>
  <si>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</si>
  <si>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</si>
  <si>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</si>
  <si>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</si>
  <si>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</si>
  <si>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</si>
  <si>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</si>
  <si>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</si>
  <si>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</si>
  <si>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</si>
  <si>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</si>
  <si>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</si>
  <si>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</si>
  <si>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</si>
  <si>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</si>
  <si>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</si>
  <si>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</si>
  <si>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</si>
  <si>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</si>
  <si>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</si>
  <si>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</si>
  <si>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</si>
  <si>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</si>
  <si>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</si>
  <si>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</si>
  <si>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</si>
  <si>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</si>
  <si>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</si>
  <si>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</si>
  <si>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</si>
  <si>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</si>
  <si>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</si>
  <si>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</si>
  <si>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</si>
  <si>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</si>
  <si>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</si>
  <si>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</si>
  <si>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</si>
  <si>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</si>
  <si>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</si>
  <si>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</si>
  <si>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</si>
  <si>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</si>
  <si>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</si>
  <si>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</si>
  <si>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</si>
  <si>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</si>
  <si>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</si>
  <si>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</si>
  <si>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</si>
  <si>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</si>
  <si>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</si>
  <si>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</si>
  <si>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</si>
  <si>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</si>
  <si>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</si>
  <si>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</si>
  <si>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</si>
  <si>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</si>
  <si>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</si>
  <si>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</si>
  <si>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</si>
  <si>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</si>
  <si>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</si>
  <si>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</si>
  <si>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</si>
  <si>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</si>
  <si>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</si>
  <si>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</si>
  <si>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</si>
  <si>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</si>
  <si>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</si>
  <si>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</si>
  <si>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</si>
  <si>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</si>
  <si>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</si>
  <si>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</si>
  <si>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</si>
  <si>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</si>
  <si>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</si>
  <si>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</si>
  <si>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</si>
  <si>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</si>
  <si>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</si>
  <si>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</si>
  <si>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</si>
  <si>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</si>
  <si>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</si>
  <si>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</si>
  <si>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</si>
  <si>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</si>
  <si>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</si>
  <si>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</si>
  <si>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</si>
  <si>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</si>
  <si>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</si>
  <si>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</si>
  <si>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</si>
  <si>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</si>
  <si>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</si>
  <si>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</si>
  <si>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</si>
  <si>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</si>
  <si>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</si>
  <si>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</si>
  <si>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</si>
  <si>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</si>
  <si>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</si>
  <si>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</si>
  <si>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</si>
  <si>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</si>
  <si>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</si>
  <si>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</si>
  <si>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</si>
  <si>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</si>
  <si>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</si>
  <si>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</si>
  <si>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</si>
  <si>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</si>
  <si>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</si>
  <si>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</si>
  <si>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</si>
  <si>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</si>
  <si>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</si>
  <si>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</si>
  <si>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</si>
  <si>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</si>
  <si>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</si>
  <si>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</si>
  <si>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</si>
  <si>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</si>
  <si>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</si>
  <si>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</si>
  <si>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</si>
  <si>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</si>
  <si>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</si>
  <si>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</si>
  <si>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</si>
  <si>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</si>
  <si>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</si>
  <si>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</si>
  <si>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</si>
  <si>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</si>
  <si>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</si>
  <si>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</si>
  <si>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</si>
  <si>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</si>
  <si>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</si>
  <si>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</si>
  <si>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</si>
  <si>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</si>
  <si>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</si>
  <si>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</si>
  <si>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</si>
  <si>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</si>
  <si>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</si>
  <si>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</si>
  <si>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</si>
  <si>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</si>
  <si>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</si>
  <si>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</si>
  <si>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</si>
  <si>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</si>
  <si>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</si>
  <si>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</si>
  <si>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</si>
  <si>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</si>
  <si>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</si>
  <si>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</si>
  <si>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</si>
  <si>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</si>
  <si>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</si>
  <si>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</si>
  <si>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</si>
  <si>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</si>
  <si>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</si>
  <si>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</si>
  <si>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</si>
  <si>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</si>
  <si>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</si>
  <si>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</si>
  <si>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</si>
  <si>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</si>
  <si>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</si>
  <si>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</si>
  <si>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</si>
  <si>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</si>
  <si>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</si>
  <si>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</si>
  <si>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</si>
  <si>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</si>
  <si>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</si>
  <si>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</si>
  <si>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</si>
  <si>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</si>
  <si>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</si>
  <si>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</si>
  <si>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</si>
  <si>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</si>
  <si>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</si>
  <si>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</si>
  <si>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</si>
  <si>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</si>
  <si>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</si>
  <si>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</si>
  <si>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</si>
  <si>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</si>
  <si>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</si>
  <si>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</si>
  <si>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</si>
  <si>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</si>
  <si>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</si>
  <si>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</si>
  <si>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</si>
  <si>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</si>
  <si>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</si>
  <si>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</si>
  <si>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</si>
  <si>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</si>
  <si>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</si>
  <si>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</si>
  <si>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</si>
  <si>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</si>
  <si>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</si>
  <si>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</si>
  <si>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</si>
  <si>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</si>
  <si>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</si>
  <si>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</si>
  <si>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</si>
  <si>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</si>
  <si>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</si>
  <si>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</si>
  <si>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</si>
  <si>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</si>
  <si>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</si>
  <si>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</si>
  <si>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</si>
  <si>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</si>
  <si>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</si>
  <si>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</si>
  <si>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</si>
  <si>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</si>
  <si>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</si>
  <si>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</si>
  <si>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</si>
  <si>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</si>
  <si>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</si>
  <si>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</si>
  <si>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</si>
  <si>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</si>
  <si>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</si>
  <si>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</si>
  <si>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</si>
  <si>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</si>
  <si>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</si>
  <si>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</si>
  <si>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</si>
  <si>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</si>
  <si>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</si>
  <si>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</si>
  <si>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</si>
  <si>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</si>
  <si>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</si>
  <si>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</si>
  <si>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</si>
  <si>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</si>
  <si>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</si>
  <si>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</si>
  <si>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</si>
  <si>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</si>
  <si>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</si>
  <si>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</si>
  <si>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</si>
  <si>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</si>
  <si>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</si>
  <si>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</si>
  <si>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</si>
  <si>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</si>
  <si>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</si>
  <si>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</si>
  <si>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</si>
  <si>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</si>
  <si>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</si>
  <si>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</si>
  <si>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</si>
  <si>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</si>
  <si>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</si>
  <si>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</si>
  <si>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</si>
  <si>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</si>
  <si>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</si>
  <si>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</si>
  <si>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</si>
  <si>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</si>
  <si>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</si>
  <si>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</si>
  <si>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</si>
  <si>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</si>
  <si>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</si>
  <si>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</si>
  <si>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</si>
  <si>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</si>
  <si>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</si>
  <si>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</si>
  <si>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</si>
  <si>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</si>
  <si>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</si>
  <si>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</si>
  <si>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</si>
  <si>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</si>
  <si>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</si>
  <si>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</si>
  <si>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</si>
  <si>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</si>
  <si>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</si>
  <si>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</si>
  <si>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</si>
  <si>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</si>
  <si>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</si>
  <si>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</si>
  <si>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</si>
  <si>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</si>
  <si>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</si>
  <si>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</si>
  <si>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</si>
  <si>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</si>
  <si>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</si>
  <si>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</si>
  <si>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</si>
  <si>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</si>
  <si>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</si>
  <si>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</si>
  <si>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</si>
  <si>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</si>
  <si>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</si>
  <si>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</si>
  <si>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</si>
  <si>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</si>
  <si>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</si>
  <si>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</si>
  <si>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</si>
  <si>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</si>
  <si>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</si>
  <si>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</si>
  <si>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</si>
  <si>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</si>
  <si>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</si>
  <si>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</si>
  <si>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</si>
  <si>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</si>
  <si>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</si>
  <si>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</si>
  <si>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</si>
  <si>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</si>
  <si>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</si>
  <si>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</si>
  <si>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</si>
  <si>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</si>
  <si>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</si>
  <si>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</si>
  <si>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</si>
  <si>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</si>
  <si>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</si>
  <si>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</si>
  <si>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</si>
  <si>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</si>
  <si>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</si>
  <si>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</si>
  <si>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</si>
  <si>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</si>
  <si>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</si>
  <si>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</si>
  <si>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</si>
  <si>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</si>
  <si>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</si>
  <si>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</si>
  <si>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</si>
  <si>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</si>
  <si>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</si>
  <si>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</si>
  <si>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</si>
  <si>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</si>
  <si>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</si>
  <si>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</si>
  <si>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</si>
  <si>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</si>
  <si>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</si>
  <si>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</si>
  <si>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</si>
  <si>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</si>
  <si>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</si>
  <si>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</si>
  <si>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</si>
  <si>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</si>
  <si>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</si>
  <si>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</si>
  <si>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</si>
  <si>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</si>
  <si>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</si>
  <si>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</si>
  <si>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</si>
  <si>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</si>
  <si>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</si>
  <si>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</si>
  <si>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</si>
  <si>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</si>
  <si>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</si>
  <si>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</si>
  <si>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</si>
  <si>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</si>
  <si>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</si>
  <si>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</si>
  <si>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</si>
  <si>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</si>
  <si>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</si>
  <si>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</si>
  <si>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</si>
  <si>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</si>
  <si>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</si>
  <si>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</si>
  <si>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</si>
  <si>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</si>
  <si>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</si>
  <si>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</si>
  <si>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</si>
  <si>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</si>
  <si>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</si>
  <si>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</si>
  <si>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</si>
  <si>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</si>
  <si>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</si>
  <si>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</si>
  <si>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</si>
  <si>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</si>
  <si>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</si>
  <si>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</si>
  <si>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</si>
  <si>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</si>
  <si>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</si>
  <si>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</si>
  <si>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</si>
  <si>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</si>
  <si>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</si>
  <si>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</si>
  <si>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</si>
  <si>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</si>
  <si>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</si>
  <si>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</si>
  <si>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</si>
  <si>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</si>
  <si>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</si>
  <si>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</si>
  <si>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</si>
  <si>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</si>
  <si>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</si>
  <si>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</si>
  <si>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</si>
  <si>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</si>
  <si>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</si>
  <si>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</si>
  <si>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</si>
  <si>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</si>
  <si>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</si>
  <si>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</si>
  <si>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</si>
  <si>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</si>
  <si>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</si>
  <si>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</si>
  <si>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</si>
  <si>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</si>
  <si>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</si>
  <si>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</si>
  <si>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</si>
  <si>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</si>
  <si>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</si>
  <si>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</si>
  <si>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</si>
  <si>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</si>
  <si>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</si>
  <si>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</si>
  <si>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</si>
  <si>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</si>
  <si>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</si>
  <si>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</si>
  <si>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</si>
  <si>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</si>
  <si>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</si>
  <si>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</si>
  <si>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</si>
  <si>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</si>
  <si>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</si>
  <si>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</si>
  <si>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</si>
  <si>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</si>
  <si>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</si>
  <si>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</si>
  <si>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</si>
  <si>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</si>
  <si>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</si>
  <si>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</si>
  <si>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</si>
  <si>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</si>
  <si>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</si>
  <si>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</si>
  <si>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</si>
  <si>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</si>
  <si>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</si>
  <si>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</si>
  <si>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</si>
  <si>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</si>
  <si>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</si>
  <si>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</si>
  <si>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</si>
  <si>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</si>
  <si>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</si>
  <si>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</si>
  <si>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</si>
  <si>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</si>
  <si>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</si>
  <si>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</si>
  <si>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</si>
  <si>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</si>
  <si>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</si>
  <si>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</si>
  <si>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</si>
  <si>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</si>
  <si>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</si>
  <si>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</si>
  <si>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</si>
  <si>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</si>
  <si>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</si>
  <si>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</si>
  <si>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</si>
  <si>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</si>
  <si>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</si>
  <si>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</si>
  <si>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</si>
  <si>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</si>
  <si>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</si>
  <si>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</si>
  <si>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</si>
  <si>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</si>
  <si>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</si>
  <si>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</si>
  <si>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</si>
  <si>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</si>
  <si>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</si>
  <si>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</si>
  <si>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</si>
  <si>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</si>
  <si>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</si>
  <si>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</si>
  <si>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</si>
  <si>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</si>
  <si>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</si>
  <si>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</si>
  <si>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</si>
  <si>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</si>
  <si>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</si>
  <si>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</si>
  <si>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</si>
  <si>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</si>
  <si>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</si>
  <si>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</si>
  <si>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</si>
  <si>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</si>
  <si>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</si>
  <si>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</si>
  <si>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</si>
  <si>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</si>
  <si>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</si>
  <si>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</si>
  <si>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</si>
  <si>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</si>
  <si>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</si>
  <si>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</si>
  <si>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</si>
  <si>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</si>
  <si>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</si>
  <si>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</si>
  <si>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</si>
  <si>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</si>
  <si>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</si>
  <si>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</si>
  <si>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</si>
  <si>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</si>
  <si>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</si>
  <si>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</si>
  <si>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</si>
  <si>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</si>
  <si>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</si>
  <si>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</si>
  <si>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</si>
  <si>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</si>
  <si>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</si>
  <si>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</si>
  <si>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</si>
  <si>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</si>
  <si>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</si>
  <si>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</si>
  <si>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</si>
  <si>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</si>
  <si>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</si>
  <si>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</si>
  <si>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</si>
  <si>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</si>
  <si>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</si>
  <si>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</si>
  <si>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</si>
  <si>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</si>
  <si>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</si>
  <si>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</si>
  <si>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</si>
  <si>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</si>
  <si>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</si>
  <si>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</si>
  <si>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</si>
  <si>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</si>
  <si>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</si>
  <si>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</si>
  <si>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</si>
  <si>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</si>
  <si>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</si>
  <si>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</si>
  <si>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</si>
  <si>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</si>
  <si>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</si>
  <si>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</si>
  <si>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</si>
  <si>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</si>
  <si>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</si>
  <si>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</si>
  <si>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</si>
  <si>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</si>
  <si>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</si>
  <si>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</si>
  <si>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</si>
  <si>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</si>
  <si>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</si>
  <si>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</si>
  <si>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</si>
  <si>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</si>
  <si>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</si>
  <si>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</si>
  <si>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</si>
  <si>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</si>
  <si>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</si>
  <si>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</si>
  <si>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</si>
  <si>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</si>
  <si>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</si>
  <si>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</si>
  <si>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</si>
  <si>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</si>
  <si>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</si>
  <si>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</si>
  <si>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</si>
  <si>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</si>
  <si>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</si>
  <si>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</si>
  <si>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</si>
  <si>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</si>
  <si>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</si>
  <si>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</si>
  <si>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</si>
  <si>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</si>
  <si>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</si>
  <si>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</si>
  <si>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</si>
  <si>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</si>
  <si>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</si>
  <si>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</si>
  <si>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</si>
  <si>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</si>
  <si>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</si>
  <si>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</si>
  <si>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</si>
  <si>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</si>
  <si>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</si>
  <si>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</si>
  <si>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</si>
  <si>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</si>
  <si>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</si>
  <si>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</si>
  <si>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</si>
  <si>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</si>
  <si>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</si>
  <si>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</si>
  <si>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</si>
  <si>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</si>
  <si>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</si>
  <si>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</si>
  <si>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</si>
  <si>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</si>
  <si>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</si>
  <si>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</si>
  <si>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</si>
  <si>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</si>
  <si>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</si>
  <si>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</si>
  <si>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</si>
  <si>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</si>
  <si>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</si>
  <si>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</si>
  <si>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</si>
  <si>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</si>
  <si>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</si>
  <si>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</si>
  <si>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</si>
  <si>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</si>
  <si>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</si>
  <si>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</si>
  <si>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</si>
  <si>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</si>
  <si>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</si>
  <si>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</si>
  <si>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</si>
  <si>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</si>
  <si>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</si>
  <si>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</si>
  <si>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</si>
  <si>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</si>
  <si>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</si>
  <si>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</si>
  <si>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</si>
  <si>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</si>
  <si>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</si>
  <si>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</si>
  <si>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</si>
  <si>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</si>
  <si>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</si>
  <si>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</si>
  <si>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</si>
  <si>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</si>
  <si>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</si>
  <si>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</si>
  <si>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</si>
  <si>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</si>
  <si>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</si>
  <si>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</si>
  <si>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</si>
  <si>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</si>
  <si>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</si>
  <si>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</si>
  <si>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</si>
  <si>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</si>
  <si>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</si>
  <si>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</si>
  <si>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</si>
  <si>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</si>
  <si>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</si>
  <si>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</si>
  <si>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</si>
  <si>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</si>
  <si>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</si>
  <si>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</si>
  <si>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</si>
  <si>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</si>
  <si>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</si>
  <si>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</si>
  <si>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</si>
  <si>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</si>
  <si>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</si>
  <si>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</si>
  <si>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</si>
  <si>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</si>
  <si>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</si>
  <si>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</si>
  <si>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</si>
  <si>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</si>
  <si>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</si>
  <si>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</si>
  <si>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</si>
  <si>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</si>
  <si>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</si>
  <si>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</si>
  <si>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</si>
  <si>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</si>
  <si>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</si>
  <si>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</si>
  <si>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</si>
  <si>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</si>
  <si>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</si>
  <si>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</si>
  <si>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</si>
  <si>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</si>
  <si>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</si>
  <si>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</si>
  <si>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</si>
  <si>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</si>
  <si>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</si>
  <si>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</si>
  <si>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</si>
  <si>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</si>
  <si>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</si>
  <si>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</si>
  <si>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</si>
  <si>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</si>
  <si>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</si>
  <si>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</si>
  <si>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</si>
  <si>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</si>
  <si>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</si>
  <si>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</si>
  <si>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</si>
  <si>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</si>
  <si>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</si>
  <si>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</si>
  <si>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</si>
  <si>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</si>
  <si>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</si>
  <si>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</si>
  <si>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</si>
  <si>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</si>
  <si>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</si>
  <si>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</si>
  <si>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</si>
  <si>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</si>
  <si>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</si>
  <si>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</si>
  <si>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</si>
  <si>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</si>
  <si>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</si>
  <si>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</si>
  <si>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</si>
  <si>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</si>
  <si>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</si>
  <si>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</si>
  <si>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</si>
  <si>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</si>
  <si>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</si>
  <si>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</si>
  <si>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</si>
  <si>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</si>
  <si>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</si>
  <si>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</si>
  <si>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</si>
  <si>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</si>
  <si>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</si>
  <si>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</si>
  <si>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</si>
  <si>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</si>
  <si>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</si>
  <si>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</si>
  <si>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</si>
  <si>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</si>
  <si>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</si>
  <si>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</si>
  <si>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</si>
  <si>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</si>
  <si>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</si>
  <si>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</si>
  <si>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</si>
  <si>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</si>
  <si>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</si>
  <si>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</si>
  <si>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</si>
  <si>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</si>
  <si>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</si>
  <si>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</si>
  <si>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</si>
  <si>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</si>
  <si>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</si>
  <si>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</si>
  <si>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</si>
  <si>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</si>
  <si>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</si>
  <si>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</si>
  <si>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</si>
  <si>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</si>
  <si>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</si>
  <si>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</si>
  <si>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</si>
  <si>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</si>
  <si>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</si>
  <si>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</si>
  <si>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</si>
  <si>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</si>
  <si>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</si>
  <si>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</si>
  <si>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</si>
  <si>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</si>
  <si>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</si>
  <si>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</si>
  <si>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</si>
  <si>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</si>
  <si>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</si>
  <si>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</si>
  <si>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</si>
  <si>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</si>
  <si>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</si>
  <si>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</si>
  <si>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</si>
  <si>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</si>
  <si>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</si>
  <si>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</si>
  <si>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</si>
  <si>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</si>
  <si>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</si>
  <si>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</si>
  <si>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</si>
  <si>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</si>
  <si>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</si>
  <si>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</si>
  <si>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</si>
  <si>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</si>
  <si>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</si>
  <si>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</si>
  <si>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</si>
  <si>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</si>
  <si>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</si>
  <si>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</si>
  <si>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</si>
  <si>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</si>
  <si>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</si>
  <si>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</si>
  <si>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</si>
  <si>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</si>
  <si>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</si>
  <si>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</si>
  <si>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</si>
  <si>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</si>
  <si>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</si>
  <si>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</si>
  <si>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</si>
  <si>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</si>
  <si>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</si>
  <si>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</si>
  <si>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</si>
  <si>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</si>
  <si>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</si>
  <si>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</si>
  <si>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</si>
  <si>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</si>
  <si>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</si>
  <si>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</si>
  <si>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</si>
  <si>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</si>
  <si>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</si>
  <si>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</si>
  <si>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</si>
  <si>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</si>
  <si>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</si>
  <si>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</si>
  <si>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</si>
  <si>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</si>
  <si>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</si>
  <si>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</si>
  <si>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</si>
  <si>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</si>
  <si>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</si>
  <si>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</si>
  <si>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</si>
  <si>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</si>
  <si>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</si>
  <si>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</si>
  <si>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</si>
  <si>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</si>
  <si>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</si>
  <si>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</si>
  <si>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</si>
  <si>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</si>
  <si>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</si>
  <si>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</si>
  <si>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</si>
  <si>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</si>
  <si>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</si>
  <si>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</si>
  <si>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</si>
  <si>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</si>
  <si>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</si>
  <si>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</si>
  <si>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</si>
  <si>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</si>
  <si>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</si>
  <si>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</si>
  <si>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</si>
  <si>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</si>
  <si>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</si>
  <si>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</si>
  <si>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</si>
  <si>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</si>
  <si>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</si>
  <si>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</si>
  <si>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</si>
  <si>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</si>
  <si>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</si>
  <si>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</si>
  <si>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</si>
  <si>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</si>
  <si>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</si>
  <si>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</si>
  <si>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</si>
  <si>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</si>
  <si>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</si>
  <si>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</si>
  <si>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</si>
  <si>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</si>
  <si>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</si>
  <si>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</si>
  <si>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</si>
  <si>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</si>
  <si>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</si>
  <si>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</si>
  <si>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</si>
  <si>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</si>
  <si>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</si>
  <si>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</si>
  <si>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</si>
  <si>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</si>
  <si>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</si>
  <si>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</si>
  <si>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</si>
  <si>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</si>
  <si>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</si>
  <si>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</si>
  <si>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</si>
  <si>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</si>
  <si>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</si>
  <si>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</si>
  <si>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</si>
  <si>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</si>
  <si>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</si>
  <si>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</si>
  <si>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</si>
  <si>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</si>
  <si>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</si>
  <si>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</si>
  <si>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</si>
  <si>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</si>
  <si>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</si>
  <si>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</si>
  <si>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</si>
  <si>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</si>
  <si>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</si>
  <si>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</si>
  <si>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</si>
  <si>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</si>
  <si>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</si>
  <si>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</si>
  <si>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</si>
  <si>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</si>
  <si>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</si>
  <si>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</si>
  <si>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</si>
  <si>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</si>
  <si>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</si>
  <si>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</si>
  <si>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</si>
  <si>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</si>
  <si>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</si>
  <si>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</si>
  <si>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</si>
  <si>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</si>
  <si>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</si>
  <si>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</si>
  <si>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</si>
  <si>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</si>
  <si>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</si>
  <si>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</si>
  <si>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</si>
  <si>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</si>
  <si>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</si>
  <si>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</si>
  <si>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</si>
  <si>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</si>
  <si>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</si>
  <si>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</si>
  <si>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</si>
  <si>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</si>
  <si>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</si>
  <si>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</si>
  <si>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</si>
  <si>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</si>
  <si>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</si>
  <si>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</si>
  <si>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</si>
  <si>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</si>
  <si>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</si>
  <si>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</si>
  <si>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</si>
  <si>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</si>
  <si>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</si>
  <si>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</si>
  <si>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</si>
  <si>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</si>
  <si>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</si>
  <si>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</si>
  <si>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</si>
  <si>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</si>
  <si>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</si>
  <si>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</si>
  <si>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</si>
  <si>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</si>
  <si>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</si>
  <si>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</si>
  <si>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</si>
  <si>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</si>
  <si>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</si>
  <si>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</si>
  <si>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</si>
  <si>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</si>
  <si>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</si>
  <si>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</si>
  <si>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</si>
  <si>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</si>
  <si>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</si>
  <si>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</si>
  <si>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</si>
  <si>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</si>
  <si>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</si>
  <si>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</si>
  <si>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</si>
  <si>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</si>
  <si>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</si>
  <si>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</si>
  <si>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</si>
  <si>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</si>
  <si>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</si>
  <si>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</si>
  <si>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</si>
  <si>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</si>
  <si>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</si>
  <si>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</si>
  <si>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</si>
  <si>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</si>
  <si>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</si>
  <si>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</si>
  <si>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</si>
  <si>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</si>
  <si>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</si>
  <si>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</si>
  <si>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</si>
  <si>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</si>
  <si>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</si>
  <si>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</si>
  <si>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</si>
  <si>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</si>
  <si>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</si>
  <si>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</si>
  <si>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</si>
  <si>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</si>
  <si>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</si>
  <si>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</si>
  <si>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</si>
  <si>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</si>
  <si>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</si>
  <si>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</si>
  <si>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</si>
  <si>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</si>
  <si>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</si>
  <si>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</si>
  <si>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</si>
  <si>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</si>
  <si>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</si>
  <si>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</si>
  <si>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</si>
  <si>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</si>
  <si>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</si>
  <si>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</si>
  <si>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</si>
  <si>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</si>
  <si>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</si>
  <si>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</si>
  <si>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</si>
  <si>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</si>
  <si>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</si>
  <si>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</si>
  <si>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</si>
  <si>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</si>
  <si>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</si>
  <si>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</si>
  <si>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</si>
  <si>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</si>
  <si>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</si>
  <si>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</si>
  <si>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</si>
  <si>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</si>
  <si>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</si>
  <si>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</si>
  <si>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</si>
  <si>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</si>
  <si>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</si>
  <si>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</si>
  <si>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</si>
  <si>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</si>
  <si>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</si>
  <si>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</si>
  <si>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</si>
  <si>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</si>
  <si>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</si>
  <si>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</si>
  <si>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</si>
  <si>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</si>
  <si>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</si>
  <si>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</si>
  <si>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</si>
  <si>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</si>
  <si>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</si>
  <si>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</si>
  <si>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</si>
  <si>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</si>
  <si>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</si>
  <si>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</si>
  <si>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</si>
  <si>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</si>
  <si>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</si>
  <si>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</si>
  <si>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</si>
  <si>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</si>
  <si>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</si>
  <si>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</si>
  <si>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</si>
  <si>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</si>
  <si>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</si>
  <si>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</si>
  <si>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</si>
  <si>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</si>
  <si>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</si>
  <si>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</si>
  <si>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</si>
  <si>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</si>
  <si>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</si>
  <si>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</si>
  <si>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</si>
  <si>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</si>
  <si>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</si>
  <si>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</si>
  <si>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</si>
  <si>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</si>
  <si>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</si>
  <si>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</si>
  <si>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</si>
  <si>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</si>
  <si>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</si>
  <si>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</si>
  <si>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</si>
  <si>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</si>
  <si>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</si>
  <si>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</si>
  <si>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</si>
  <si>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</si>
  <si>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</si>
  <si>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</si>
  <si>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</si>
  <si>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</si>
  <si>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</si>
  <si>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</si>
  <si>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</si>
  <si>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</si>
  <si>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</si>
  <si>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</si>
  <si>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</si>
  <si>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</si>
  <si>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</si>
  <si>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</si>
  <si>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</si>
  <si>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</si>
  <si>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</si>
  <si>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</si>
  <si>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</si>
  <si>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</si>
  <si>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</si>
  <si>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</si>
  <si>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</si>
  <si>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</si>
  <si>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</si>
  <si>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</si>
  <si>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</si>
  <si>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</si>
  <si>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</si>
  <si>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</si>
  <si>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</si>
  <si>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</si>
  <si>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</si>
  <si>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</si>
  <si>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</si>
  <si>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</si>
  <si>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</si>
  <si>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</si>
  <si>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</si>
  <si>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</si>
  <si>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</si>
  <si>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</si>
  <si>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</si>
  <si>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</si>
  <si>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</si>
  <si>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</si>
  <si>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</si>
  <si>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</si>
  <si>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</si>
  <si>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</si>
  <si>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</si>
  <si>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</si>
  <si>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</si>
  <si>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</si>
  <si>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</si>
  <si>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</si>
  <si>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</si>
  <si>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</si>
  <si>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</si>
  <si>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</si>
  <si>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</si>
  <si>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</si>
  <si>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</si>
  <si>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</si>
  <si>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</si>
  <si>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</si>
  <si>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</si>
  <si>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</si>
  <si>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</si>
  <si>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</si>
  <si>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</si>
  <si>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</si>
  <si>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</si>
  <si>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</si>
  <si>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</si>
  <si>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</si>
  <si>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</si>
  <si>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</si>
  <si>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</si>
  <si>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</si>
  <si>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</si>
  <si>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</si>
  <si>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</si>
  <si>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</si>
  <si>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</si>
  <si>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</si>
  <si>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</si>
  <si>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</si>
  <si>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</si>
  <si>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</si>
  <si>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</si>
  <si>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</si>
  <si>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</si>
  <si>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</si>
  <si>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</si>
  <si>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</si>
  <si>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</si>
  <si>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</si>
  <si>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</si>
  <si>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</si>
  <si>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</si>
  <si>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</si>
  <si>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</si>
  <si>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</si>
  <si>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</si>
  <si>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</si>
  <si>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</si>
  <si>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</si>
  <si>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</si>
  <si>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</si>
  <si>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</si>
  <si>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</si>
  <si>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</si>
  <si>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</si>
  <si>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</si>
  <si>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</si>
  <si>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</si>
  <si>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</si>
  <si>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</si>
  <si>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</si>
  <si>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</si>
  <si>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</si>
  <si>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</si>
  <si>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</si>
  <si>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</si>
  <si>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</si>
  <si>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</si>
  <si>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</si>
  <si>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</si>
  <si>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</si>
  <si>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</si>
  <si>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</si>
  <si>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</si>
  <si>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</si>
  <si>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</si>
  <si>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</si>
  <si>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</si>
  <si>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</si>
  <si>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</si>
  <si>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</si>
  <si>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</si>
  <si>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</si>
  <si>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</si>
  <si>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</si>
  <si>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</si>
  <si>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</si>
  <si>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</si>
  <si>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</si>
  <si>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</si>
  <si>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</si>
  <si>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</si>
  <si>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</si>
  <si>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</si>
  <si>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</si>
  <si>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</si>
  <si>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</si>
  <si>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</si>
  <si>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</si>
  <si>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</si>
  <si>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</si>
  <si>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</si>
  <si>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</si>
  <si>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</si>
  <si>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</si>
  <si>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</si>
  <si>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</si>
  <si>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</si>
  <si>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</si>
  <si>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</si>
  <si>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</si>
  <si>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</si>
  <si>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</si>
  <si>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</si>
  <si>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</si>
  <si>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</si>
  <si>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</si>
  <si>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</si>
  <si>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</si>
  <si>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</si>
  <si>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</si>
  <si>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</si>
  <si>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</si>
  <si>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</si>
  <si>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</si>
  <si>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</si>
  <si>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</si>
  <si>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</si>
  <si>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</si>
  <si>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</si>
  <si>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</si>
  <si>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</si>
  <si>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</si>
  <si>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</si>
  <si>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</si>
  <si>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</si>
  <si>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</si>
  <si>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</si>
  <si>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</si>
  <si>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</si>
  <si>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</si>
  <si>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</si>
  <si>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</si>
  <si>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</si>
  <si>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</si>
  <si>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</si>
  <si>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</si>
  <si>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</si>
  <si>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</si>
  <si>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</si>
  <si>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</si>
  <si>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</si>
  <si>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</si>
  <si>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</si>
  <si>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</si>
  <si>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</si>
  <si>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</si>
  <si>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</si>
  <si>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</si>
  <si>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</si>
  <si>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</si>
  <si>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</si>
  <si>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</si>
  <si>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</si>
  <si>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</si>
  <si>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</si>
  <si>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</si>
  <si>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</si>
  <si>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</si>
  <si>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</si>
  <si>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</si>
  <si>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</si>
  <si>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</si>
  <si>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</si>
  <si>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</si>
  <si>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</si>
  <si>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</si>
  <si>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</si>
  <si>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</si>
  <si>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</si>
  <si>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</si>
  <si>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</si>
  <si>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</si>
  <si>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</si>
  <si>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</si>
  <si>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</si>
  <si>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</si>
  <si>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</si>
  <si>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</si>
  <si>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</si>
  <si>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</si>
  <si>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</si>
  <si>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</si>
  <si>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</si>
  <si>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</si>
  <si>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</si>
  <si>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</si>
  <si>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</si>
  <si>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</si>
  <si>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</si>
  <si>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</si>
  <si>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</si>
  <si>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</si>
  <si>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</si>
  <si>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</si>
  <si>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</si>
  <si>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</si>
  <si>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</si>
  <si>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</si>
  <si>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</si>
  <si>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</si>
  <si>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</si>
  <si>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</si>
  <si>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</si>
  <si>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</si>
  <si>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</si>
  <si>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</si>
  <si>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</si>
  <si>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</si>
  <si>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</si>
  <si>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</si>
  <si>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</si>
  <si>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</si>
  <si>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</si>
  <si>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</si>
  <si>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</si>
  <si>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</si>
  <si>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</si>
  <si>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</si>
  <si>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</si>
  <si>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</si>
  <si>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</si>
  <si>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</si>
  <si>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</si>
  <si>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</si>
  <si>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</si>
  <si>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</si>
  <si>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</si>
  <si>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</si>
  <si>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</si>
  <si>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</si>
  <si>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</si>
  <si>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</si>
  <si>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</si>
  <si>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</si>
  <si>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</si>
  <si>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</si>
  <si>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</si>
  <si>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</si>
  <si>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</si>
  <si>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</si>
  <si>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</si>
  <si>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</si>
  <si>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</si>
  <si>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</si>
  <si>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</si>
  <si>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</si>
  <si>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</si>
  <si>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</si>
  <si>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</si>
  <si>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</si>
  <si>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</si>
  <si>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</si>
  <si>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</si>
  <si>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</si>
  <si>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</si>
  <si>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</si>
  <si>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</si>
  <si>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</si>
  <si>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</si>
  <si>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</si>
  <si>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</si>
  <si>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</si>
  <si>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</si>
  <si>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</si>
  <si>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</si>
  <si>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</si>
  <si>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</si>
  <si>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</si>
  <si>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</si>
  <si>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</si>
  <si>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</si>
  <si>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</si>
  <si>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</si>
  <si>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</si>
  <si>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</si>
  <si>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</si>
  <si>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</si>
  <si>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</si>
  <si>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</si>
  <si>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</si>
  <si>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</si>
  <si>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</si>
  <si>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</si>
  <si>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</si>
  <si>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</si>
  <si>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</si>
  <si>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</si>
  <si>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</si>
  <si>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</si>
  <si>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</si>
  <si>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</si>
  <si>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</si>
  <si>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</si>
  <si>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</si>
  <si>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</si>
  <si>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</si>
  <si>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</si>
  <si>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</si>
  <si>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</si>
  <si>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</si>
  <si>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</si>
  <si>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</si>
  <si>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</si>
  <si>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</si>
  <si>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</si>
  <si>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</si>
  <si>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</si>
  <si>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</si>
  <si>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</si>
  <si>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</si>
  <si>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</si>
  <si>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</si>
  <si>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</si>
  <si>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</si>
  <si>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</si>
  <si>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</si>
  <si>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</si>
  <si>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</si>
  <si>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</si>
  <si>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</si>
  <si>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</si>
  <si>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</si>
  <si>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</si>
  <si>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</si>
  <si>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</si>
  <si>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</si>
  <si>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</si>
  <si>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</si>
  <si>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</si>
  <si>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</si>
  <si>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</si>
  <si>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</si>
  <si>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</si>
  <si>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</si>
  <si>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</si>
  <si>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</si>
  <si>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</si>
  <si>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</si>
  <si>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</si>
  <si>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</si>
  <si>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</si>
  <si>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</si>
  <si>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</si>
  <si>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</si>
  <si>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</si>
  <si>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</si>
  <si>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</si>
  <si>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</si>
  <si>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</si>
  <si>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</si>
  <si>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</si>
  <si>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</si>
  <si>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</si>
  <si>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</si>
  <si>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</si>
  <si>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</si>
  <si>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</si>
  <si>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</si>
  <si>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</si>
  <si>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</si>
  <si>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</si>
  <si>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</si>
  <si>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</si>
  <si>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</si>
  <si>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</si>
  <si>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</si>
  <si>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</si>
  <si>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</si>
  <si>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</si>
  <si>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</si>
  <si>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</si>
  <si>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</si>
  <si>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</si>
  <si>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</si>
  <si>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</si>
  <si>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</si>
  <si>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</si>
  <si>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</si>
  <si>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</si>
  <si>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</si>
  <si>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</si>
  <si>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</si>
  <si>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</si>
  <si>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</si>
  <si>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</si>
  <si>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</si>
  <si>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</si>
  <si>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</si>
  <si>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</si>
  <si>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</si>
  <si>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</si>
  <si>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</si>
  <si>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</si>
  <si>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</si>
  <si>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</si>
  <si>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</si>
  <si>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</si>
  <si>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</si>
  <si>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</si>
  <si>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</si>
  <si>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</si>
  <si>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</si>
  <si>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</si>
  <si>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</si>
  <si>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</si>
  <si>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</si>
  <si>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</si>
  <si>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</si>
  <si>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</si>
  <si>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</si>
  <si>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</si>
  <si>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</si>
  <si>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</si>
  <si>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</si>
  <si>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</si>
  <si>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</si>
  <si>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</si>
  <si>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</si>
  <si>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</si>
  <si>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</si>
  <si>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</si>
  <si>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</si>
  <si>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</si>
  <si>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</si>
  <si>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</si>
  <si>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</si>
  <si>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</si>
  <si>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</si>
  <si>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</si>
  <si>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</si>
  <si>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</si>
  <si>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</si>
  <si>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</si>
  <si>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</si>
  <si>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</si>
  <si>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</si>
  <si>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</si>
  <si>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</si>
  <si>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</si>
  <si>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</si>
  <si>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</si>
  <si>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</si>
  <si>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</si>
  <si>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</si>
  <si>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</si>
  <si>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</si>
  <si>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</si>
  <si>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</si>
  <si>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</si>
  <si>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</si>
  <si>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</si>
  <si>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</si>
  <si>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</si>
  <si>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</si>
  <si>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</si>
  <si>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</si>
  <si>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</si>
  <si>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</si>
  <si>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</si>
  <si>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</si>
  <si>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</si>
  <si>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</si>
  <si>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</si>
  <si>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</si>
  <si>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</si>
  <si>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</si>
  <si>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</si>
  <si>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</si>
  <si>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</si>
  <si>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</si>
  <si>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</si>
  <si>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</si>
  <si>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</si>
  <si>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</si>
  <si>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</si>
  <si>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</si>
  <si>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</si>
  <si>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</si>
  <si>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</si>
  <si>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</si>
  <si>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</si>
  <si>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</si>
  <si>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</si>
  <si>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</si>
  <si>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</si>
  <si>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</si>
  <si>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</si>
  <si>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</si>
  <si>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</si>
  <si>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</si>
  <si>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</si>
  <si>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</si>
  <si>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</si>
  <si>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</si>
  <si>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</si>
  <si>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</si>
  <si>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</si>
  <si>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</si>
  <si>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</si>
  <si>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</si>
  <si>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</si>
  <si>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</si>
  <si>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</si>
  <si>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</si>
  <si>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</si>
  <si>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</si>
  <si>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</si>
  <si>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</si>
  <si>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</si>
  <si>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</si>
  <si>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</si>
  <si>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</si>
  <si>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</si>
  <si>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</si>
  <si>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</si>
  <si>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</si>
  <si>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</si>
  <si>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</si>
  <si>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</si>
  <si>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</si>
  <si>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</si>
  <si>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</si>
  <si>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</si>
  <si>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</si>
  <si>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</si>
  <si>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</si>
  <si>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</si>
  <si>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</si>
  <si>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</si>
  <si>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</si>
  <si>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</si>
  <si>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</si>
  <si>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</si>
  <si>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</si>
  <si>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</si>
  <si>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</si>
  <si>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</si>
  <si>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</si>
  <si>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</si>
  <si>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</si>
  <si>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</si>
  <si>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</si>
  <si>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</si>
  <si>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</si>
  <si>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</si>
  <si>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</si>
  <si>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</si>
  <si>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</si>
  <si>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</si>
  <si>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</si>
  <si>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</si>
  <si>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</si>
  <si>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</si>
  <si>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</si>
  <si>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</si>
  <si>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</si>
  <si>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</si>
  <si>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</si>
  <si>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</si>
  <si>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</si>
  <si>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</si>
  <si>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</si>
  <si>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</si>
  <si>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</si>
  <si>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</si>
  <si>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</si>
  <si>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</si>
  <si>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</si>
  <si>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</si>
  <si>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</si>
  <si>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</si>
  <si>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</si>
  <si>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</si>
  <si>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</si>
  <si>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</si>
  <si>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</si>
  <si>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</si>
  <si>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</si>
  <si>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</si>
  <si>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</si>
  <si>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</si>
  <si>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</si>
  <si>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</si>
  <si>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</si>
  <si>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</si>
  <si>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</si>
  <si>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</si>
  <si>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</si>
  <si>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</si>
  <si>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</si>
  <si>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</si>
  <si>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</si>
  <si>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</si>
  <si>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</si>
  <si>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</si>
  <si>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</si>
  <si>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</si>
  <si>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</si>
  <si>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</si>
  <si>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</si>
  <si>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</si>
  <si>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</si>
  <si>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</si>
  <si>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</si>
  <si>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</si>
  <si>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</si>
  <si>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</si>
  <si>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</si>
  <si>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</si>
  <si>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</si>
  <si>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</si>
  <si>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</si>
  <si>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</si>
  <si>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</si>
  <si>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</si>
  <si>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</si>
  <si>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</si>
  <si>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</si>
  <si>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</si>
  <si>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</si>
  <si>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</si>
  <si>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</si>
  <si>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</si>
  <si>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</si>
  <si>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</si>
  <si>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</si>
  <si>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</si>
  <si>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</si>
  <si>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</si>
  <si>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</si>
  <si>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</si>
  <si>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</si>
  <si>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</si>
  <si>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</si>
  <si>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</si>
  <si>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</si>
  <si>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</si>
  <si>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</si>
  <si>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</si>
  <si>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</si>
  <si>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</si>
  <si>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</si>
  <si>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</si>
  <si>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</si>
  <si>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</si>
  <si>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</si>
  <si>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</si>
  <si>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</si>
  <si>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</si>
  <si>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</si>
  <si>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</si>
  <si>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</si>
  <si>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</si>
  <si>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</si>
  <si>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</si>
  <si>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</si>
  <si>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</si>
  <si>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</si>
  <si>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</si>
  <si>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</si>
  <si>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</si>
  <si>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</si>
  <si>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</si>
  <si>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</si>
  <si>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</si>
  <si>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</si>
  <si>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</si>
  <si>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</si>
  <si>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</si>
  <si>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</si>
  <si>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</si>
  <si>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</si>
  <si>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</si>
  <si>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</si>
  <si>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</si>
  <si>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</si>
  <si>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</si>
  <si>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</si>
  <si>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</si>
  <si>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</si>
  <si>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</si>
  <si>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</si>
  <si>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</si>
  <si>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</si>
  <si>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</si>
  <si>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</si>
  <si>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</si>
  <si>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</si>
  <si>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</si>
  <si>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</si>
  <si>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</si>
  <si>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</si>
  <si>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</si>
  <si>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</si>
  <si>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</si>
  <si>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</si>
  <si>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</si>
  <si>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</si>
  <si>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</si>
  <si>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</si>
  <si>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</si>
  <si>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</si>
  <si>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</si>
  <si>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</si>
  <si>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</si>
  <si>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</si>
  <si>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</si>
  <si>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</si>
  <si>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</si>
  <si>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</si>
  <si>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</si>
  <si>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</si>
  <si>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</si>
  <si>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</si>
  <si>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</si>
  <si>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</si>
  <si>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</si>
  <si>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</si>
  <si>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</si>
  <si>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</si>
  <si>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</si>
  <si>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</si>
  <si>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</si>
  <si>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</si>
  <si>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</si>
  <si>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</si>
  <si>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</si>
  <si>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</si>
  <si>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</si>
  <si>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</si>
  <si>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</si>
  <si>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</si>
  <si>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</si>
  <si>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</si>
  <si>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</si>
  <si>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</si>
  <si>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</si>
  <si>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</si>
  <si>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</si>
  <si>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</si>
  <si>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</si>
  <si>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</si>
  <si>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</si>
  <si>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</si>
  <si>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</si>
  <si>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</si>
  <si>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</si>
  <si>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</si>
  <si>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</si>
  <si>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</si>
  <si>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</si>
  <si>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</si>
  <si>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</si>
  <si>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</si>
  <si>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</si>
  <si>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</si>
  <si>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</si>
  <si>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</si>
  <si>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</si>
  <si>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</si>
  <si>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</si>
  <si>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</si>
  <si>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</si>
  <si>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</si>
  <si>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</si>
  <si>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</si>
  <si>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</si>
  <si>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</si>
  <si>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</si>
  <si>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</si>
  <si>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</si>
  <si>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</si>
  <si>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</si>
  <si>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</si>
  <si>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</si>
  <si>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</si>
  <si>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</si>
  <si>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</si>
  <si>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</si>
  <si>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</si>
  <si>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</si>
  <si>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</si>
  <si>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</si>
  <si>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</si>
  <si>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</si>
  <si>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</si>
  <si>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</si>
  <si>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</si>
  <si>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</si>
  <si>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</si>
  <si>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</si>
  <si>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</si>
  <si>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</si>
  <si>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</si>
  <si>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</si>
  <si>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</si>
  <si>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</si>
  <si>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</si>
  <si>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</si>
  <si>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</si>
  <si>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</si>
  <si>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</si>
  <si>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</si>
  <si>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</si>
  <si>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</si>
  <si>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</si>
  <si>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</si>
  <si>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</si>
  <si>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</si>
  <si>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</si>
  <si>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</si>
  <si>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</si>
  <si>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</si>
  <si>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</si>
  <si>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</si>
  <si>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</si>
  <si>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</si>
  <si>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</si>
  <si>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</si>
  <si>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</si>
  <si>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</si>
  <si>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</si>
  <si>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</si>
  <si>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</si>
  <si>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</si>
  <si>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</si>
  <si>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</si>
  <si>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</si>
  <si>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</si>
  <si>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</si>
  <si>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</si>
  <si>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</si>
  <si>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</si>
  <si>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</si>
  <si>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</si>
  <si>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</si>
  <si>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</si>
  <si>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</si>
  <si>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</si>
  <si>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</si>
  <si>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</si>
  <si>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</si>
  <si>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</si>
  <si>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</si>
  <si>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</si>
  <si>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</si>
  <si>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</si>
  <si>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</si>
  <si>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</si>
  <si>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</si>
  <si>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</si>
  <si>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</si>
  <si>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</si>
  <si>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</si>
  <si>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</si>
  <si>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</si>
  <si>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</si>
  <si>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</si>
  <si>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</si>
  <si>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</si>
  <si>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</si>
  <si>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</si>
  <si>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</si>
  <si>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</si>
  <si>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</si>
  <si>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</si>
  <si>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</si>
  <si>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</si>
  <si>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</si>
  <si>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</si>
  <si>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</si>
  <si>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</si>
  <si>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</si>
  <si>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</si>
  <si>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</si>
  <si>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</si>
  <si>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</si>
  <si>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</si>
  <si>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</si>
  <si>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</si>
  <si>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</si>
  <si>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</si>
  <si>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</si>
  <si>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</si>
  <si>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</si>
  <si>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</si>
  <si>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</si>
  <si>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</si>
  <si>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</si>
  <si>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</si>
  <si>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</si>
  <si>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</si>
  <si>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</si>
  <si>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</si>
  <si>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</si>
  <si>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</si>
  <si>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</si>
  <si>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</si>
  <si>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</si>
  <si>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</si>
  <si>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</si>
  <si>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</si>
  <si>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</si>
  <si>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</si>
  <si>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</si>
  <si>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</si>
  <si>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</si>
  <si>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</si>
  <si>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</si>
  <si>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</si>
  <si>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</si>
  <si>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</si>
  <si>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</si>
  <si>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</si>
  <si>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</si>
  <si>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</si>
  <si>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</si>
  <si>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</si>
  <si>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</si>
  <si>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</si>
  <si>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</si>
  <si>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</si>
  <si>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</si>
  <si>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</si>
  <si>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</si>
  <si>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</si>
  <si>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</si>
  <si>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</si>
  <si>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</si>
  <si>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</si>
  <si>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</si>
  <si>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</si>
  <si>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</si>
  <si>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</si>
  <si>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</si>
  <si>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</si>
  <si>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</si>
  <si>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</si>
  <si>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</si>
  <si>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</si>
  <si>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</si>
  <si>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</si>
  <si>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</si>
  <si>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</si>
  <si>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</si>
  <si>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</si>
  <si>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</si>
  <si>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</si>
  <si>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</si>
  <si>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</si>
  <si>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</si>
  <si>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</si>
  <si>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</si>
  <si>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</si>
  <si>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</si>
  <si>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</si>
  <si>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</si>
  <si>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</si>
  <si>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</si>
  <si>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</si>
  <si>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</si>
  <si>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</si>
  <si>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</si>
  <si>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</si>
  <si>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</si>
  <si>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</si>
  <si>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</si>
  <si>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</si>
  <si>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</si>
  <si>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</si>
  <si>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</si>
  <si>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</si>
  <si>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</si>
  <si>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</si>
  <si>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</si>
  <si>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</si>
  <si>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</si>
  <si>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</si>
  <si>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</si>
  <si>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</si>
  <si>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</si>
  <si>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</si>
  <si>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</si>
  <si>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</si>
  <si>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</si>
  <si>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</si>
  <si>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</si>
  <si>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</si>
  <si>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</si>
  <si>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</si>
  <si>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</si>
  <si>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</si>
  <si>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</si>
  <si>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</si>
  <si>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</si>
  <si>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</si>
  <si>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</si>
  <si>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</si>
  <si>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</si>
  <si>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</si>
  <si>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</si>
  <si>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</si>
  <si>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</si>
  <si>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</si>
  <si>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</si>
  <si>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</si>
  <si>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</si>
  <si>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</si>
  <si>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</si>
  <si>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</si>
  <si>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</si>
  <si>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</si>
  <si>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</si>
  <si>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</si>
  <si>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</si>
  <si>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</si>
  <si>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</si>
  <si>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</si>
  <si>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</si>
  <si>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</si>
  <si>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</si>
  <si>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</si>
  <si>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</si>
  <si>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</si>
  <si>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</si>
  <si>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</si>
  <si>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</si>
  <si>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</si>
  <si>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</si>
  <si>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</si>
  <si>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</si>
  <si>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</si>
  <si>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</si>
  <si>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</si>
  <si>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</si>
  <si>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</si>
  <si>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</si>
  <si>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</si>
  <si>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</si>
  <si>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</si>
  <si>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</si>
  <si>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</si>
  <si>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</si>
  <si>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</si>
  <si>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</si>
  <si>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</si>
  <si>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</si>
  <si>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</si>
  <si>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</si>
  <si>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</si>
  <si>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</si>
  <si>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</si>
  <si>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</si>
  <si>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</si>
  <si>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</si>
  <si>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</si>
  <si>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</si>
  <si>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</si>
  <si>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</si>
  <si>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</si>
  <si>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</si>
  <si>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</si>
  <si>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</si>
  <si>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</si>
  <si>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</si>
  <si>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</si>
  <si>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</si>
  <si>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</si>
  <si>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</si>
  <si>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</si>
  <si>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</si>
  <si>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</si>
  <si>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</si>
  <si>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</si>
  <si>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</si>
  <si>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</si>
  <si>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</si>
  <si>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</si>
  <si>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</si>
  <si>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</si>
  <si>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</si>
  <si>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</si>
  <si>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</si>
  <si>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</si>
  <si>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</si>
  <si>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</si>
  <si>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</si>
  <si>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</si>
  <si>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</si>
  <si>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</si>
  <si>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</si>
  <si>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</si>
  <si>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</si>
  <si>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</si>
  <si>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</si>
  <si>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</si>
  <si>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</si>
  <si>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</si>
  <si>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</si>
  <si>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</si>
  <si>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</si>
  <si>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</si>
  <si>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</si>
  <si>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</si>
  <si>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</si>
  <si>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</si>
  <si>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</si>
  <si>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</si>
  <si>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</si>
  <si>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</si>
  <si>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</si>
  <si>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</si>
  <si>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</si>
  <si>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</si>
  <si>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</si>
  <si>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</si>
  <si>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</si>
  <si>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</si>
  <si>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</si>
  <si>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</si>
  <si>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</si>
  <si>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</si>
  <si>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</si>
  <si>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</si>
  <si>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</si>
  <si>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</si>
  <si>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</si>
  <si>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</si>
  <si>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</si>
  <si>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</si>
  <si>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</si>
  <si>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</si>
  <si>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</si>
  <si>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</si>
  <si>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</si>
  <si>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</si>
  <si>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</si>
  <si>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</si>
  <si>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</si>
  <si>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</si>
  <si>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</si>
  <si>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</si>
  <si>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</si>
  <si>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</si>
  <si>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</si>
  <si>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</si>
  <si>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</si>
  <si>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</si>
  <si>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</si>
  <si>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</si>
  <si>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</si>
  <si>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</si>
  <si>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</si>
  <si>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</si>
  <si>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</si>
  <si>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</si>
  <si>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</si>
  <si>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</si>
  <si>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</si>
  <si>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</si>
  <si>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</si>
  <si>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</si>
  <si>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</si>
  <si>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</si>
  <si>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</si>
  <si>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</si>
  <si>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</si>
  <si>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</si>
  <si>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</si>
  <si>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</si>
  <si>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</si>
  <si>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</si>
  <si>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</si>
  <si>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</si>
  <si>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</si>
  <si>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</si>
  <si>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</si>
  <si>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</si>
  <si>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</si>
  <si>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</si>
  <si>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</si>
  <si>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</si>
  <si>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</si>
  <si>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</si>
  <si>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</si>
  <si>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</si>
  <si>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</si>
  <si>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</si>
  <si>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</si>
  <si>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</si>
  <si>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</si>
  <si>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</si>
  <si>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</si>
  <si>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</si>
  <si>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</si>
  <si>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</si>
  <si>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</si>
  <si>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</si>
  <si>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</si>
  <si>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</si>
  <si>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</si>
  <si>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</si>
  <si>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</si>
  <si>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</si>
  <si>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</si>
  <si>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</si>
  <si>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</si>
  <si>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</si>
  <si>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</si>
  <si>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</si>
  <si>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</si>
  <si>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</si>
  <si>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</si>
  <si>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</si>
  <si>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</si>
  <si>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</si>
  <si>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</si>
  <si>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</si>
  <si>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</si>
  <si>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</si>
  <si>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</si>
  <si>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</si>
  <si>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</si>
  <si>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</si>
  <si>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</si>
  <si>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</si>
  <si>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</si>
  <si>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</si>
  <si>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</si>
  <si>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</si>
  <si>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</si>
  <si>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</si>
  <si>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</si>
  <si>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</si>
  <si>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</si>
  <si>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</si>
  <si>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</si>
  <si>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</si>
  <si>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</si>
  <si>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</si>
  <si>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</si>
  <si>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</si>
  <si>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</si>
  <si>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</si>
  <si>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</si>
  <si>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</si>
  <si>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</si>
  <si>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</si>
  <si>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</si>
  <si>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</si>
  <si>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</si>
  <si>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</si>
  <si>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</si>
  <si>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</si>
  <si>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</si>
  <si>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</si>
  <si>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</si>
  <si>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</si>
  <si>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</si>
  <si>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</si>
  <si>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</si>
  <si>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</si>
  <si>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</si>
  <si>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</si>
  <si>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</si>
  <si>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</si>
  <si>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</si>
  <si>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</si>
  <si>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</si>
  <si>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</si>
  <si>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</si>
  <si>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</si>
  <si>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</si>
  <si>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</si>
  <si>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</si>
  <si>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</si>
  <si>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</si>
  <si>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</si>
  <si>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</si>
  <si>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</si>
  <si>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</si>
  <si>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</si>
  <si>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</si>
  <si>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</si>
  <si>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</si>
  <si>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</si>
  <si>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</si>
  <si>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</si>
  <si>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</si>
  <si>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</si>
  <si>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</si>
  <si>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</si>
  <si>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</si>
  <si>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</si>
  <si>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</si>
  <si>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</si>
  <si>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</si>
  <si>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</si>
  <si>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</si>
  <si>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</si>
  <si>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</si>
  <si>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</si>
  <si>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</si>
  <si>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</si>
  <si>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</si>
  <si>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</si>
  <si>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</si>
  <si>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</si>
  <si>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</si>
  <si>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</si>
  <si>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</si>
  <si>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</si>
  <si>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</si>
  <si>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</si>
  <si>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</si>
  <si>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</si>
  <si>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</si>
  <si>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</si>
  <si>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</si>
  <si>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</si>
  <si>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</si>
  <si>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</si>
  <si>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</si>
  <si>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</si>
  <si>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</si>
  <si>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</si>
  <si>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</si>
  <si>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</si>
  <si>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</si>
  <si>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</si>
  <si>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</si>
  <si>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</si>
  <si>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</si>
  <si>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</si>
  <si>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</si>
  <si>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</si>
  <si>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</si>
  <si>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</si>
  <si>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</si>
  <si>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</si>
  <si>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</si>
  <si>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</si>
  <si>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</si>
  <si>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</si>
  <si>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</si>
  <si>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</si>
  <si>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</si>
  <si>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</si>
  <si>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</si>
  <si>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</si>
  <si>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</si>
  <si>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</si>
  <si>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</si>
  <si>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</si>
  <si>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</si>
  <si>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</si>
  <si>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</si>
  <si>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</si>
  <si>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</si>
  <si>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</si>
  <si>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</si>
  <si>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</si>
  <si>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</si>
  <si>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</si>
  <si>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</si>
  <si>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</si>
  <si>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</si>
  <si>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</si>
  <si>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</si>
  <si>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</si>
  <si>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</si>
  <si>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</si>
  <si>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</si>
  <si>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</si>
  <si>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</si>
  <si>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</si>
  <si>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</si>
  <si>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</si>
  <si>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</si>
  <si>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</si>
  <si>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</si>
  <si>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</si>
  <si>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</si>
  <si>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</si>
  <si>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</si>
  <si>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</si>
  <si>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</si>
  <si>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</si>
  <si>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</si>
  <si>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</si>
  <si>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</si>
  <si>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</si>
  <si>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</si>
  <si>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</si>
  <si>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</si>
  <si>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</si>
  <si>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</si>
  <si>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</si>
  <si>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</si>
  <si>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</si>
  <si>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</si>
  <si>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</si>
  <si>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</si>
  <si>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</si>
  <si>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</si>
  <si>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</si>
  <si>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</si>
  <si>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</si>
  <si>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</si>
  <si>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</si>
  <si>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</si>
  <si>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</si>
  <si>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</si>
  <si>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</si>
  <si>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</si>
  <si>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</si>
  <si>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</si>
  <si>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</si>
  <si>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</si>
  <si>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</si>
  <si>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</si>
  <si>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</si>
  <si>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</si>
  <si>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</si>
  <si>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</si>
  <si>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</si>
  <si>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</si>
  <si>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</si>
  <si>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</si>
  <si>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</si>
  <si>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</si>
  <si>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</si>
  <si>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</si>
  <si>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</si>
  <si>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</si>
  <si>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</si>
  <si>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</si>
  <si>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</si>
  <si>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</si>
  <si>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</si>
  <si>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</si>
  <si>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</si>
  <si>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</si>
  <si>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</si>
  <si>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</si>
  <si>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</si>
  <si>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</si>
  <si>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</si>
  <si>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</si>
  <si>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</si>
  <si>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</si>
  <si>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</si>
  <si>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</si>
  <si>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</si>
  <si>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</si>
  <si>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</si>
  <si>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</si>
  <si>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</si>
  <si>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</si>
  <si>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</si>
  <si>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</si>
  <si>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</si>
  <si>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</si>
  <si>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</si>
  <si>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</si>
  <si>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</si>
  <si>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</si>
  <si>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</si>
  <si>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</si>
  <si>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</si>
  <si>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</si>
  <si>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</si>
  <si>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</si>
  <si>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</si>
  <si>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</si>
  <si>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</si>
  <si>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</si>
  <si>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</si>
  <si>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</si>
  <si>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</si>
  <si>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</si>
  <si>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</si>
  <si>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</si>
  <si>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</si>
  <si>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</si>
  <si>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</si>
  <si>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</si>
  <si>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</si>
  <si>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</si>
  <si>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</si>
  <si>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</si>
  <si>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</si>
  <si>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</si>
  <si>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</si>
  <si>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</si>
  <si>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</si>
  <si>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</si>
  <si>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</si>
  <si>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</si>
  <si>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</si>
  <si>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</si>
  <si>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</si>
  <si>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</si>
  <si>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</si>
  <si>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</si>
  <si>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</si>
  <si>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</si>
  <si>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</si>
  <si>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</si>
  <si>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</si>
  <si>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</si>
  <si>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</si>
  <si>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</si>
  <si>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</si>
  <si>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</si>
  <si>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</si>
  <si>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</si>
  <si>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</si>
  <si>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</si>
  <si>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</si>
  <si>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</si>
  <si>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</si>
  <si>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</si>
  <si>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</si>
  <si>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</si>
  <si>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</si>
  <si>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</si>
  <si>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</si>
  <si>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</si>
  <si>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</si>
  <si>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</si>
  <si>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</si>
  <si>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</si>
  <si>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</si>
  <si>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</si>
  <si>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</si>
  <si>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</si>
  <si>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</si>
  <si>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</si>
  <si>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</si>
  <si>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</si>
  <si>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</si>
  <si>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</si>
  <si>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</si>
  <si>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</si>
  <si>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</si>
  <si>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</si>
  <si>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</si>
  <si>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</si>
  <si>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</si>
  <si>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</si>
  <si>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</si>
  <si>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</si>
  <si>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</si>
  <si>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</si>
  <si>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</si>
  <si>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</si>
  <si>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</si>
  <si>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</si>
  <si>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</si>
  <si>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</si>
  <si>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</si>
  <si>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</si>
  <si>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</si>
  <si>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</si>
  <si>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</si>
  <si>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</si>
  <si>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</si>
  <si>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</si>
  <si>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</si>
  <si>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</si>
  <si>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</si>
  <si>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</si>
  <si>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</si>
  <si>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</si>
  <si>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</si>
  <si>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</si>
  <si>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</si>
  <si>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</si>
  <si>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</si>
  <si>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</si>
  <si>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</si>
  <si>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</si>
  <si>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</si>
  <si>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</si>
  <si>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</si>
  <si>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</si>
  <si>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</si>
  <si>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</si>
  <si>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</si>
  <si>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</si>
  <si>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</si>
  <si>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</si>
  <si>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</si>
  <si>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</si>
  <si>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</si>
  <si>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</si>
  <si>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</si>
  <si>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</si>
  <si>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</si>
  <si>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</si>
  <si>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</si>
  <si>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</si>
  <si>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</si>
  <si>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</si>
  <si>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</si>
  <si>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</si>
  <si>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</si>
  <si>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</si>
  <si>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</si>
  <si>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</si>
  <si>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</si>
  <si>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</si>
  <si>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</si>
  <si>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</si>
  <si>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</si>
  <si>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</si>
  <si>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</si>
  <si>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</si>
  <si>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</si>
  <si>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</si>
  <si>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</si>
  <si>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</si>
  <si>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</si>
  <si>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</si>
  <si>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</si>
  <si>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</si>
  <si>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</si>
  <si>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</si>
  <si>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</si>
  <si>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</si>
  <si>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</si>
  <si>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</si>
  <si>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</si>
  <si>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</si>
  <si>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</si>
  <si>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</si>
  <si>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</si>
  <si>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</si>
  <si>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</si>
  <si>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</si>
  <si>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</si>
  <si>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</si>
  <si>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</si>
  <si>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</si>
  <si>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</si>
  <si>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</si>
  <si>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</si>
  <si>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</si>
  <si>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</si>
  <si>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</si>
  <si>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</si>
  <si>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</si>
  <si>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</si>
  <si>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</si>
  <si>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</si>
  <si>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</si>
  <si>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</si>
  <si>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</si>
  <si>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</si>
  <si>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</si>
  <si>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</si>
  <si>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</si>
  <si>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</si>
  <si>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</si>
  <si>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</si>
  <si>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</si>
  <si>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</si>
  <si>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</si>
  <si>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</si>
  <si>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</si>
  <si>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</si>
  <si>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</si>
  <si>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</si>
  <si>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</si>
  <si>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</si>
  <si>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</si>
  <si>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</si>
  <si>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</si>
  <si>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</si>
  <si>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</si>
  <si>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</si>
  <si>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</si>
  <si>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</si>
  <si>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</si>
  <si>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</si>
  <si>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</si>
  <si>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</si>
  <si>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</si>
  <si>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</si>
  <si>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</si>
  <si>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</si>
  <si>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</si>
  <si>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</si>
  <si>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</si>
  <si>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</si>
  <si>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</si>
  <si>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</si>
  <si>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</si>
  <si>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</si>
  <si>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</si>
  <si>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</si>
  <si>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</si>
  <si>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</si>
  <si>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</si>
  <si>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</si>
  <si>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</si>
  <si>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</si>
  <si>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</si>
  <si>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</si>
  <si>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</si>
  <si>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</si>
  <si>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</si>
  <si>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</si>
  <si>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</si>
  <si>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</si>
  <si>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</si>
  <si>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</si>
  <si>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</si>
  <si>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</si>
  <si>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</si>
  <si>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</si>
  <si>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</si>
  <si>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</si>
  <si>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</si>
  <si>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</si>
  <si>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</si>
  <si>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</si>
  <si>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</si>
  <si>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</si>
  <si>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</si>
  <si>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</si>
  <si>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</si>
  <si>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</si>
  <si>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</si>
  <si>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</si>
  <si>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</si>
  <si>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</si>
  <si>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</si>
  <si>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</si>
  <si>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</si>
  <si>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</si>
  <si>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</si>
  <si>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</si>
  <si>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</si>
  <si>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</si>
  <si>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</si>
  <si>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</si>
  <si>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</si>
  <si>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</si>
  <si>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</si>
  <si>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</si>
  <si>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</si>
  <si>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</si>
  <si>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</si>
  <si>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</si>
  <si>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</si>
  <si>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</si>
  <si>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</si>
  <si>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</si>
  <si>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</si>
  <si>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</si>
  <si>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</si>
  <si>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</si>
  <si>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</si>
  <si>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</si>
  <si>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</si>
  <si>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</si>
  <si>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</si>
  <si>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</si>
  <si>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</si>
  <si>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</si>
  <si>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</si>
  <si>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</si>
  <si>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</si>
  <si>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</si>
  <si>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</si>
  <si>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</si>
  <si>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</si>
  <si>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</si>
  <si>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</si>
  <si>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</si>
  <si>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</si>
  <si>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</si>
  <si>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</si>
  <si>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</si>
  <si>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</si>
  <si>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</si>
  <si>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</si>
  <si>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</si>
  <si>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</si>
  <si>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</si>
  <si>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</si>
  <si>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</si>
  <si>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</si>
  <si>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</si>
  <si>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</si>
  <si>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</si>
  <si>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</si>
  <si>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</si>
  <si>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</si>
  <si>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</si>
  <si>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</si>
  <si>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</si>
  <si>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</si>
  <si>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</si>
  <si>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</si>
  <si>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</si>
  <si>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</si>
  <si>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</si>
  <si>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</si>
  <si>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</si>
  <si>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</si>
  <si>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</si>
  <si>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</si>
  <si>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</si>
  <si>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</si>
  <si>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</si>
  <si>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</si>
  <si>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</si>
  <si>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</si>
  <si>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</si>
  <si>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</si>
  <si>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</si>
  <si>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</si>
  <si>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</si>
  <si>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</si>
  <si>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</si>
  <si>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</si>
  <si>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</si>
  <si>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</si>
  <si>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</si>
  <si>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</si>
  <si>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</si>
  <si>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</si>
  <si>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15041RESCR336352018</t>
  </si>
  <si>
    <t>18LB000C</t>
  </si>
  <si>
    <t>JOSE ANGEL MEJIA GUERRERO</t>
  </si>
  <si>
    <t>009662192</t>
  </si>
  <si>
    <t>02102911011012</t>
  </si>
  <si>
    <t>CRISTIAN GUITIERREZ</t>
  </si>
  <si>
    <t>00102911011012</t>
  </si>
  <si>
    <t>ARISTIDES EMMANUEL PALMA</t>
  </si>
  <si>
    <t>0210171269007</t>
  </si>
  <si>
    <t>MIGUEL ANGEL GUTIERREZ</t>
  </si>
  <si>
    <t>09082608580010</t>
  </si>
  <si>
    <t>LUIS ALBERTO HERNANDEZ ALDANA</t>
  </si>
  <si>
    <t>02101712690017</t>
  </si>
  <si>
    <t>02042404741022</t>
  </si>
  <si>
    <t>05132011871021</t>
  </si>
  <si>
    <t>RICARDO ALAS ALVARADO</t>
  </si>
  <si>
    <t>11</t>
  </si>
  <si>
    <t>15015RESCR137302014</t>
  </si>
  <si>
    <t>14LB000X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</si>
  <si>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</si>
  <si>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</si>
  <si>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</si>
  <si>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</si>
  <si>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</si>
  <si>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</si>
  <si>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</si>
  <si>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</si>
  <si>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</si>
  <si>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</si>
  <si>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</si>
  <si>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</si>
  <si>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</si>
  <si>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</si>
  <si>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</si>
  <si>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</si>
  <si>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</si>
  <si>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</si>
  <si>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</si>
  <si>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</si>
  <si>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</si>
  <si>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</si>
  <si>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</si>
  <si>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</si>
  <si>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</si>
  <si>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</si>
  <si>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</si>
  <si>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</si>
  <si>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</si>
  <si>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</si>
  <si>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</si>
  <si>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</si>
  <si>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</si>
  <si>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</si>
  <si>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</si>
  <si>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</si>
  <si>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</si>
  <si>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</si>
  <si>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</si>
  <si>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</si>
  <si>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</si>
  <si>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</si>
  <si>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</si>
  <si>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</si>
  <si>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</si>
  <si>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</si>
  <si>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</si>
  <si>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</si>
  <si>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</si>
  <si>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</si>
  <si>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</si>
  <si>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</si>
  <si>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</si>
  <si>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</si>
  <si>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</si>
  <si>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</si>
  <si>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</si>
  <si>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</si>
  <si>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</si>
  <si>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</si>
  <si>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</si>
  <si>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</si>
  <si>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</si>
  <si>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</si>
  <si>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</si>
  <si>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</si>
  <si>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</si>
  <si>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</si>
  <si>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</si>
  <si>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</si>
  <si>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</si>
  <si>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</si>
  <si>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</si>
  <si>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</si>
  <si>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</si>
  <si>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</si>
  <si>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</si>
  <si>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</si>
  <si>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</si>
  <si>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</si>
  <si>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</si>
  <si>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</si>
  <si>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</si>
  <si>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</si>
  <si>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</si>
  <si>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</si>
  <si>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</si>
  <si>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</si>
  <si>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</si>
  <si>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</si>
  <si>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</si>
  <si>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</si>
  <si>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</si>
  <si>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</si>
  <si>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</si>
  <si>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</si>
  <si>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</si>
  <si>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</si>
  <si>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</si>
  <si>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</si>
  <si>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</si>
  <si>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</si>
  <si>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</si>
  <si>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</si>
  <si>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</si>
  <si>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</si>
  <si>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</si>
  <si>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</si>
  <si>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</si>
  <si>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</si>
  <si>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</si>
  <si>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</si>
  <si>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</si>
  <si>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</si>
  <si>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</si>
  <si>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</si>
  <si>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</si>
  <si>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</si>
  <si>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</si>
  <si>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</si>
  <si>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</si>
  <si>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</si>
  <si>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</si>
  <si>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</si>
  <si>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</si>
  <si>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</si>
  <si>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</si>
  <si>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</si>
  <si>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</si>
  <si>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</si>
  <si>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</si>
  <si>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</si>
  <si>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</si>
  <si>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</si>
  <si>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</si>
  <si>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</si>
  <si>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</si>
  <si>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</si>
  <si>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</si>
  <si>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</si>
  <si>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</si>
  <si>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</si>
  <si>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</si>
  <si>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</si>
  <si>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</si>
  <si>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</si>
  <si>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</si>
  <si>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MOPT</t>
  </si>
  <si>
    <t>EX</t>
  </si>
  <si>
    <t>10/11/2023</t>
  </si>
  <si>
    <t>06080308801034</t>
  </si>
  <si>
    <t>JOSE EDUARDO GUERRERO</t>
  </si>
  <si>
    <t>07/12/2023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</si>
</sst>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4" fontId="18" fillId="16" borderId="0" xfId="0" applyNumberFormat="1" applyFont="1" applyFill="1"/>
    <xf numFmtId="49" fontId="0" fillId="12" borderId="0" xfId="0" quotePrefix="1" applyNumberFormat="1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18</xdr:col>
      <xdr:colOff>60614</xdr:colOff>
      <xdr:row>0</xdr:row>
      <xdr:rowOff>190500</xdr:rowOff>
    </xdr:from>
    <xdr:to>
      <xdr:col>19</xdr:col>
      <xdr:colOff>334240</xdr:colOff>
      <xdr:row>6</xdr:row>
      <xdr:rowOff>17100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2F609FEE-DB2E-67DB-889B-4474D8083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190500"/>
          <a:ext cx="1035626" cy="1038873"/>
        </a:xfrm>
        <a:prstGeom prst="rect">
          <a:avLst/>
        </a:prstGeom>
        <a:effectLst>
          <a:glow rad="127000">
            <a:schemeClr val="accent4"/>
          </a:glo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C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4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89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6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6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4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8" totalsRowCount="1" headerRowDxfId="83" headerRowBorderDxfId="82" tableBorderDxfId="81">
  <autoFilter ref="A1:J7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29" totalsRowShown="0">
  <autoFilter ref="A1:B4529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9025</v>
      </c>
      <c r="XFD3" t="s">
        <v>8491</v>
      </c>
    </row>
    <row r="4" spans="2:6 16384:16384" x14ac:dyDescent="0.25">
      <c r="B4" s="23" t="s">
        <v>2</v>
      </c>
      <c r="D4" s="46" t="s">
        <v>9225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43"/>
      <c r="XFD7" t="s">
        <v>8490</v>
      </c>
    </row>
    <row r="8" spans="2:6 16384:16384" x14ac:dyDescent="0.25">
      <c r="B8" s="23" t="s">
        <v>6</v>
      </c>
      <c r="D8" s="127" t="s">
        <v>637</v>
      </c>
      <c r="XFD8" t="s">
        <v>8489</v>
      </c>
    </row>
    <row r="9" spans="2:6 16384:16384" x14ac:dyDescent="0.25">
      <c r="B9" s="23" t="s">
        <v>70</v>
      </c>
      <c r="D9" s="104" t="str">
        <f>IFERROR(IF(D19&lt;&gt;"",VLOOKUP(D19,Tabla4[#All],2,0),IF(D8&lt;&gt;0,VLOOKUP(D8,Tabla4[#All],2,0),0)),"")</f>
        <v>INTRA DE EL SALVADOR</v>
      </c>
      <c r="XFD9" t="s">
        <v>9020</v>
      </c>
    </row>
    <row r="10" spans="2:6 16384:16384" x14ac:dyDescent="0.25">
      <c r="B10" s="23" t="s">
        <v>7</v>
      </c>
      <c r="D10" s="105">
        <v>0</v>
      </c>
      <c r="F10" s="2"/>
      <c r="XFD10" t="s">
        <v>9021</v>
      </c>
    </row>
    <row r="11" spans="2:6 16384:16384" x14ac:dyDescent="0.25">
      <c r="B11" s="23" t="s">
        <v>8</v>
      </c>
      <c r="D11" s="105">
        <v>0</v>
      </c>
      <c r="F11" s="2"/>
      <c r="XFD11" t="s">
        <v>9022</v>
      </c>
    </row>
    <row r="12" spans="2:6 16384:16384" x14ac:dyDescent="0.25">
      <c r="B12" s="23" t="s">
        <v>9</v>
      </c>
      <c r="D12" s="105">
        <v>0</v>
      </c>
      <c r="F12" s="2"/>
      <c r="XFD12" t="s">
        <v>9023</v>
      </c>
    </row>
    <row r="13" spans="2:6 16384:16384" x14ac:dyDescent="0.25">
      <c r="B13" s="23" t="s">
        <v>10</v>
      </c>
      <c r="D13" s="106"/>
      <c r="F13" s="15"/>
      <c r="XFD13" t="s">
        <v>9024</v>
      </c>
    </row>
    <row r="14" spans="2:6 16384:16384" x14ac:dyDescent="0.25">
      <c r="B14" s="23" t="s">
        <v>11</v>
      </c>
      <c r="D14" s="105">
        <v>0</v>
      </c>
      <c r="F14" s="2"/>
      <c r="XFD14" t="s">
        <v>9025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44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8953</v>
      </c>
      <c r="C1" s="55" t="s">
        <v>8952</v>
      </c>
      <c r="D1" s="55" t="s">
        <v>8492</v>
      </c>
      <c r="E1" s="55"/>
      <c r="F1" s="55" t="s">
        <v>2</v>
      </c>
      <c r="G1" s="55" t="s">
        <v>3</v>
      </c>
      <c r="H1" s="55" t="s">
        <v>4</v>
      </c>
      <c r="I1" s="55" t="s">
        <v>8505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8506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8506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8506</v>
      </c>
      <c r="L4" s="66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8506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8506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8506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8506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8506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8506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8506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8506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8506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8506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8506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8506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8506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8506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8506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8506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8506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8506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8506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8506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8506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8506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8506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8506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8506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8506</v>
      </c>
      <c r="L30" s="66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8506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8506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8506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8506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8506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8506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8506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8506</v>
      </c>
      <c r="L38" s="66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8506</v>
      </c>
      <c r="L39" s="66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8506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8506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8506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8506</v>
      </c>
      <c r="L43" s="66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8506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8506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8506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8506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8506</v>
      </c>
      <c r="L48" s="66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8506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8506</v>
      </c>
      <c r="L50" s="66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8506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8506</v>
      </c>
      <c r="L52" s="66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8506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8506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8506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8506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8506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8506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8506</v>
      </c>
      <c r="L59" s="66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8506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8506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8506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8506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8506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8506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8506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8506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8506</v>
      </c>
      <c r="L68" s="66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8506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8506</v>
      </c>
      <c r="L70" s="66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8506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8506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8506</v>
      </c>
      <c r="L73" s="66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8506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8506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8506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8506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8506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8506</v>
      </c>
      <c r="L79" s="66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8506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8506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8506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8506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8506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8506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8506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8506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8506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8506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8506</v>
      </c>
      <c r="L90" s="66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8506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8506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8506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8506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8506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8506</v>
      </c>
      <c r="L96" s="66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8506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8506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8506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8506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8506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8506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8506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8506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8506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8506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8506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8506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8506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8506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8506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8506</v>
      </c>
      <c r="L112" s="66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8506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8506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8506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8506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8506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8506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8506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8506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8506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8506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8506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8506</v>
      </c>
      <c r="L124" s="66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8506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8506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8506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8506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8506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8506</v>
      </c>
      <c r="L130" s="66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8506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8506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8506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8506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8506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8506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8506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8506</v>
      </c>
      <c r="L138" s="66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8506</v>
      </c>
      <c r="L139" s="66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8506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8506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8506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8506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8506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8506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8506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8506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8506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8506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8506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8506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8506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8506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8506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8506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8506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8506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8506</v>
      </c>
      <c r="L158" s="66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8506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8506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8506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8506</v>
      </c>
      <c r="L162" s="66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8506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8506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8506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8506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8506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8506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8506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8506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8506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8506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8506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8506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8506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8506</v>
      </c>
      <c r="L176" s="66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8506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8506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8506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8506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8506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8506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8506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8506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8506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8506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8506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8506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8506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8506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8506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8506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8506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8506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8506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8506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8506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8506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8506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8506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8506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8506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8506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8506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8506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8506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8506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8506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8506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8506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8506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8506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8506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8506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8506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8506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8506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8506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8506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8506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8506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8506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8506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8506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8506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8506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8506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8506</v>
      </c>
      <c r="L228" s="66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8506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8506</v>
      </c>
      <c r="L230" s="66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8506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8506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8506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8506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8506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8506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8506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8506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8506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8506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8506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8506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8506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8506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8506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8506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8506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8506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8506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8506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8506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8506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8506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8506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8506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8506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8506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8506</v>
      </c>
      <c r="L258" s="66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8506</v>
      </c>
      <c r="L259" s="66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8506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8506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8506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8506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8506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8506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8506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8506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8506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8506</v>
      </c>
      <c r="L269" s="66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8506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8506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8506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8506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8506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8506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8506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8506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8506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8506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8506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8506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8506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8506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8506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8506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8506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8506</v>
      </c>
      <c r="L287" s="66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8506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8506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8506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8506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8506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8506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8506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8506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8506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8506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8506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8506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8506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8506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8506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8506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8506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8506</v>
      </c>
      <c r="L305" s="66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8506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8506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8506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8506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8506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8506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8506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8506</v>
      </c>
      <c r="L313" s="66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8506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8506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8506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8506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8506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8506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8506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8506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8506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8506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8506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8506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8506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8506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8506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8506</v>
      </c>
      <c r="L329" s="66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8506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8506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8506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8506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8506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8506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8506</v>
      </c>
      <c r="L336" s="66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8506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8506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8506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8506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8506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8506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8506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8506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8506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8506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8506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8506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8506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8506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8506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8506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8506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8506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8506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8506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8506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8506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8506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8506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8506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8506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8506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8506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8506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8506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8506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8506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8506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8506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8506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8506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8506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8506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8506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8506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8506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8506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8506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8506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8506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8506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8506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8506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8506</v>
      </c>
      <c r="L385" s="66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8506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8506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8506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8506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8506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8506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8506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8506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8506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8506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8506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8506</v>
      </c>
      <c r="L397" s="66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8506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8506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8506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8506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8506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8506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8506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8506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8506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8506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8506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8506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8506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8506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8506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8506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8506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8506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8506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8506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8506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8506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8506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8506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8506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8506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8506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8506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8506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8506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8506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8506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8506</v>
      </c>
      <c r="L430" s="66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8506</v>
      </c>
      <c r="L431" s="66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8506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8506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8506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8506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8506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8506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8506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8506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8506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8506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8506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8506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8506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8506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8506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8506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8506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8506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8506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8506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8506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8506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8506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8506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8506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8506</v>
      </c>
      <c r="L457" s="66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8506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8506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8506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8506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8506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8506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8506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8506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8506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8506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8506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8506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8506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8506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8506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8506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8506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8506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8506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8506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8506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8506</v>
      </c>
      <c r="L479" s="66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8506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8506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8506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8506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8506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8506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8506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8506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8506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8506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8506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8506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8506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8506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8506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8506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8506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8506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8506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8506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8506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8506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8506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8506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8506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8506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8506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8506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8506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8506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8506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8506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8506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8506</v>
      </c>
      <c r="L513" s="66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8506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8506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8506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8506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8506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8506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8506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8506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8506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8506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8506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8506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8506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8506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8506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8506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8506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8506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8506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8506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8506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8506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8506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8506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8506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8506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8506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8506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8506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8506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8506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8506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8506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8506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8506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8506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8506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8506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8506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8506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8506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8506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8506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8506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8506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8506</v>
      </c>
      <c r="L559" s="66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8506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8506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8506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8506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8506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8506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8506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8506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8506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8506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8506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8506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8506</v>
      </c>
      <c r="L572" s="66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8506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8506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8506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8506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8506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8506</v>
      </c>
      <c r="L578" s="66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8506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8506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8506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8506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8506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8506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8506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8506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8506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8506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8506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8506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8506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8506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8506</v>
      </c>
      <c r="L593" s="66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8506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8506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8506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8506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8506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8506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8506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8506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8506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8506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8506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8506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8506</v>
      </c>
      <c r="L606" s="66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8506</v>
      </c>
      <c r="L607" s="66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8506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8506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8506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8506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8506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8506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8506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8506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8506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8506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8506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8506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8506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8506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8506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8506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8506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8506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8506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8506</v>
      </c>
      <c r="L627" s="66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8506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8506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8506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8506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8506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8506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8506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8506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8506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8506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8506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8506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8506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8506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8506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8506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8506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8506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8506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8506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8506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8506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8506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8506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8506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8506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8506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8506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8506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8506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8506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8506</v>
      </c>
      <c r="L659" s="66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8506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8506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8506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8506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8506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8506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8506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8506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8506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8506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3" priority="1"/>
    <cfRule type="duplicateValues" dxfId="9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27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C3" s="21"/>
      <c r="K3" s="15"/>
      <c r="Q3"/>
      <c r="S3" s="2"/>
      <c r="T3" s="2"/>
      <c r="U3" s="2"/>
    </row>
    <row r="4" spans="1:21" ht="15.75" thickBot="1" x14ac:dyDescent="0.3">
      <c r="T4" s="2"/>
      <c r="U4" s="2"/>
    </row>
    <row r="5" spans="1:21" ht="15.75" thickBot="1" x14ac:dyDescent="0.3">
      <c r="A5" s="128" t="s">
        <v>71</v>
      </c>
      <c r="B5" s="129"/>
      <c r="C5" s="129"/>
      <c r="D5" s="129"/>
      <c r="E5" s="129"/>
      <c r="F5" s="129"/>
      <c r="G5" s="130"/>
      <c r="H5" s="3">
        <f>+SUBTOTAL(9,Tabla1[C. EXENTAS])</f>
        <v>0</v>
      </c>
      <c r="I5" s="3">
        <f>+SUBTOTAL(9,Tabla1[I. EXENTAS])</f>
        <v>0</v>
      </c>
      <c r="J5" s="3">
        <f>+SUBTOTAL(9,Tabla1[IMPOR EX])</f>
        <v>0</v>
      </c>
      <c r="K5" s="3">
        <f>+SUBTOTAL(9,Tabla1[C. GRAVADA])</f>
        <v>0</v>
      </c>
      <c r="L5" s="3">
        <f>+SUBTOTAL(9,Tabla1[INTER GRAVA])</f>
        <v>0</v>
      </c>
      <c r="M5" s="3">
        <f>+SUBTOTAL(9,Tabla1[IMPOR BIENES])</f>
        <v>0</v>
      </c>
      <c r="N5" s="3">
        <f>+SUBTOTAL(9,Tabla1[IMPOR SERV])</f>
        <v>0</v>
      </c>
      <c r="O5" s="3">
        <f>+SUBTOTAL(9,Tabla1[IVA])</f>
        <v>0</v>
      </c>
      <c r="P5" s="3">
        <f>+SUBTOTAL(9,Tabla1[TOTAL C.])</f>
        <v>0</v>
      </c>
      <c r="Q5" s="3"/>
      <c r="R5" s="3">
        <f>+SUBTOTAL(9,Tabla1[ANEXO 3])</f>
        <v>0</v>
      </c>
      <c r="S5" s="3"/>
      <c r="T5" s="3">
        <f>+SUBTOTAL(9,Tabla1[PERCEPCIONES])</f>
        <v>0</v>
      </c>
      <c r="U5" s="2"/>
    </row>
    <row r="6" spans="1:21" x14ac:dyDescent="0.25">
      <c r="U6" s="2"/>
    </row>
    <row r="7" spans="1:21" x14ac:dyDescent="0.25">
      <c r="U7" s="2"/>
    </row>
    <row r="8" spans="1:21" x14ac:dyDescent="0.25">
      <c r="U8" s="2"/>
    </row>
    <row r="9" spans="1:21" x14ac:dyDescent="0.25">
      <c r="U9" s="2"/>
    </row>
    <row r="10" spans="1:21" x14ac:dyDescent="0.25">
      <c r="U10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115"/>
    </row>
    <row r="46" spans="21:21" x14ac:dyDescent="0.25">
      <c r="U46" s="115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1027" spans="1:20" s="42" customFormat="1" x14ac:dyDescent="0.25">
      <c r="A1027"/>
      <c r="B1027"/>
      <c r="C1027"/>
      <c r="D1027"/>
      <c r="E1027"/>
      <c r="F1027"/>
      <c r="G1027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/>
      <c r="S1027"/>
      <c r="T1027"/>
    </row>
  </sheetData>
  <dataConsolidate/>
  <mergeCells count="1">
    <mergeCell ref="A5:G5"/>
  </mergeCells>
  <phoneticPr fontId="8" type="noConversion"/>
  <conditionalFormatting sqref="E1:E1048576">
    <cfRule type="duplicateValues" dxfId="91" priority="21"/>
    <cfRule type="duplicateValues" dxfId="9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8">
        <v>45315</v>
      </c>
      <c r="F3" s="40"/>
      <c r="XFD3" t="s">
        <v>8486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5" t="s">
        <v>9054</v>
      </c>
      <c r="F6" s="2"/>
      <c r="XFD6" t="s">
        <v>8490</v>
      </c>
    </row>
    <row r="7" spans="1:9 16384:16384" hidden="1" x14ac:dyDescent="0.25">
      <c r="B7" s="23" t="s">
        <v>27</v>
      </c>
      <c r="D7" s="75" t="s">
        <v>9055</v>
      </c>
      <c r="F7" s="2"/>
      <c r="XFD7" t="s">
        <v>8489</v>
      </c>
    </row>
    <row r="8" spans="1:9 16384:16384" ht="16.5" customHeight="1" x14ac:dyDescent="0.25">
      <c r="B8" s="23" t="s">
        <v>26</v>
      </c>
      <c r="D8" s="108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9"/>
      <c r="F10" s="39"/>
      <c r="XFD10" t="s">
        <v>9022</v>
      </c>
    </row>
    <row r="11" spans="1:9 16384:16384" ht="16.5" customHeight="1" x14ac:dyDescent="0.25">
      <c r="B11" s="24" t="s">
        <v>72</v>
      </c>
      <c r="D11" s="104">
        <f>IFERROR(IF(D10&lt;&gt;"",VLOOKUP(D10,Tabla4[#All],2,0),IF(D19&lt;&gt;0,VLOOKUP(D19,Tabla4[#All],2,0),0)),"")</f>
        <v>0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>
      <selection activeCell="B3" sqref="B3:S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8491</v>
      </c>
      <c r="B3" s="40">
        <v>45315</v>
      </c>
      <c r="C3" s="2" t="s">
        <v>1</v>
      </c>
      <c r="D3" s="2" t="s">
        <v>0</v>
      </c>
      <c r="E3" s="2" t="s">
        <v>9054</v>
      </c>
      <c r="F3" s="2" t="s">
        <v>9055</v>
      </c>
      <c r="G3" s="33">
        <v>292</v>
      </c>
      <c r="H3" s="38">
        <v>292</v>
      </c>
      <c r="I3" s="39"/>
      <c r="J3" s="32" t="s">
        <v>9056</v>
      </c>
      <c r="K3" s="2">
        <v>0</v>
      </c>
      <c r="L3" s="2">
        <v>0</v>
      </c>
      <c r="M3" s="32">
        <v>875</v>
      </c>
      <c r="N3" s="2">
        <v>113.75</v>
      </c>
      <c r="O3" s="2">
        <v>0</v>
      </c>
      <c r="P3" s="2">
        <v>0</v>
      </c>
      <c r="Q3" s="32">
        <v>988.75</v>
      </c>
      <c r="R3" s="2" t="s">
        <v>9057</v>
      </c>
      <c r="S3" s="2" t="s">
        <v>1</v>
      </c>
    </row>
    <row r="4" spans="1:19" x14ac:dyDescent="0.25">
      <c r="A4" s="2" t="s">
        <v>8491</v>
      </c>
      <c r="B4" s="40">
        <v>45300</v>
      </c>
      <c r="C4" s="2" t="s">
        <v>1</v>
      </c>
      <c r="D4" s="2" t="s">
        <v>0</v>
      </c>
      <c r="E4" s="2" t="s">
        <v>9054</v>
      </c>
      <c r="F4" s="2" t="s">
        <v>9055</v>
      </c>
      <c r="G4" s="33">
        <v>291</v>
      </c>
      <c r="H4" s="38">
        <v>291</v>
      </c>
      <c r="I4" s="39"/>
      <c r="J4" s="32" t="s">
        <v>9056</v>
      </c>
      <c r="K4" s="2">
        <v>0</v>
      </c>
      <c r="L4" s="2">
        <v>0</v>
      </c>
      <c r="M4" s="32">
        <v>839.25</v>
      </c>
      <c r="N4" s="2">
        <v>109.10250000000001</v>
      </c>
      <c r="O4" s="2">
        <v>0</v>
      </c>
      <c r="P4" s="2">
        <v>0</v>
      </c>
      <c r="Q4" s="32">
        <v>948.35249999999996</v>
      </c>
      <c r="R4" s="2" t="s">
        <v>9057</v>
      </c>
      <c r="S4" s="2" t="s">
        <v>1</v>
      </c>
    </row>
    <row r="5" spans="1:19" x14ac:dyDescent="0.25">
      <c r="A5" s="2"/>
      <c r="B5" s="40"/>
      <c r="C5" s="2"/>
      <c r="D5" s="2"/>
      <c r="E5" s="2"/>
      <c r="F5" s="2"/>
      <c r="G5" s="33"/>
      <c r="H5" s="38"/>
      <c r="I5" s="39"/>
      <c r="J5" s="32"/>
      <c r="M5" s="32"/>
      <c r="Q5" s="32"/>
      <c r="S5" s="2"/>
    </row>
    <row r="6" spans="1:19" ht="15.75" thickBot="1" x14ac:dyDescent="0.3">
      <c r="R6" s="15"/>
      <c r="S6" s="1"/>
    </row>
    <row r="7" spans="1:19" ht="15.75" thickBot="1" x14ac:dyDescent="0.3">
      <c r="A7" s="129"/>
      <c r="B7" s="129"/>
      <c r="C7" s="129"/>
      <c r="D7" s="129"/>
      <c r="E7" s="129"/>
      <c r="F7" s="129"/>
      <c r="G7" s="129"/>
      <c r="H7" s="129"/>
      <c r="I7" s="129"/>
      <c r="J7" s="130"/>
      <c r="K7" s="4">
        <f>+SUBTOTAL(9,Tabla2[VENTA EXENTA])</f>
        <v>0</v>
      </c>
      <c r="L7" s="4">
        <f>+SUBTOTAL(9,Tabla2[VENTA NO SUJETA])</f>
        <v>0</v>
      </c>
      <c r="M7" s="3">
        <f>+SUBTOTAL(9,Tabla2[V. GRAVADA])</f>
        <v>1714.25</v>
      </c>
      <c r="N7" s="4">
        <f>+SUBTOTAL(9,Tabla2[D.FISCAL])</f>
        <v>222.85250000000002</v>
      </c>
      <c r="O7" s="4">
        <f>+SUBTOTAL(9,Tabla2[V CTA DE 3])</f>
        <v>0</v>
      </c>
      <c r="P7" s="4">
        <f>+SUBTOTAL(9,Tabla2[D. FISCAL A 3])</f>
        <v>0</v>
      </c>
      <c r="Q7" s="4">
        <f>+SUBTOTAL(9,Tabla2[VENTA TOTAL])</f>
        <v>1937.1025</v>
      </c>
      <c r="R7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7:J7"/>
  </mergeCells>
  <phoneticPr fontId="8" type="noConversion"/>
  <conditionalFormatting sqref="G1:G1048576">
    <cfRule type="duplicateValues" dxfId="8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8328</v>
      </c>
      <c r="XFD2" t="s">
        <v>7944</v>
      </c>
    </row>
    <row r="3" spans="2:4 16384:16384" x14ac:dyDescent="0.25">
      <c r="B3" s="68" t="s">
        <v>2</v>
      </c>
      <c r="D3" s="7" t="s">
        <v>9222</v>
      </c>
      <c r="XFD3" t="s">
        <v>7981</v>
      </c>
    </row>
    <row r="4" spans="2:4 16384:16384" x14ac:dyDescent="0.25">
      <c r="B4" s="68" t="s">
        <v>3</v>
      </c>
      <c r="D4" s="74" t="s">
        <v>1</v>
      </c>
      <c r="XFD4" t="s">
        <v>8153</v>
      </c>
    </row>
    <row r="5" spans="2:4 16384:16384" ht="14.25" customHeight="1" x14ac:dyDescent="0.25">
      <c r="B5" s="69" t="s">
        <v>4</v>
      </c>
      <c r="D5" s="74" t="s">
        <v>9070</v>
      </c>
      <c r="XFD5" t="s">
        <v>8265</v>
      </c>
    </row>
    <row r="6" spans="2:4 16384:16384" ht="14.25" customHeight="1" x14ac:dyDescent="0.25">
      <c r="B6" s="70" t="s">
        <v>69</v>
      </c>
      <c r="D6" s="75" t="s">
        <v>9071</v>
      </c>
      <c r="XFD6" t="s">
        <v>8322</v>
      </c>
    </row>
    <row r="7" spans="2:4 16384:16384" ht="14.25" customHeight="1" x14ac:dyDescent="0.25">
      <c r="B7" s="70" t="s">
        <v>68</v>
      </c>
      <c r="D7" s="75" t="s">
        <v>9072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customHeight="1" x14ac:dyDescent="0.25">
      <c r="B13" s="68" t="s">
        <v>64</v>
      </c>
      <c r="D13" s="71">
        <v>0</v>
      </c>
      <c r="XFD13" t="s">
        <v>8329</v>
      </c>
    </row>
    <row r="14" spans="2:4 16384:16384" ht="14.25" customHeight="1" x14ac:dyDescent="0.25">
      <c r="B14" s="68" t="s">
        <v>63</v>
      </c>
      <c r="D14" s="71">
        <v>0</v>
      </c>
      <c r="XFD14" t="s">
        <v>7944</v>
      </c>
    </row>
    <row r="15" spans="2:4 16384:16384" ht="14.25" customHeight="1" x14ac:dyDescent="0.25">
      <c r="B15" s="68" t="s">
        <v>62</v>
      </c>
      <c r="D15" s="71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7"/>
  <sheetViews>
    <sheetView workbookViewId="0">
      <selection activeCell="A4" sqref="A4:V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4" spans="1:22" ht="15.75" thickBot="1" x14ac:dyDescent="0.3"/>
    <row r="5" spans="1:22" ht="15.75" thickBot="1" x14ac:dyDescent="0.3">
      <c r="A5" s="128" t="s">
        <v>76</v>
      </c>
      <c r="B5" s="129"/>
      <c r="C5" s="129"/>
      <c r="D5" s="129"/>
      <c r="E5" s="129"/>
      <c r="F5" s="129"/>
      <c r="G5" s="129"/>
      <c r="H5" s="129"/>
      <c r="I5" s="129"/>
      <c r="J5" s="129"/>
      <c r="K5" s="130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0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0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0</v>
      </c>
    </row>
    <row r="6" spans="1:22" x14ac:dyDescent="0.25">
      <c r="O6" s="2">
        <f>O5/1.13</f>
        <v>0</v>
      </c>
    </row>
    <row r="7" spans="1:22" x14ac:dyDescent="0.25">
      <c r="O7" s="2">
        <f>O6*0.13</f>
        <v>0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8493</v>
      </c>
      <c r="B1" s="59" t="s">
        <v>8494</v>
      </c>
      <c r="C1" s="59" t="s">
        <v>8495</v>
      </c>
      <c r="D1" s="60" t="s">
        <v>8496</v>
      </c>
      <c r="E1" s="62" t="s">
        <v>8497</v>
      </c>
      <c r="F1" s="63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8499</v>
      </c>
      <c r="B1" s="59" t="s">
        <v>8500</v>
      </c>
      <c r="C1" s="59" t="s">
        <v>8501</v>
      </c>
      <c r="D1" s="59" t="s">
        <v>8502</v>
      </c>
      <c r="E1" s="59" t="s">
        <v>8503</v>
      </c>
      <c r="F1" s="65" t="s">
        <v>8504</v>
      </c>
      <c r="G1" s="59" t="s">
        <v>8494</v>
      </c>
      <c r="H1" s="60" t="s">
        <v>8496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8482</v>
      </c>
      <c r="B1" s="54" t="s">
        <v>17</v>
      </c>
      <c r="C1" s="55" t="s">
        <v>8485</v>
      </c>
      <c r="D1" s="55" t="s">
        <v>8492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9015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8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567</v>
      </c>
      <c r="D2" s="13"/>
      <c r="E2" t="s">
        <v>8264</v>
      </c>
      <c r="F2" t="s">
        <v>9015</v>
      </c>
      <c r="G2"/>
      <c r="H2" s="2">
        <v>0</v>
      </c>
      <c r="I2" s="2">
        <v>0</v>
      </c>
      <c r="J2">
        <v>7</v>
      </c>
    </row>
    <row r="3" spans="1:10" s="18" customFormat="1" x14ac:dyDescent="0.25">
      <c r="A3" t="s">
        <v>7944</v>
      </c>
      <c r="B3"/>
      <c r="C3" t="s">
        <v>567</v>
      </c>
      <c r="D3" s="13"/>
      <c r="E3" t="s">
        <v>8264</v>
      </c>
      <c r="F3" t="s">
        <v>9015</v>
      </c>
      <c r="G3"/>
      <c r="H3" s="2">
        <v>0</v>
      </c>
      <c r="I3" s="2">
        <v>0</v>
      </c>
      <c r="J3">
        <v>7</v>
      </c>
    </row>
    <row r="4" spans="1:10" s="18" customFormat="1" x14ac:dyDescent="0.25">
      <c r="A4" t="s">
        <v>7944</v>
      </c>
      <c r="B4"/>
      <c r="C4" t="s">
        <v>567</v>
      </c>
      <c r="D4" s="13"/>
      <c r="E4" t="s">
        <v>8264</v>
      </c>
      <c r="F4" t="s">
        <v>9015</v>
      </c>
      <c r="G4"/>
      <c r="H4" s="2">
        <v>0</v>
      </c>
      <c r="I4" s="2">
        <v>0</v>
      </c>
      <c r="J4">
        <v>7</v>
      </c>
    </row>
    <row r="5" spans="1:10" s="18" customFormat="1" x14ac:dyDescent="0.25">
      <c r="A5" t="s">
        <v>7944</v>
      </c>
      <c r="B5"/>
      <c r="C5" t="s">
        <v>567</v>
      </c>
      <c r="D5" s="13"/>
      <c r="E5" t="s">
        <v>8264</v>
      </c>
      <c r="F5" t="s">
        <v>9015</v>
      </c>
      <c r="G5"/>
      <c r="H5" s="2">
        <v>0</v>
      </c>
      <c r="I5" s="2">
        <v>0</v>
      </c>
      <c r="J5">
        <v>7</v>
      </c>
    </row>
    <row r="6" spans="1:10" s="18" customFormat="1" x14ac:dyDescent="0.25">
      <c r="A6" t="s">
        <v>7944</v>
      </c>
      <c r="B6"/>
      <c r="C6" t="s">
        <v>567</v>
      </c>
      <c r="D6" s="13"/>
      <c r="E6" t="s">
        <v>8264</v>
      </c>
      <c r="F6" t="s">
        <v>9015</v>
      </c>
      <c r="G6"/>
      <c r="H6" s="2">
        <v>0</v>
      </c>
      <c r="I6" s="2">
        <v>0</v>
      </c>
      <c r="J6">
        <v>7</v>
      </c>
    </row>
    <row r="7" spans="1:10" s="18" customFormat="1" x14ac:dyDescent="0.25">
      <c r="A7"/>
      <c r="B7"/>
      <c r="C7"/>
      <c r="D7" s="13"/>
      <c r="E7" s="1"/>
      <c r="F7" s="34"/>
      <c r="G7" s="34"/>
      <c r="H7" s="76"/>
      <c r="I7" s="2"/>
      <c r="J7" s="82"/>
    </row>
    <row r="8" spans="1:10" s="18" customFormat="1" x14ac:dyDescent="0.25">
      <c r="A8" t="s">
        <v>7719</v>
      </c>
      <c r="B8"/>
      <c r="C8"/>
      <c r="D8" s="13"/>
      <c r="E8" s="15">
        <f>SUBTOTAL(109,Tabla6[Tipo de documento])</f>
        <v>0</v>
      </c>
      <c r="F8" s="15">
        <f>SUBTOTAL(109,Tabla6[Serie])</f>
        <v>0</v>
      </c>
      <c r="G8" s="15"/>
      <c r="H8" s="36">
        <f>SUBTOTAL(109,Tabla6[Monto sujeto])</f>
        <v>0</v>
      </c>
      <c r="I8" s="36">
        <f>SUBTOTAL(109,Tabla6[Monto Retención 1%])</f>
        <v>0</v>
      </c>
      <c r="J8" s="19">
        <f>SUBTOTAL(109,Tabla6[ANEXO])</f>
        <v>35</v>
      </c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1"/>
      <c r="I274" s="81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1"/>
      <c r="I275" s="81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1"/>
      <c r="I276" s="81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1"/>
      <c r="I277" s="81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1"/>
      <c r="I278" s="81"/>
      <c r="J278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29"/>
  <sheetViews>
    <sheetView topLeftCell="A4493" workbookViewId="0">
      <selection activeCell="A4529" sqref="A452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3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3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5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4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9027</v>
      </c>
      <c r="B4412" t="s">
        <v>9026</v>
      </c>
    </row>
    <row r="4413" spans="1:2" x14ac:dyDescent="0.25">
      <c r="A4413" s="1" t="s">
        <v>9029</v>
      </c>
      <c r="B4413" t="s">
        <v>9028</v>
      </c>
    </row>
    <row r="4414" spans="1:2" x14ac:dyDescent="0.25">
      <c r="A4414" s="1" t="s">
        <v>9030</v>
      </c>
      <c r="B4414" t="s">
        <v>9042</v>
      </c>
    </row>
    <row r="4415" spans="1:2" x14ac:dyDescent="0.25">
      <c r="A4415" s="1" t="s">
        <v>9031</v>
      </c>
      <c r="B4415" t="s">
        <v>9043</v>
      </c>
    </row>
    <row r="4416" spans="1:2" x14ac:dyDescent="0.25">
      <c r="A4416" s="1" t="s">
        <v>9032</v>
      </c>
      <c r="B4416" t="s">
        <v>9044</v>
      </c>
    </row>
    <row r="4417" spans="1:2" x14ac:dyDescent="0.25">
      <c r="A4417" s="1" t="s">
        <v>9033</v>
      </c>
      <c r="B4417" t="s">
        <v>9045</v>
      </c>
    </row>
    <row r="4418" spans="1:2" x14ac:dyDescent="0.25">
      <c r="A4418" s="1" t="s">
        <v>9034</v>
      </c>
      <c r="B4418" t="s">
        <v>9046</v>
      </c>
    </row>
    <row r="4419" spans="1:2" x14ac:dyDescent="0.25">
      <c r="A4419" s="1" t="s">
        <v>9035</v>
      </c>
      <c r="B4419" t="s">
        <v>9047</v>
      </c>
    </row>
    <row r="4420" spans="1:2" x14ac:dyDescent="0.25">
      <c r="A4420" s="1" t="s">
        <v>9036</v>
      </c>
      <c r="B4420" t="s">
        <v>9048</v>
      </c>
    </row>
    <row r="4421" spans="1:2" x14ac:dyDescent="0.25">
      <c r="A4421" s="1" t="s">
        <v>9037</v>
      </c>
      <c r="B4421" t="s">
        <v>9049</v>
      </c>
    </row>
    <row r="4422" spans="1:2" x14ac:dyDescent="0.25">
      <c r="A4422" s="1" t="s">
        <v>9038</v>
      </c>
      <c r="B4422" t="s">
        <v>9050</v>
      </c>
    </row>
    <row r="4423" spans="1:2" x14ac:dyDescent="0.25">
      <c r="A4423" s="1" t="s">
        <v>9039</v>
      </c>
      <c r="B4423" t="s">
        <v>9051</v>
      </c>
    </row>
    <row r="4424" spans="1:2" x14ac:dyDescent="0.25">
      <c r="A4424" s="1" t="s">
        <v>9040</v>
      </c>
      <c r="B4424" t="s">
        <v>9052</v>
      </c>
    </row>
    <row r="4425" spans="1:2" x14ac:dyDescent="0.25">
      <c r="A4425" s="1" t="s">
        <v>9041</v>
      </c>
      <c r="B4425" t="s">
        <v>9053</v>
      </c>
    </row>
    <row r="4426" spans="1:2" x14ac:dyDescent="0.25">
      <c r="A4426" s="1" t="s">
        <v>9073</v>
      </c>
      <c r="B4426" t="s">
        <v>9074</v>
      </c>
    </row>
    <row r="4427" spans="1:2" x14ac:dyDescent="0.25">
      <c r="A4427" s="1" t="s">
        <v>9075</v>
      </c>
      <c r="B4427" t="s">
        <v>9076</v>
      </c>
    </row>
    <row r="4428" spans="1:2" x14ac:dyDescent="0.25">
      <c r="A4428" s="1" t="s">
        <v>9077</v>
      </c>
      <c r="B4428" t="s">
        <v>9078</v>
      </c>
    </row>
    <row r="4429" spans="1:2" x14ac:dyDescent="0.25">
      <c r="A4429" s="1" t="s">
        <v>9079</v>
      </c>
      <c r="B4429" t="s">
        <v>9080</v>
      </c>
    </row>
    <row r="4430" spans="1:2" x14ac:dyDescent="0.25">
      <c r="A4430" s="1" t="s">
        <v>9081</v>
      </c>
      <c r="B4430" t="s">
        <v>9082</v>
      </c>
    </row>
    <row r="4431" spans="1:2" x14ac:dyDescent="0.25">
      <c r="A4431" s="1" t="s">
        <v>9083</v>
      </c>
      <c r="B4431" t="s">
        <v>9084</v>
      </c>
    </row>
    <row r="4432" spans="1:2" x14ac:dyDescent="0.25">
      <c r="A4432" s="1" t="s">
        <v>9085</v>
      </c>
      <c r="B4432" t="s">
        <v>9086</v>
      </c>
    </row>
    <row r="4433" spans="1:2" x14ac:dyDescent="0.25">
      <c r="A4433" s="1" t="s">
        <v>9087</v>
      </c>
      <c r="B4433" t="s">
        <v>9088</v>
      </c>
    </row>
    <row r="4434" spans="1:2" x14ac:dyDescent="0.25">
      <c r="A4434" s="1" t="s">
        <v>9089</v>
      </c>
      <c r="B4434" t="s">
        <v>9090</v>
      </c>
    </row>
    <row r="4435" spans="1:2" x14ac:dyDescent="0.25">
      <c r="A4435" s="1" t="s">
        <v>9091</v>
      </c>
      <c r="B4435" t="s">
        <v>9092</v>
      </c>
    </row>
    <row r="4436" spans="1:2" x14ac:dyDescent="0.25">
      <c r="A4436" s="1" t="s">
        <v>9093</v>
      </c>
      <c r="B4436" t="s">
        <v>9094</v>
      </c>
    </row>
    <row r="4437" spans="1:2" x14ac:dyDescent="0.25">
      <c r="A4437" s="1" t="s">
        <v>52</v>
      </c>
      <c r="B4437" t="s">
        <v>9095</v>
      </c>
    </row>
    <row r="4438" spans="1:2" x14ac:dyDescent="0.25">
      <c r="A4438" s="1" t="s">
        <v>9096</v>
      </c>
      <c r="B4438" t="s">
        <v>9097</v>
      </c>
    </row>
    <row r="4439" spans="1:2" x14ac:dyDescent="0.25">
      <c r="A4439" s="1" t="s">
        <v>9098</v>
      </c>
      <c r="B4439" t="s">
        <v>9099</v>
      </c>
    </row>
    <row r="4440" spans="1:2" x14ac:dyDescent="0.25">
      <c r="A4440" s="1" t="s">
        <v>9100</v>
      </c>
      <c r="B4440" t="s">
        <v>9101</v>
      </c>
    </row>
    <row r="4441" spans="1:2" x14ac:dyDescent="0.25">
      <c r="A4441" s="1" t="s">
        <v>9102</v>
      </c>
      <c r="B4441" t="s">
        <v>9103</v>
      </c>
    </row>
    <row r="4442" spans="1:2" x14ac:dyDescent="0.25">
      <c r="A4442" s="1" t="s">
        <v>9104</v>
      </c>
      <c r="B4442" t="s">
        <v>9105</v>
      </c>
    </row>
    <row r="4443" spans="1:2" x14ac:dyDescent="0.25">
      <c r="A4443" s="1" t="s">
        <v>9106</v>
      </c>
      <c r="B4443" t="s">
        <v>9107</v>
      </c>
    </row>
    <row r="4444" spans="1:2" x14ac:dyDescent="0.25">
      <c r="A4444" s="1" t="s">
        <v>49</v>
      </c>
      <c r="B4444" t="s">
        <v>9108</v>
      </c>
    </row>
    <row r="4445" spans="1:2" x14ac:dyDescent="0.25">
      <c r="A4445" s="1" t="s">
        <v>9109</v>
      </c>
      <c r="B4445" t="s">
        <v>9110</v>
      </c>
    </row>
    <row r="4446" spans="1:2" x14ac:dyDescent="0.25">
      <c r="A4446" s="1" t="s">
        <v>9111</v>
      </c>
      <c r="B4446" t="s">
        <v>9112</v>
      </c>
    </row>
    <row r="4447" spans="1:2" x14ac:dyDescent="0.25">
      <c r="A4447" s="1" t="s">
        <v>48</v>
      </c>
      <c r="B4447" t="s">
        <v>9113</v>
      </c>
    </row>
    <row r="4448" spans="1:2" x14ac:dyDescent="0.25">
      <c r="A4448" s="1" t="s">
        <v>9114</v>
      </c>
      <c r="B4448" t="s">
        <v>9115</v>
      </c>
    </row>
    <row r="4449" spans="1:2" x14ac:dyDescent="0.25">
      <c r="A4449" s="1" t="s">
        <v>7810</v>
      </c>
      <c r="B4449" t="s">
        <v>9116</v>
      </c>
    </row>
    <row r="4450" spans="1:2" x14ac:dyDescent="0.25">
      <c r="A4450" s="1" t="s">
        <v>47</v>
      </c>
      <c r="B4450" t="s">
        <v>9117</v>
      </c>
    </row>
    <row r="4451" spans="1:2" x14ac:dyDescent="0.25">
      <c r="A4451" s="1" t="s">
        <v>9118</v>
      </c>
      <c r="B4451" t="s">
        <v>9119</v>
      </c>
    </row>
    <row r="4452" spans="1:2" x14ac:dyDescent="0.25">
      <c r="A4452" s="1" t="s">
        <v>46</v>
      </c>
      <c r="B4452" t="s">
        <v>9120</v>
      </c>
    </row>
    <row r="4453" spans="1:2" x14ac:dyDescent="0.25">
      <c r="A4453" s="1" t="s">
        <v>9121</v>
      </c>
      <c r="B4453" t="s">
        <v>9122</v>
      </c>
    </row>
    <row r="4454" spans="1:2" x14ac:dyDescent="0.25">
      <c r="A4454" s="1" t="s">
        <v>9123</v>
      </c>
      <c r="B4454" t="s">
        <v>9124</v>
      </c>
    </row>
    <row r="4455" spans="1:2" x14ac:dyDescent="0.25">
      <c r="A4455" s="1" t="s">
        <v>9125</v>
      </c>
      <c r="B4455" t="s">
        <v>9126</v>
      </c>
    </row>
    <row r="4456" spans="1:2" x14ac:dyDescent="0.25">
      <c r="A4456" s="1" t="s">
        <v>9127</v>
      </c>
      <c r="B4456" t="s">
        <v>9128</v>
      </c>
    </row>
    <row r="4457" spans="1:2" x14ac:dyDescent="0.25">
      <c r="A4457" s="1" t="s">
        <v>9129</v>
      </c>
      <c r="B4457" t="s">
        <v>9130</v>
      </c>
    </row>
    <row r="4458" spans="1:2" x14ac:dyDescent="0.25">
      <c r="A4458" s="1" t="s">
        <v>9131</v>
      </c>
      <c r="B4458" t="s">
        <v>9132</v>
      </c>
    </row>
    <row r="4459" spans="1:2" x14ac:dyDescent="0.25">
      <c r="A4459" s="1" t="s">
        <v>9133</v>
      </c>
      <c r="B4459" t="s">
        <v>9134</v>
      </c>
    </row>
    <row r="4460" spans="1:2" x14ac:dyDescent="0.25">
      <c r="A4460" s="1" t="s">
        <v>45</v>
      </c>
      <c r="B4460" t="s">
        <v>9135</v>
      </c>
    </row>
    <row r="4461" spans="1:2" x14ac:dyDescent="0.25">
      <c r="A4461" s="1" t="s">
        <v>9136</v>
      </c>
      <c r="B4461" t="s">
        <v>9137</v>
      </c>
    </row>
    <row r="4462" spans="1:2" x14ac:dyDescent="0.25">
      <c r="A4462" s="1" t="s">
        <v>44</v>
      </c>
      <c r="B4462" t="s">
        <v>9138</v>
      </c>
    </row>
    <row r="4463" spans="1:2" x14ac:dyDescent="0.25">
      <c r="A4463" s="1" t="s">
        <v>9139</v>
      </c>
      <c r="B4463" t="s">
        <v>9140</v>
      </c>
    </row>
    <row r="4464" spans="1:2" x14ac:dyDescent="0.25">
      <c r="A4464" s="1" t="s">
        <v>9064</v>
      </c>
      <c r="B4464" t="s">
        <v>9065</v>
      </c>
    </row>
    <row r="4465" spans="1:5" x14ac:dyDescent="0.25">
      <c r="A4465" s="1" t="s">
        <v>9141</v>
      </c>
      <c r="B4465" t="s">
        <v>9142</v>
      </c>
    </row>
    <row r="4466" spans="1:5" x14ac:dyDescent="0.25">
      <c r="A4466" s="1" t="s">
        <v>43</v>
      </c>
      <c r="B4466" t="s">
        <v>9143</v>
      </c>
    </row>
    <row r="4467" spans="1:5" x14ac:dyDescent="0.25">
      <c r="A4467" s="1" t="s">
        <v>9144</v>
      </c>
      <c r="B4467" t="s">
        <v>9145</v>
      </c>
    </row>
    <row r="4468" spans="1:5" x14ac:dyDescent="0.25">
      <c r="A4468" s="1" t="s">
        <v>9146</v>
      </c>
      <c r="B4468" t="s">
        <v>9147</v>
      </c>
    </row>
    <row r="4469" spans="1:5" x14ac:dyDescent="0.25">
      <c r="A4469" s="1" t="s">
        <v>42</v>
      </c>
      <c r="B4469" t="s">
        <v>9148</v>
      </c>
    </row>
    <row r="4470" spans="1:5" x14ac:dyDescent="0.25">
      <c r="A4470" s="1" t="s">
        <v>9149</v>
      </c>
      <c r="B4470" t="s">
        <v>9150</v>
      </c>
    </row>
    <row r="4471" spans="1:5" x14ac:dyDescent="0.25">
      <c r="A4471" s="1" t="s">
        <v>9151</v>
      </c>
      <c r="B4471" t="s">
        <v>41</v>
      </c>
    </row>
    <row r="4472" spans="1:5" x14ac:dyDescent="0.25">
      <c r="A4472" s="1" t="s">
        <v>9152</v>
      </c>
      <c r="B4472" t="s">
        <v>9153</v>
      </c>
    </row>
    <row r="4473" spans="1:5" x14ac:dyDescent="0.25">
      <c r="A4473" s="1" t="s">
        <v>40</v>
      </c>
      <c r="B4473" t="s">
        <v>9154</v>
      </c>
    </row>
    <row r="4474" spans="1:5" x14ac:dyDescent="0.25">
      <c r="A4474" s="1" t="s">
        <v>39</v>
      </c>
      <c r="B4474" t="s">
        <v>9155</v>
      </c>
      <c r="E4474">
        <v>288.04000000000002</v>
      </c>
    </row>
    <row r="4475" spans="1:5" x14ac:dyDescent="0.25">
      <c r="A4475" s="1" t="s">
        <v>38</v>
      </c>
      <c r="B4475" t="s">
        <v>9156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9157</v>
      </c>
      <c r="C4476">
        <v>1946.16</v>
      </c>
      <c r="E4476">
        <v>191.61</v>
      </c>
    </row>
    <row r="4477" spans="1:5" x14ac:dyDescent="0.25">
      <c r="A4477" s="1" t="s">
        <v>9158</v>
      </c>
      <c r="B4477" t="s">
        <v>9159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9160</v>
      </c>
      <c r="E4478">
        <v>393.22</v>
      </c>
    </row>
    <row r="4479" spans="1:5" x14ac:dyDescent="0.25">
      <c r="A4479" s="1" t="s">
        <v>35</v>
      </c>
      <c r="B4479" t="s">
        <v>9161</v>
      </c>
      <c r="E4479">
        <f>SUM(E4474:E4478)</f>
        <v>1946.16</v>
      </c>
    </row>
    <row r="4480" spans="1:5" x14ac:dyDescent="0.25">
      <c r="A4480" s="1" t="s">
        <v>34</v>
      </c>
      <c r="B4480" t="s">
        <v>9162</v>
      </c>
    </row>
    <row r="4481" spans="1:2" x14ac:dyDescent="0.25">
      <c r="A4481" s="1" t="s">
        <v>9163</v>
      </c>
      <c r="B4481" t="s">
        <v>9164</v>
      </c>
    </row>
    <row r="4482" spans="1:2" x14ac:dyDescent="0.25">
      <c r="A4482" s="1" t="s">
        <v>33</v>
      </c>
      <c r="B4482" t="s">
        <v>9165</v>
      </c>
    </row>
    <row r="4483" spans="1:2" x14ac:dyDescent="0.25">
      <c r="A4483" s="1" t="s">
        <v>32</v>
      </c>
      <c r="B4483" t="s">
        <v>9166</v>
      </c>
    </row>
    <row r="4484" spans="1:2" x14ac:dyDescent="0.25">
      <c r="A4484" s="1" t="s">
        <v>9167</v>
      </c>
      <c r="B4484" t="s">
        <v>9168</v>
      </c>
    </row>
    <row r="4485" spans="1:2" x14ac:dyDescent="0.25">
      <c r="A4485" s="1" t="s">
        <v>31</v>
      </c>
      <c r="B4485" t="s">
        <v>9169</v>
      </c>
    </row>
    <row r="4486" spans="1:2" x14ac:dyDescent="0.25">
      <c r="A4486" s="1" t="s">
        <v>9170</v>
      </c>
      <c r="B4486" t="s">
        <v>9171</v>
      </c>
    </row>
    <row r="4487" spans="1:2" x14ac:dyDescent="0.25">
      <c r="A4487" s="1" t="s">
        <v>9172</v>
      </c>
      <c r="B4487" t="s">
        <v>9173</v>
      </c>
    </row>
    <row r="4488" spans="1:2" x14ac:dyDescent="0.25">
      <c r="A4488" s="1" t="s">
        <v>30</v>
      </c>
      <c r="B4488" t="s">
        <v>9174</v>
      </c>
    </row>
    <row r="4489" spans="1:2" x14ac:dyDescent="0.25">
      <c r="A4489" s="1" t="s">
        <v>9175</v>
      </c>
      <c r="B4489" t="s">
        <v>9176</v>
      </c>
    </row>
    <row r="4490" spans="1:2" x14ac:dyDescent="0.25">
      <c r="A4490" s="1" t="s">
        <v>9177</v>
      </c>
      <c r="B4490" t="s">
        <v>9178</v>
      </c>
    </row>
    <row r="4491" spans="1:2" x14ac:dyDescent="0.25">
      <c r="A4491" s="1" t="s">
        <v>29</v>
      </c>
      <c r="B4491" t="s">
        <v>9179</v>
      </c>
    </row>
    <row r="4492" spans="1:2" x14ac:dyDescent="0.25">
      <c r="A4492" s="1" t="s">
        <v>9180</v>
      </c>
      <c r="B4492" t="s">
        <v>9181</v>
      </c>
    </row>
    <row r="4493" spans="1:2" x14ac:dyDescent="0.25">
      <c r="A4493" s="1" t="s">
        <v>9182</v>
      </c>
      <c r="B4493" t="s">
        <v>9183</v>
      </c>
    </row>
    <row r="4494" spans="1:2" x14ac:dyDescent="0.25">
      <c r="A4494" s="1" t="s">
        <v>9184</v>
      </c>
      <c r="B4494" t="s">
        <v>9185</v>
      </c>
    </row>
    <row r="4495" spans="1:2" x14ac:dyDescent="0.25">
      <c r="A4495" s="1" t="s">
        <v>9186</v>
      </c>
      <c r="B4495" t="s">
        <v>9187</v>
      </c>
    </row>
    <row r="4496" spans="1:2" x14ac:dyDescent="0.25">
      <c r="A4496" s="1" t="s">
        <v>9188</v>
      </c>
      <c r="B4496" t="s">
        <v>9189</v>
      </c>
    </row>
    <row r="4497" spans="1:2" x14ac:dyDescent="0.25">
      <c r="A4497" s="1" t="s">
        <v>9190</v>
      </c>
      <c r="B4497" t="s">
        <v>9191</v>
      </c>
    </row>
    <row r="4498" spans="1:2" x14ac:dyDescent="0.25">
      <c r="A4498" s="1" t="s">
        <v>9192</v>
      </c>
      <c r="B4498" t="s">
        <v>9193</v>
      </c>
    </row>
    <row r="4499" spans="1:2" x14ac:dyDescent="0.25">
      <c r="A4499" s="1" t="s">
        <v>3103</v>
      </c>
      <c r="B4499" t="s">
        <v>9194</v>
      </c>
    </row>
    <row r="4500" spans="1:2" x14ac:dyDescent="0.25">
      <c r="A4500" s="1" t="s">
        <v>6499</v>
      </c>
      <c r="B4500" t="s">
        <v>9195</v>
      </c>
    </row>
    <row r="4501" spans="1:2" x14ac:dyDescent="0.25">
      <c r="A4501" s="1" t="s">
        <v>2641</v>
      </c>
      <c r="B4501" t="s">
        <v>9196</v>
      </c>
    </row>
    <row r="4502" spans="1:2" x14ac:dyDescent="0.25">
      <c r="A4502" s="1" t="s">
        <v>2802</v>
      </c>
      <c r="B4502" t="s">
        <v>9197</v>
      </c>
    </row>
    <row r="4503" spans="1:2" x14ac:dyDescent="0.25">
      <c r="A4503" s="1" t="s">
        <v>5902</v>
      </c>
      <c r="B4503" t="s">
        <v>9198</v>
      </c>
    </row>
    <row r="4504" spans="1:2" x14ac:dyDescent="0.25">
      <c r="A4504" s="1" t="s">
        <v>5071</v>
      </c>
      <c r="B4504" t="s">
        <v>9199</v>
      </c>
    </row>
    <row r="4505" spans="1:2" x14ac:dyDescent="0.25">
      <c r="A4505" s="1" t="s">
        <v>3067</v>
      </c>
      <c r="B4505" t="s">
        <v>9200</v>
      </c>
    </row>
    <row r="4506" spans="1:2" x14ac:dyDescent="0.25">
      <c r="A4506" s="1" t="s">
        <v>6517</v>
      </c>
      <c r="B4506" t="s">
        <v>9201</v>
      </c>
    </row>
    <row r="4507" spans="1:2" x14ac:dyDescent="0.25">
      <c r="A4507" s="1" t="s">
        <v>9202</v>
      </c>
      <c r="B4507" t="s">
        <v>9203</v>
      </c>
    </row>
    <row r="4508" spans="1:2" x14ac:dyDescent="0.25">
      <c r="A4508" s="1" t="s">
        <v>3527</v>
      </c>
      <c r="B4508" t="s">
        <v>9204</v>
      </c>
    </row>
    <row r="4509" spans="1:2" x14ac:dyDescent="0.25">
      <c r="A4509" s="1" t="s">
        <v>1320</v>
      </c>
      <c r="B4509" t="s">
        <v>9205</v>
      </c>
    </row>
    <row r="4510" spans="1:2" x14ac:dyDescent="0.25">
      <c r="A4510" s="1" t="s">
        <v>9206</v>
      </c>
      <c r="B4510" t="s">
        <v>9207</v>
      </c>
    </row>
    <row r="4511" spans="1:2" x14ac:dyDescent="0.25">
      <c r="A4511" s="1" t="s">
        <v>2579</v>
      </c>
      <c r="B4511" t="s">
        <v>9208</v>
      </c>
    </row>
    <row r="4512" spans="1:2" x14ac:dyDescent="0.25">
      <c r="A4512" s="1" t="s">
        <v>3051</v>
      </c>
      <c r="B4512" t="s">
        <v>9209</v>
      </c>
    </row>
    <row r="4513" spans="1:2" x14ac:dyDescent="0.25">
      <c r="A4513" s="1" t="s">
        <v>2196</v>
      </c>
      <c r="B4513" t="s">
        <v>9210</v>
      </c>
    </row>
    <row r="4514" spans="1:2" x14ac:dyDescent="0.25">
      <c r="A4514" s="1" t="s">
        <v>1470</v>
      </c>
      <c r="B4514" t="s">
        <v>9211</v>
      </c>
    </row>
    <row r="4515" spans="1:2" x14ac:dyDescent="0.25">
      <c r="A4515" s="1" t="s">
        <v>9212</v>
      </c>
      <c r="B4515" t="s">
        <v>9213</v>
      </c>
    </row>
    <row r="4516" spans="1:2" x14ac:dyDescent="0.25">
      <c r="A4516" s="1" t="s">
        <v>9214</v>
      </c>
      <c r="B4516" t="s">
        <v>9215</v>
      </c>
    </row>
    <row r="4517" spans="1:2" x14ac:dyDescent="0.25">
      <c r="A4517" s="1" t="s">
        <v>2355</v>
      </c>
      <c r="B4517" t="s">
        <v>9216</v>
      </c>
    </row>
    <row r="4518" spans="1:2" x14ac:dyDescent="0.25">
      <c r="A4518" s="1" t="s">
        <v>9217</v>
      </c>
      <c r="B4518" t="s">
        <v>9218</v>
      </c>
    </row>
    <row r="4519" spans="1:2" x14ac:dyDescent="0.25">
      <c r="A4519" s="1" t="s">
        <v>5398</v>
      </c>
      <c r="B4519" t="s">
        <v>9219</v>
      </c>
    </row>
    <row r="4520" spans="1:2" x14ac:dyDescent="0.25">
      <c r="A4520" s="1" t="s">
        <v>9066</v>
      </c>
      <c r="B4520" t="s">
        <v>9063</v>
      </c>
    </row>
    <row r="4521" spans="1:2" x14ac:dyDescent="0.25">
      <c r="A4521" s="1" t="s">
        <v>9068</v>
      </c>
      <c r="B4521" t="s">
        <v>9069</v>
      </c>
    </row>
    <row r="4522" spans="1:2" x14ac:dyDescent="0.25">
      <c r="A4522" s="1" t="s">
        <v>9058</v>
      </c>
      <c r="B4522" t="s">
        <v>9059</v>
      </c>
    </row>
    <row r="4523" spans="1:2" x14ac:dyDescent="0.25">
      <c r="A4523" s="1" t="s">
        <v>9067</v>
      </c>
      <c r="B4523" t="s">
        <v>9056</v>
      </c>
    </row>
    <row r="4524" spans="1:2" x14ac:dyDescent="0.25">
      <c r="A4524" s="1" t="s">
        <v>9064</v>
      </c>
    </row>
    <row r="4525" spans="1:2" x14ac:dyDescent="0.25">
      <c r="A4525" s="1" t="s">
        <v>9057</v>
      </c>
      <c r="B4525" t="s">
        <v>9056</v>
      </c>
    </row>
    <row r="4526" spans="1:2" x14ac:dyDescent="0.25">
      <c r="A4526" s="1" t="s">
        <v>9062</v>
      </c>
      <c r="B4526" t="s">
        <v>9063</v>
      </c>
    </row>
    <row r="4527" spans="1:2" x14ac:dyDescent="0.25">
      <c r="A4527" s="1" t="s">
        <v>9060</v>
      </c>
      <c r="B4527" t="s">
        <v>9061</v>
      </c>
    </row>
    <row r="4528" spans="1:2" x14ac:dyDescent="0.25">
      <c r="A4528" s="1" t="s">
        <v>5246</v>
      </c>
      <c r="B4528" t="s">
        <v>9220</v>
      </c>
    </row>
    <row r="4529" spans="1:2" x14ac:dyDescent="0.25">
      <c r="A4529" s="1" t="s">
        <v>9223</v>
      </c>
      <c r="B4529" t="s">
        <v>9224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E3" sqref="E3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3"/>
      <c r="C1" s="134"/>
      <c r="D1" s="131" t="s">
        <v>8954</v>
      </c>
      <c r="E1" s="132"/>
      <c r="F1" s="132"/>
      <c r="I1" s="89"/>
    </row>
    <row r="3" spans="1:10 16383:16383" ht="21.75" customHeight="1" x14ac:dyDescent="0.25">
      <c r="D3" s="85" t="s">
        <v>8573</v>
      </c>
      <c r="E3" s="86" t="s">
        <v>7944</v>
      </c>
      <c r="F3" s="87" t="s">
        <v>8775</v>
      </c>
      <c r="G3" s="77"/>
      <c r="H3" s="85" t="s">
        <v>8776</v>
      </c>
      <c r="I3" s="86" t="s">
        <v>8757</v>
      </c>
      <c r="XFC3" t="s">
        <v>7944</v>
      </c>
    </row>
    <row r="4" spans="1:10 16383:16383" ht="18" customHeight="1" x14ac:dyDescent="0.25">
      <c r="D4" s="92" t="s">
        <v>8758</v>
      </c>
      <c r="E4" s="93">
        <f>ROUND(SUMIFS(Tabla3[[#All],[V GRAVADAS]],Tabla3[[#All],[MES]],Tabla7[[#Headers],[ENERO]])/(1.13),2)</f>
        <v>0</v>
      </c>
      <c r="F4" s="94"/>
      <c r="G4" s="111"/>
      <c r="H4" s="92" t="s">
        <v>8759</v>
      </c>
      <c r="I4" s="116">
        <f>ROUND(F8*0.13-F12*0.13-E14-E15,2)</f>
        <v>222.85</v>
      </c>
      <c r="XFC4" t="s">
        <v>7981</v>
      </c>
    </row>
    <row r="5" spans="1:10 16383:16383" ht="18" customHeight="1" x14ac:dyDescent="0.25">
      <c r="D5" s="92" t="s">
        <v>9221</v>
      </c>
      <c r="E5" s="93">
        <f>ROUND(SUMIFS(Tabla3[[#All],[EX SERVICE]],Tabla3[[#All],[MES]],Tabla7[[#Headers],[ENERO]]),2)</f>
        <v>0</v>
      </c>
      <c r="F5" s="94" t="str">
        <f>IFERROR(+E2+E3-E4,"")</f>
        <v/>
      </c>
      <c r="G5" s="77"/>
      <c r="H5" s="92" t="s">
        <v>8761</v>
      </c>
      <c r="I5" s="102">
        <f>ROUND(F7*0.0175,2)+E16</f>
        <v>30</v>
      </c>
      <c r="XFC5" t="s">
        <v>8153</v>
      </c>
    </row>
    <row r="6" spans="1:10 16383:16383" ht="18" customHeight="1" x14ac:dyDescent="0.25">
      <c r="D6" s="92" t="s">
        <v>8760</v>
      </c>
      <c r="E6" s="93">
        <f>ROUND(SUMIFS(Tabla2[[#All],[V. GRAVADA]],Tabla2[[#All],[MES]],Tabla7[[#Headers],[ENERO]],Tabla2[[#All],[TIPO DE DOC]],3),2)</f>
        <v>1714.25</v>
      </c>
      <c r="F6" s="94"/>
      <c r="G6" s="111"/>
      <c r="H6" s="109" t="s">
        <v>8763</v>
      </c>
      <c r="I6" s="103">
        <f>SUM(I4:I5)</f>
        <v>252.85</v>
      </c>
      <c r="XFC6" t="s">
        <v>8265</v>
      </c>
    </row>
    <row r="7" spans="1:10 16383:16383" ht="18" customHeight="1" x14ac:dyDescent="0.25">
      <c r="D7" s="92" t="s">
        <v>8762</v>
      </c>
      <c r="E7" s="93">
        <f>ROUND(SUMIFS(Tabla2[[#All],[V. GRAVADA]],Tabla2[[#All],[MES]],Tabla7[[#Headers],[ENERO]],Tabla2[[#All],[TIPO DE DOC]],5),2)</f>
        <v>0</v>
      </c>
      <c r="F7" s="126">
        <f>SUM(E4:E6)</f>
        <v>1714.25</v>
      </c>
      <c r="G7" s="77"/>
      <c r="H7" s="83"/>
      <c r="I7" s="84"/>
      <c r="XFC7" t="s">
        <v>8322</v>
      </c>
    </row>
    <row r="8" spans="1:10 16383:16383" ht="18" customHeight="1" x14ac:dyDescent="0.25">
      <c r="D8" s="120" t="s">
        <v>8773</v>
      </c>
      <c r="E8" s="121"/>
      <c r="F8" s="122">
        <f>+E4+E6-E7</f>
        <v>1714.25</v>
      </c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8764</v>
      </c>
      <c r="E9" s="93">
        <f>SUMIFS(Tabla1[[#All],[C. GRAVADA]],Tabla1[[#All],[MES]],Tabla7[[#Headers],[ENERO]],Tabla1[[#All],[TIPO DE DOC]],"03")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8765</v>
      </c>
      <c r="E10" s="93">
        <f>SUMIFS(Tabla1[[#All],[IMPOR BIENES]],Tabla1[[#All],[MES]],Tabla7[[#Headers],[ENERO]],Tabla1[[#All],[TIPO DE DOC]],12)</f>
        <v>0</v>
      </c>
      <c r="F10" s="95"/>
      <c r="XFC10" t="s">
        <v>8325</v>
      </c>
    </row>
    <row r="11" spans="1:10 16383:16383" ht="18" customHeight="1" x14ac:dyDescent="0.25">
      <c r="D11" s="92" t="s">
        <v>8766</v>
      </c>
      <c r="E11" s="93">
        <f>SUMIFS(Tabla1[[#All],[C. GRAVADA]],Tabla1[[#All],[MES]],Tabla7[[#Headers],[ENERO]],Tabla1[[#All],[TIPO DE DOC]],"05")</f>
        <v>0</v>
      </c>
      <c r="F11" s="96"/>
      <c r="G11" s="15"/>
      <c r="XFC11" t="s">
        <v>8326</v>
      </c>
    </row>
    <row r="12" spans="1:10 16383:16383" ht="18" customHeight="1" x14ac:dyDescent="0.25">
      <c r="D12" s="120" t="s">
        <v>8774</v>
      </c>
      <c r="E12" s="121"/>
      <c r="F12" s="122">
        <f>IFERROR(+E9+E10-E11,"")</f>
        <v>0</v>
      </c>
      <c r="G12" s="15"/>
      <c r="XFC12" t="s">
        <v>8327</v>
      </c>
    </row>
    <row r="13" spans="1:10 16383:16383" ht="18" customHeight="1" x14ac:dyDescent="0.25">
      <c r="D13" s="92" t="s">
        <v>8767</v>
      </c>
      <c r="E13" s="93">
        <f>SUMIFS(Tabla1[[#All],[C. EXENTAS]],Tabla1[[#All],[MES]],Tabla7[[#Headers],[ENERO]],Tabla1[[#All],[TIPO DE DOC]],"03")</f>
        <v>0</v>
      </c>
      <c r="F13" s="97"/>
      <c r="XFC13" t="s">
        <v>8328</v>
      </c>
    </row>
    <row r="14" spans="1:10 16383:16383" ht="18" customHeight="1" x14ac:dyDescent="0.25">
      <c r="D14" s="92" t="s">
        <v>8768</v>
      </c>
      <c r="E14" s="93">
        <f>SUMIFS(Tabla1[[#All],[PERCEPCIONES]],Tabla1[[#All],[MES]],Tabla7[[#Headers],[ENERO]],Tabla1[[#All],[TIPO DE DOC]],"03")</f>
        <v>0</v>
      </c>
      <c r="F14" s="98"/>
      <c r="XFC14" t="s">
        <v>8329</v>
      </c>
    </row>
    <row r="15" spans="1:10 16383:16383" ht="18" customHeight="1" x14ac:dyDescent="0.25">
      <c r="D15" s="92" t="s">
        <v>8769</v>
      </c>
      <c r="E15" s="93">
        <f>SUMIFS(Tabla6[[#Headers],[#Data],[Monto Retención 1%]],Tabla6[[#Headers],[#Data],[Mes]],Tabla7[[#Headers],[ENERO]])</f>
        <v>0</v>
      </c>
      <c r="F15" s="99"/>
    </row>
    <row r="16" spans="1:10 16383:16383" ht="18" customHeight="1" x14ac:dyDescent="0.25">
      <c r="D16" s="100" t="s">
        <v>8770</v>
      </c>
      <c r="E16" s="101">
        <f>+Tabla9[[#Totals],[IMPUESTO RETENIDO ]]</f>
        <v>0</v>
      </c>
      <c r="F16" s="97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8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2024-04-29T20:23:50Z</dcterms:modified>
</cp:coreProperties>
</file>